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codeName="ThisWorkbook" defaultThemeVersion="124226"/>
  <xr:revisionPtr revIDLastSave="0" documentId="13_ncr:1_{CFA450DD-5F21-4F06-A200-9693AE9266AC}" xr6:coauthVersionLast="47" xr6:coauthVersionMax="47" xr10:uidLastSave="{00000000-0000-0000-0000-000000000000}"/>
  <bookViews>
    <workbookView xWindow="-120" yWindow="-120" windowWidth="24240" windowHeight="13140" tabRatio="944" xr2:uid="{00000000-000D-0000-FFFF-FFFF00000000}"/>
  </bookViews>
  <sheets>
    <sheet name="Cover" sheetId="58" r:id="rId1"/>
    <sheet name="Contents" sheetId="59" r:id="rId2"/>
    <sheet name="Inputs and eligible population" sheetId="60" r:id="rId3"/>
    <sheet name="Population selection" sheetId="32" state="hidden" r:id="rId4"/>
    <sheet name="Unit costs" sheetId="61" r:id="rId5"/>
    <sheet name="Summary " sheetId="63" r:id="rId6"/>
    <sheet name="Financial impact (cash)" sheetId="64" r:id="rId7"/>
    <sheet name="Capacity (local prices)" sheetId="65" r:id="rId8"/>
    <sheet name="Capacity (national prices)" sheetId="66" r:id="rId9"/>
    <sheet name="payscales" sheetId="67" r:id="rId10"/>
  </sheets>
  <externalReferences>
    <externalReference r:id="rId11"/>
    <externalReference r:id="rId12"/>
  </externalReferences>
  <definedNames>
    <definedName name="_xlnm._FilterDatabase" localSheetId="3" hidden="1">'Population selection'!$A$157:$GL$532</definedName>
    <definedName name="Bands">payscales!$B$12:$B$47</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 localSheetId="9">'[1]Population selection'!$B$521:$B$531</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9">'[1]Population selection'!$L$5:$L$14</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selection'!$B$549:$B$564</definedName>
    <definedName name="_xlnm.Print_Area" localSheetId="7">'Capacity (local prices)'!$B$1:$T$96</definedName>
    <definedName name="_xlnm.Print_Area" localSheetId="8">'Capacity (national prices)'!$B$1:$R$97</definedName>
    <definedName name="_xlnm.Print_Area" localSheetId="1">Contents!$A$1:$P$29</definedName>
    <definedName name="_xlnm.Print_Area" localSheetId="0">Cover!$A$1:$P$24</definedName>
    <definedName name="_xlnm.Print_Area" localSheetId="6">'Financial impact (cash)'!$B$1:$J$27</definedName>
    <definedName name="_xlnm.Print_Area" localSheetId="2">'Inputs and eligible population'!$A$2:$U$138</definedName>
    <definedName name="_xlnm.Print_Area" localSheetId="3">'Population selection'!$B$11:$J$17</definedName>
    <definedName name="_xlnm.Print_Area" localSheetId="5">'Summary '!$B$1:$K$55</definedName>
    <definedName name="_xlnm.Print_Area" localSheetId="4">'Unit costs'!$B$1:$T$65</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60" l="1"/>
  <c r="E531" i="32"/>
  <c r="E530" i="32"/>
  <c r="E529" i="32"/>
  <c r="E528" i="32"/>
  <c r="E527" i="32"/>
  <c r="E526" i="32"/>
  <c r="E525" i="32"/>
  <c r="E524" i="32"/>
  <c r="E523" i="32"/>
  <c r="E522" i="32"/>
  <c r="E521" i="32"/>
  <c r="E519" i="32"/>
  <c r="E518" i="32"/>
  <c r="E517" i="32"/>
  <c r="E516" i="32"/>
  <c r="E515" i="32"/>
  <c r="E514" i="32"/>
  <c r="E513" i="32"/>
  <c r="E512" i="32"/>
  <c r="E511" i="32"/>
  <c r="E510" i="32"/>
  <c r="E509" i="32"/>
  <c r="E508" i="32"/>
  <c r="E507" i="32"/>
  <c r="E506" i="32"/>
  <c r="E505" i="32"/>
  <c r="E504" i="32"/>
  <c r="E503" i="32"/>
  <c r="E502" i="32"/>
  <c r="E501" i="32"/>
  <c r="E500" i="32"/>
  <c r="E499" i="32"/>
  <c r="E498" i="32"/>
  <c r="E496" i="32"/>
  <c r="E495" i="32"/>
  <c r="E494" i="32"/>
  <c r="E493" i="32"/>
  <c r="E492" i="32"/>
  <c r="E491" i="32"/>
  <c r="E490" i="32"/>
  <c r="E489" i="32"/>
  <c r="E488" i="32"/>
  <c r="E487" i="32"/>
  <c r="E486" i="32"/>
  <c r="E485" i="32"/>
  <c r="E484" i="32"/>
  <c r="E483" i="32"/>
  <c r="E482" i="32"/>
  <c r="E481" i="32"/>
  <c r="E480" i="32"/>
  <c r="E479" i="32"/>
  <c r="E478" i="32"/>
  <c r="E477" i="32"/>
  <c r="E476" i="32"/>
  <c r="E475" i="32"/>
  <c r="E474" i="32"/>
  <c r="E473" i="32"/>
  <c r="E472" i="32"/>
  <c r="E471" i="32"/>
  <c r="E470" i="32"/>
  <c r="E469" i="32"/>
  <c r="E468" i="32"/>
  <c r="E467" i="32"/>
  <c r="E466" i="32"/>
  <c r="E465" i="32"/>
  <c r="E464" i="32"/>
  <c r="E463" i="32"/>
  <c r="E462" i="32"/>
  <c r="E461" i="32"/>
  <c r="E460" i="32"/>
  <c r="E459" i="32"/>
  <c r="E458" i="32"/>
  <c r="E457" i="32"/>
  <c r="E456" i="32"/>
  <c r="E455" i="32"/>
  <c r="E454" i="32"/>
  <c r="E453" i="32"/>
  <c r="E452" i="32"/>
  <c r="E451" i="32"/>
  <c r="E450" i="32"/>
  <c r="E449" i="32"/>
  <c r="E448" i="32"/>
  <c r="E447" i="32"/>
  <c r="E446" i="32"/>
  <c r="E445" i="32"/>
  <c r="E444" i="32"/>
  <c r="E443" i="32"/>
  <c r="E442" i="32"/>
  <c r="E441" i="32"/>
  <c r="E440" i="32"/>
  <c r="E439" i="32"/>
  <c r="E438" i="32"/>
  <c r="E437" i="32"/>
  <c r="E436" i="32"/>
  <c r="E435" i="32"/>
  <c r="E434" i="32"/>
  <c r="E433" i="32"/>
  <c r="E432" i="32"/>
  <c r="E431" i="32"/>
  <c r="E430" i="32"/>
  <c r="E429" i="32"/>
  <c r="E428" i="32"/>
  <c r="E427" i="32"/>
  <c r="E426" i="32"/>
  <c r="E425" i="32"/>
  <c r="E424" i="32"/>
  <c r="E423" i="32"/>
  <c r="E422" i="32"/>
  <c r="E421" i="32"/>
  <c r="E420" i="32"/>
  <c r="E419" i="32"/>
  <c r="E418" i="32"/>
  <c r="E417" i="32"/>
  <c r="E416" i="32"/>
  <c r="E415" i="32"/>
  <c r="E414" i="32"/>
  <c r="E413" i="32"/>
  <c r="E412" i="32"/>
  <c r="E411" i="32"/>
  <c r="E410" i="32"/>
  <c r="E409" i="32"/>
  <c r="E408" i="32"/>
  <c r="E407" i="32"/>
  <c r="E406" i="32"/>
  <c r="E405" i="32"/>
  <c r="E404" i="32"/>
  <c r="E403" i="32"/>
  <c r="E402" i="32"/>
  <c r="E401" i="32"/>
  <c r="E400" i="32"/>
  <c r="E399" i="32"/>
  <c r="E398" i="32"/>
  <c r="E397" i="32"/>
  <c r="E396" i="32"/>
  <c r="E395" i="32"/>
  <c r="E394" i="32"/>
  <c r="E393" i="32"/>
  <c r="E392" i="32"/>
  <c r="E391" i="32"/>
  <c r="E390" i="32"/>
  <c r="E389" i="32"/>
  <c r="E388" i="32"/>
  <c r="E387" i="32"/>
  <c r="E386" i="32"/>
  <c r="E385" i="32"/>
  <c r="E384" i="32"/>
  <c r="E383" i="32"/>
  <c r="E382" i="32"/>
  <c r="E381" i="32"/>
  <c r="E380" i="32"/>
  <c r="E379" i="32"/>
  <c r="E378" i="32"/>
  <c r="E377" i="32"/>
  <c r="E376" i="32"/>
  <c r="E375" i="32"/>
  <c r="E374" i="32"/>
  <c r="E373" i="32"/>
  <c r="E372" i="32"/>
  <c r="E371" i="32"/>
  <c r="E370" i="32"/>
  <c r="E369" i="32"/>
  <c r="E368" i="32"/>
  <c r="E367" i="32"/>
  <c r="E366" i="32"/>
  <c r="E365" i="32"/>
  <c r="E364" i="32"/>
  <c r="E363" i="32"/>
  <c r="E362" i="32"/>
  <c r="E361" i="32"/>
  <c r="E360" i="32"/>
  <c r="E359" i="32"/>
  <c r="E358" i="32"/>
  <c r="E357" i="32"/>
  <c r="E356" i="32"/>
  <c r="E355" i="32"/>
  <c r="E354" i="32"/>
  <c r="E353" i="32"/>
  <c r="E352" i="32"/>
  <c r="E351" i="32"/>
  <c r="E350" i="32"/>
  <c r="E349" i="32"/>
  <c r="E348" i="32"/>
  <c r="E347" i="32"/>
  <c r="E346" i="32"/>
  <c r="E345" i="32"/>
  <c r="E344" i="32"/>
  <c r="E343" i="32"/>
  <c r="E342" i="32"/>
  <c r="E341" i="32"/>
  <c r="E340" i="32"/>
  <c r="E339" i="32"/>
  <c r="E338" i="32"/>
  <c r="E337" i="32"/>
  <c r="E336" i="32"/>
  <c r="E335" i="32"/>
  <c r="E334" i="32"/>
  <c r="E333" i="32"/>
  <c r="E332" i="32"/>
  <c r="E331" i="32"/>
  <c r="E330" i="32"/>
  <c r="E329" i="32"/>
  <c r="E328" i="32"/>
  <c r="E327" i="32"/>
  <c r="E326" i="32"/>
  <c r="E325" i="32"/>
  <c r="E324" i="32"/>
  <c r="E323" i="32"/>
  <c r="E322" i="32"/>
  <c r="E321" i="32"/>
  <c r="E320" i="32"/>
  <c r="E319" i="32"/>
  <c r="E318" i="32"/>
  <c r="E317" i="32"/>
  <c r="E316" i="32"/>
  <c r="E315" i="32"/>
  <c r="E314" i="32"/>
  <c r="E313" i="32"/>
  <c r="E312" i="32"/>
  <c r="E311" i="32"/>
  <c r="E310" i="32"/>
  <c r="E309" i="32"/>
  <c r="E308" i="32"/>
  <c r="E307" i="32"/>
  <c r="E306" i="32"/>
  <c r="E305" i="32"/>
  <c r="E304" i="32"/>
  <c r="E303" i="32"/>
  <c r="E302" i="32"/>
  <c r="E301" i="32"/>
  <c r="E300" i="32"/>
  <c r="E299" i="32"/>
  <c r="E298" i="32"/>
  <c r="E297" i="32"/>
  <c r="E296" i="32"/>
  <c r="E295" i="32"/>
  <c r="E294" i="32"/>
  <c r="E293" i="32"/>
  <c r="E292" i="32"/>
  <c r="E291" i="32"/>
  <c r="E290" i="32"/>
  <c r="E289" i="32"/>
  <c r="E288" i="32"/>
  <c r="E287" i="32"/>
  <c r="E286" i="32"/>
  <c r="E285" i="32"/>
  <c r="E284" i="32"/>
  <c r="E283" i="32"/>
  <c r="E282" i="32"/>
  <c r="E281" i="32"/>
  <c r="E280" i="32"/>
  <c r="E279" i="32"/>
  <c r="E278" i="32"/>
  <c r="E277" i="32"/>
  <c r="E276" i="32"/>
  <c r="E275" i="32"/>
  <c r="E274" i="32"/>
  <c r="E273" i="32"/>
  <c r="E272" i="32"/>
  <c r="E271" i="32"/>
  <c r="E270" i="32"/>
  <c r="E269" i="32"/>
  <c r="E268" i="32"/>
  <c r="E267" i="32"/>
  <c r="E266" i="32"/>
  <c r="E265" i="32"/>
  <c r="E264" i="32"/>
  <c r="E263" i="32"/>
  <c r="E262" i="32"/>
  <c r="E261" i="32"/>
  <c r="E260" i="32"/>
  <c r="E259" i="32"/>
  <c r="E258" i="32"/>
  <c r="E257" i="32"/>
  <c r="E256" i="32"/>
  <c r="E255" i="32"/>
  <c r="E254" i="32"/>
  <c r="E253" i="32"/>
  <c r="E252" i="32"/>
  <c r="E251" i="32"/>
  <c r="E250" i="32"/>
  <c r="E249" i="32"/>
  <c r="E248" i="32"/>
  <c r="E247" i="32"/>
  <c r="E246" i="32"/>
  <c r="E245" i="32"/>
  <c r="E244" i="32"/>
  <c r="E243" i="32"/>
  <c r="E242" i="32"/>
  <c r="E241" i="32"/>
  <c r="E240" i="32"/>
  <c r="E239" i="32"/>
  <c r="E238" i="32"/>
  <c r="E237" i="32"/>
  <c r="E236" i="32"/>
  <c r="E235" i="32"/>
  <c r="E234" i="32"/>
  <c r="E233" i="32"/>
  <c r="E232" i="32"/>
  <c r="E231" i="32"/>
  <c r="E230" i="32"/>
  <c r="E229" i="32"/>
  <c r="E228" i="32"/>
  <c r="E227" i="32"/>
  <c r="E226" i="32"/>
  <c r="E225" i="32"/>
  <c r="E224" i="32"/>
  <c r="E223" i="32"/>
  <c r="E222" i="32"/>
  <c r="E221" i="32"/>
  <c r="E220" i="32"/>
  <c r="E219" i="32"/>
  <c r="E218" i="32"/>
  <c r="E217" i="32"/>
  <c r="E216" i="32"/>
  <c r="E215" i="32"/>
  <c r="E214" i="32"/>
  <c r="E213" i="32"/>
  <c r="E212" i="32"/>
  <c r="E211" i="32"/>
  <c r="E210" i="32"/>
  <c r="E209" i="32"/>
  <c r="E208" i="32"/>
  <c r="E207" i="32"/>
  <c r="E206" i="32"/>
  <c r="E205" i="32"/>
  <c r="E204" i="32"/>
  <c r="E203" i="32"/>
  <c r="E202" i="32"/>
  <c r="E201" i="32"/>
  <c r="E199" i="32"/>
  <c r="E198" i="32"/>
  <c r="E197" i="32"/>
  <c r="E196" i="32"/>
  <c r="E195" i="32"/>
  <c r="E194" i="32"/>
  <c r="E193" i="32"/>
  <c r="E192" i="32"/>
  <c r="E191" i="32"/>
  <c r="E190" i="32"/>
  <c r="E189" i="32"/>
  <c r="E188" i="32"/>
  <c r="E187" i="32"/>
  <c r="E186" i="32"/>
  <c r="E185" i="32"/>
  <c r="E184" i="32"/>
  <c r="E183" i="32"/>
  <c r="E182" i="32"/>
  <c r="E181" i="32"/>
  <c r="E180" i="32"/>
  <c r="E179" i="32"/>
  <c r="E178" i="32"/>
  <c r="E177" i="32"/>
  <c r="E176" i="32"/>
  <c r="E175" i="32"/>
  <c r="E174" i="32"/>
  <c r="E173" i="32"/>
  <c r="E172" i="32"/>
  <c r="E171" i="32"/>
  <c r="E170" i="32"/>
  <c r="E169" i="32"/>
  <c r="E168" i="32"/>
  <c r="E167" i="32"/>
  <c r="E166" i="32"/>
  <c r="E165" i="32"/>
  <c r="E164" i="32"/>
  <c r="E163" i="32"/>
  <c r="E162" i="32"/>
  <c r="E161" i="32"/>
  <c r="E160" i="32"/>
  <c r="E159" i="32"/>
  <c r="E158" i="32"/>
  <c r="E156" i="32"/>
  <c r="E155" i="32"/>
  <c r="E154" i="32"/>
  <c r="E153" i="32"/>
  <c r="E152" i="32"/>
  <c r="E151" i="32"/>
  <c r="E150" i="32"/>
  <c r="E148" i="32"/>
  <c r="E147" i="32"/>
  <c r="E146" i="32"/>
  <c r="E145" i="32"/>
  <c r="E144" i="32"/>
  <c r="E142" i="32"/>
  <c r="E141" i="32"/>
  <c r="E140" i="32"/>
  <c r="E139" i="32"/>
  <c r="E138" i="32"/>
  <c r="E137" i="32"/>
  <c r="E136" i="32"/>
  <c r="E134" i="32"/>
  <c r="E133" i="32"/>
  <c r="E132" i="32"/>
  <c r="E131" i="32"/>
  <c r="E130" i="32"/>
  <c r="E129" i="32"/>
  <c r="E128" i="32"/>
  <c r="E127" i="32"/>
  <c r="E126" i="32"/>
  <c r="E125" i="32"/>
  <c r="E124" i="32"/>
  <c r="E123" i="32"/>
  <c r="E122" i="32"/>
  <c r="E121" i="32"/>
  <c r="E120" i="32"/>
  <c r="E119" i="32"/>
  <c r="E118" i="32"/>
  <c r="E117" i="32"/>
  <c r="E116" i="32"/>
  <c r="E115" i="32"/>
  <c r="E114" i="32"/>
  <c r="E113" i="32"/>
  <c r="E112" i="32"/>
  <c r="E111" i="32"/>
  <c r="E110" i="32"/>
  <c r="E109" i="32"/>
  <c r="E108" i="32"/>
  <c r="E107" i="32"/>
  <c r="E106" i="32"/>
  <c r="E105" i="32"/>
  <c r="E104" i="32"/>
  <c r="E103" i="32"/>
  <c r="E102" i="32"/>
  <c r="E101" i="32"/>
  <c r="E100" i="32"/>
  <c r="E99" i="32"/>
  <c r="E98" i="32"/>
  <c r="E97" i="32"/>
  <c r="E96" i="32"/>
  <c r="E95" i="32"/>
  <c r="E94" i="32"/>
  <c r="E93" i="32"/>
  <c r="E92" i="32"/>
  <c r="E91" i="32"/>
  <c r="E90" i="32"/>
  <c r="E89" i="32"/>
  <c r="E88" i="32"/>
  <c r="E87" i="32"/>
  <c r="E86" i="32"/>
  <c r="E85" i="32"/>
  <c r="E84" i="32"/>
  <c r="E83" i="32"/>
  <c r="E82" i="32"/>
  <c r="E81" i="32"/>
  <c r="E80" i="32"/>
  <c r="E79" i="32"/>
  <c r="E78" i="32"/>
  <c r="E77" i="32"/>
  <c r="E76" i="32"/>
  <c r="E75" i="32"/>
  <c r="E74" i="32"/>
  <c r="E73" i="32"/>
  <c r="E72" i="32"/>
  <c r="E71" i="32"/>
  <c r="E70" i="32"/>
  <c r="E69" i="32"/>
  <c r="E68" i="32"/>
  <c r="E67" i="32"/>
  <c r="E66" i="32"/>
  <c r="E65" i="32"/>
  <c r="E64" i="32"/>
  <c r="E63" i="32"/>
  <c r="E62" i="32"/>
  <c r="E61" i="32"/>
  <c r="E60" i="32"/>
  <c r="E59" i="32"/>
  <c r="E58" i="32"/>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7" i="32"/>
  <c r="E26" i="32"/>
  <c r="G13" i="60"/>
  <c r="E25" i="32" l="1"/>
  <c r="F59" i="60" l="1"/>
  <c r="G59" i="60"/>
  <c r="H59" i="60"/>
  <c r="I59" i="60"/>
  <c r="J59" i="60"/>
  <c r="E59" i="60"/>
  <c r="H105" i="60"/>
  <c r="F114" i="60"/>
  <c r="K84" i="66" l="1"/>
  <c r="B14" i="63"/>
  <c r="B9" i="63"/>
  <c r="S19" i="61"/>
  <c r="S16" i="61"/>
  <c r="S17" i="61"/>
  <c r="S18" i="61"/>
  <c r="F55" i="60"/>
  <c r="G55" i="60"/>
  <c r="H55" i="60"/>
  <c r="I55" i="60"/>
  <c r="J55" i="60"/>
  <c r="E55" i="60"/>
  <c r="J41" i="61" l="1"/>
  <c r="K41" i="61"/>
  <c r="M37" i="61"/>
  <c r="M38" i="61"/>
  <c r="M39" i="61"/>
  <c r="M40" i="61"/>
  <c r="M41" i="61" l="1"/>
  <c r="K71" i="66"/>
  <c r="K71" i="65"/>
  <c r="K77" i="66"/>
  <c r="K77" i="65"/>
  <c r="K59" i="66"/>
  <c r="K59" i="65"/>
  <c r="K65" i="66"/>
  <c r="K65" i="65"/>
  <c r="H104" i="60"/>
  <c r="J104" i="60" s="1"/>
  <c r="J105" i="60"/>
  <c r="F82" i="60"/>
  <c r="G82" i="60"/>
  <c r="H82" i="60"/>
  <c r="I82" i="60"/>
  <c r="J82" i="60"/>
  <c r="E82" i="60"/>
  <c r="F76" i="60"/>
  <c r="G76" i="60"/>
  <c r="H76" i="60"/>
  <c r="I76" i="60"/>
  <c r="J76" i="60"/>
  <c r="H115" i="60"/>
  <c r="J115" i="60" s="1"/>
  <c r="K90" i="66" s="1"/>
  <c r="H113" i="60"/>
  <c r="J113" i="60" s="1"/>
  <c r="K84" i="65" s="1"/>
  <c r="E76" i="60"/>
  <c r="H110" i="60"/>
  <c r="J110" i="60" s="1"/>
  <c r="K90" i="65" l="1"/>
  <c r="F19" i="60" l="1"/>
  <c r="N11" i="61"/>
  <c r="F72" i="60"/>
  <c r="F73" i="60" s="1"/>
  <c r="G72" i="60"/>
  <c r="G73" i="60" s="1"/>
  <c r="H72" i="60"/>
  <c r="H73" i="60" s="1"/>
  <c r="I72" i="60"/>
  <c r="I73" i="60" s="1"/>
  <c r="J72" i="60"/>
  <c r="E72" i="60"/>
  <c r="E73" i="60" s="1"/>
  <c r="E13" i="67"/>
  <c r="H23" i="61"/>
  <c r="Q23" i="61" s="1"/>
  <c r="C22" i="64" s="1"/>
  <c r="F70" i="60"/>
  <c r="G70" i="60"/>
  <c r="H70" i="60"/>
  <c r="I70" i="60"/>
  <c r="J70" i="60"/>
  <c r="E70" i="60"/>
  <c r="J73" i="60" l="1"/>
  <c r="H101" i="60"/>
  <c r="J101" i="60" s="1"/>
  <c r="K38" i="65" s="1"/>
  <c r="H109" i="60"/>
  <c r="H108" i="60"/>
  <c r="H107" i="60"/>
  <c r="H103" i="60"/>
  <c r="H102" i="60"/>
  <c r="H99" i="60"/>
  <c r="H98" i="60"/>
  <c r="E47" i="67"/>
  <c r="H47" i="67" s="1"/>
  <c r="D47" i="67"/>
  <c r="C46" i="67"/>
  <c r="E46" i="67" s="1"/>
  <c r="H45" i="67"/>
  <c r="E45" i="67"/>
  <c r="G45" i="67" s="1"/>
  <c r="D45" i="67"/>
  <c r="H44" i="67"/>
  <c r="E44" i="67"/>
  <c r="G44" i="67" s="1"/>
  <c r="D44" i="67"/>
  <c r="H43" i="67"/>
  <c r="C43" i="67"/>
  <c r="E43" i="67" s="1"/>
  <c r="H42" i="67"/>
  <c r="F42" i="67"/>
  <c r="E42" i="67"/>
  <c r="G42" i="67" s="1"/>
  <c r="I42" i="67" s="1"/>
  <c r="D42" i="67"/>
  <c r="C41" i="67"/>
  <c r="E41" i="67" s="1"/>
  <c r="C40" i="67"/>
  <c r="E40" i="67" s="1"/>
  <c r="C39" i="67"/>
  <c r="E39" i="67" s="1"/>
  <c r="C38" i="67"/>
  <c r="E38" i="67" s="1"/>
  <c r="C37" i="67"/>
  <c r="E37" i="67" s="1"/>
  <c r="W36" i="67"/>
  <c r="J42" i="67" s="1"/>
  <c r="D36" i="67"/>
  <c r="C36" i="67"/>
  <c r="E36" i="67" s="1"/>
  <c r="C35" i="67"/>
  <c r="D35" i="67" s="1"/>
  <c r="C34" i="67"/>
  <c r="D34" i="67" s="1"/>
  <c r="C33" i="67"/>
  <c r="D33" i="67" s="1"/>
  <c r="C32" i="67"/>
  <c r="D32" i="67" s="1"/>
  <c r="C31" i="67"/>
  <c r="D31" i="67" s="1"/>
  <c r="C30" i="67"/>
  <c r="D30" i="67" s="1"/>
  <c r="C29" i="67"/>
  <c r="D29" i="67" s="1"/>
  <c r="W28" i="67"/>
  <c r="E28" i="67"/>
  <c r="D28" i="67"/>
  <c r="C28" i="67"/>
  <c r="D27" i="67"/>
  <c r="C27" i="67"/>
  <c r="E27" i="67" s="1"/>
  <c r="D26" i="67"/>
  <c r="C26" i="67"/>
  <c r="E26" i="67" s="1"/>
  <c r="D25" i="67"/>
  <c r="C25" i="67"/>
  <c r="E25" i="67" s="1"/>
  <c r="D24" i="67"/>
  <c r="C24" i="67"/>
  <c r="E24" i="67" s="1"/>
  <c r="D23" i="67"/>
  <c r="C23" i="67"/>
  <c r="E23" i="67" s="1"/>
  <c r="D22" i="67"/>
  <c r="C22" i="67"/>
  <c r="E22" i="67" s="1"/>
  <c r="D21" i="67"/>
  <c r="C21" i="67"/>
  <c r="E21" i="67" s="1"/>
  <c r="D20" i="67"/>
  <c r="C20" i="67"/>
  <c r="E20" i="67" s="1"/>
  <c r="W19" i="67"/>
  <c r="E19" i="67"/>
  <c r="D19" i="67"/>
  <c r="C19" i="67"/>
  <c r="E18" i="67"/>
  <c r="D18" i="67"/>
  <c r="C18" i="67"/>
  <c r="E17" i="67"/>
  <c r="D17" i="67"/>
  <c r="C17" i="67"/>
  <c r="E16" i="67"/>
  <c r="D16" i="67"/>
  <c r="C16" i="67"/>
  <c r="E15" i="67"/>
  <c r="D15" i="67"/>
  <c r="C15" i="67"/>
  <c r="E14" i="67"/>
  <c r="D14" i="67"/>
  <c r="C14" i="67"/>
  <c r="D13" i="67"/>
  <c r="E12" i="67"/>
  <c r="D12" i="67"/>
  <c r="C12" i="67"/>
  <c r="H38" i="67" l="1"/>
  <c r="G38" i="67"/>
  <c r="I38" i="67" s="1"/>
  <c r="K38" i="67" s="1"/>
  <c r="F38" i="67"/>
  <c r="H39" i="67"/>
  <c r="G39" i="67"/>
  <c r="F39" i="67"/>
  <c r="I39" i="67" s="1"/>
  <c r="K39" i="67" s="1"/>
  <c r="I12" i="67"/>
  <c r="K12" i="67" s="1"/>
  <c r="I21" i="67"/>
  <c r="K21" i="67" s="1"/>
  <c r="H21" i="67"/>
  <c r="G21" i="67"/>
  <c r="F21" i="67"/>
  <c r="H36" i="67"/>
  <c r="G36" i="67"/>
  <c r="I36" i="67" s="1"/>
  <c r="K36" i="67" s="1"/>
  <c r="F36" i="67"/>
  <c r="G43" i="67"/>
  <c r="F43" i="67"/>
  <c r="I43" i="67" s="1"/>
  <c r="K43" i="67" s="1"/>
  <c r="H20" i="67"/>
  <c r="G20" i="67"/>
  <c r="I20" i="67" s="1"/>
  <c r="K20" i="67" s="1"/>
  <c r="F20" i="67"/>
  <c r="H40" i="67"/>
  <c r="G40" i="67"/>
  <c r="F40" i="67"/>
  <c r="I40" i="67" s="1"/>
  <c r="K40" i="67" s="1"/>
  <c r="H25" i="67"/>
  <c r="I25" i="67" s="1"/>
  <c r="K25" i="67" s="1"/>
  <c r="G25" i="67"/>
  <c r="F25" i="67"/>
  <c r="H41" i="67"/>
  <c r="G41" i="67"/>
  <c r="F41" i="67"/>
  <c r="I41" i="67" s="1"/>
  <c r="K41" i="67" s="1"/>
  <c r="I22" i="67"/>
  <c r="K22" i="67" s="1"/>
  <c r="H22" i="67"/>
  <c r="G22" i="67"/>
  <c r="F22" i="67"/>
  <c r="H26" i="67"/>
  <c r="G26" i="67"/>
  <c r="F26" i="67"/>
  <c r="I26" i="67" s="1"/>
  <c r="K26" i="67" s="1"/>
  <c r="K42" i="67"/>
  <c r="H46" i="67"/>
  <c r="G46" i="67"/>
  <c r="F46" i="67"/>
  <c r="I46" i="67" s="1"/>
  <c r="K46" i="67" s="1"/>
  <c r="H24" i="67"/>
  <c r="G24" i="67"/>
  <c r="F24" i="67"/>
  <c r="I24" i="67" s="1"/>
  <c r="K24" i="67" s="1"/>
  <c r="H23" i="67"/>
  <c r="G23" i="67"/>
  <c r="F23" i="67"/>
  <c r="I23" i="67" s="1"/>
  <c r="K23" i="67" s="1"/>
  <c r="H27" i="67"/>
  <c r="I27" i="67" s="1"/>
  <c r="K27" i="67" s="1"/>
  <c r="G27" i="67"/>
  <c r="F27" i="67"/>
  <c r="H37" i="67"/>
  <c r="G37" i="67"/>
  <c r="F37" i="67"/>
  <c r="I37" i="67" s="1"/>
  <c r="K37" i="67" s="1"/>
  <c r="J43" i="67"/>
  <c r="J44" i="67"/>
  <c r="G12" i="67"/>
  <c r="G13" i="67"/>
  <c r="G14" i="67"/>
  <c r="G15" i="67"/>
  <c r="G16" i="67"/>
  <c r="G17" i="67"/>
  <c r="G18" i="67"/>
  <c r="I18" i="67" s="1"/>
  <c r="K18" i="67" s="1"/>
  <c r="G19" i="67"/>
  <c r="I19" i="67" s="1"/>
  <c r="K19" i="67" s="1"/>
  <c r="F28" i="67"/>
  <c r="I28" i="67" s="1"/>
  <c r="K28" i="67" s="1"/>
  <c r="E29" i="67"/>
  <c r="E30" i="67"/>
  <c r="E31" i="67"/>
  <c r="E32" i="67"/>
  <c r="E33" i="67"/>
  <c r="E34" i="67"/>
  <c r="E35" i="67"/>
  <c r="D37" i="67"/>
  <c r="D38" i="67"/>
  <c r="D39" i="67"/>
  <c r="D40" i="67"/>
  <c r="D41" i="67"/>
  <c r="D43" i="67"/>
  <c r="D46" i="67"/>
  <c r="F13" i="67"/>
  <c r="I13" i="67" s="1"/>
  <c r="K13" i="67" s="1"/>
  <c r="F15" i="67"/>
  <c r="F17" i="67"/>
  <c r="I17" i="67" s="1"/>
  <c r="K17" i="67" s="1"/>
  <c r="F19" i="67"/>
  <c r="H12" i="67"/>
  <c r="H13" i="67"/>
  <c r="H14" i="67"/>
  <c r="H15" i="67"/>
  <c r="I15" i="67" s="1"/>
  <c r="K15" i="67" s="1"/>
  <c r="H16" i="67"/>
  <c r="H17" i="67"/>
  <c r="H18" i="67"/>
  <c r="H19" i="67"/>
  <c r="G28" i="67"/>
  <c r="F47" i="67"/>
  <c r="I47" i="67" s="1"/>
  <c r="K47" i="67" s="1"/>
  <c r="F12" i="67"/>
  <c r="F14" i="67"/>
  <c r="I14" i="67" s="1"/>
  <c r="K14" i="67" s="1"/>
  <c r="F16" i="67"/>
  <c r="I16" i="67" s="1"/>
  <c r="K16" i="67" s="1"/>
  <c r="F18" i="67"/>
  <c r="H28" i="67"/>
  <c r="F44" i="67"/>
  <c r="I44" i="67" s="1"/>
  <c r="F45" i="67"/>
  <c r="I45" i="67" s="1"/>
  <c r="K45" i="67" s="1"/>
  <c r="G47" i="67"/>
  <c r="I32" i="67" l="1"/>
  <c r="K32" i="67" s="1"/>
  <c r="H32" i="67"/>
  <c r="G32" i="67"/>
  <c r="F32" i="67"/>
  <c r="H31" i="67"/>
  <c r="G31" i="67"/>
  <c r="F31" i="67"/>
  <c r="I31" i="67" s="1"/>
  <c r="K31" i="67" s="1"/>
  <c r="K44" i="67"/>
  <c r="H30" i="67"/>
  <c r="G30" i="67"/>
  <c r="F30" i="67"/>
  <c r="I30" i="67" s="1"/>
  <c r="K30" i="67" s="1"/>
  <c r="H35" i="67"/>
  <c r="G35" i="67"/>
  <c r="F35" i="67"/>
  <c r="I35" i="67" s="1"/>
  <c r="K35" i="67" s="1"/>
  <c r="H34" i="67"/>
  <c r="G34" i="67"/>
  <c r="F34" i="67"/>
  <c r="I34" i="67" s="1"/>
  <c r="K34" i="67" s="1"/>
  <c r="H33" i="67"/>
  <c r="G33" i="67"/>
  <c r="F33" i="67"/>
  <c r="I33" i="67" s="1"/>
  <c r="K33" i="67" s="1"/>
  <c r="H29" i="67"/>
  <c r="G29" i="67"/>
  <c r="F29" i="67"/>
  <c r="I29" i="67" s="1"/>
  <c r="K29" i="67" s="1"/>
  <c r="B7" i="65" l="1"/>
  <c r="I10" i="64"/>
  <c r="I9" i="64"/>
  <c r="H10" i="64"/>
  <c r="H10" i="63" s="1"/>
  <c r="H9" i="64"/>
  <c r="H9" i="63" s="1"/>
  <c r="G10" i="64"/>
  <c r="G10" i="63" s="1"/>
  <c r="G9" i="64"/>
  <c r="G9" i="63" s="1"/>
  <c r="F10" i="64"/>
  <c r="F10" i="63" s="1"/>
  <c r="F9" i="64"/>
  <c r="F9" i="63" s="1"/>
  <c r="E10" i="64"/>
  <c r="E10" i="63" s="1"/>
  <c r="E9" i="64"/>
  <c r="E9" i="63" s="1"/>
  <c r="D10" i="64"/>
  <c r="D10" i="63" s="1"/>
  <c r="D9" i="64"/>
  <c r="D9" i="63" s="1"/>
  <c r="B9" i="64"/>
  <c r="B1" i="61"/>
  <c r="R19" i="61"/>
  <c r="H10" i="61"/>
  <c r="Q10" i="61" s="1"/>
  <c r="S10" i="61" s="1"/>
  <c r="H11" i="61"/>
  <c r="Q11" i="61" s="1"/>
  <c r="S11" i="61" s="1"/>
  <c r="H12" i="61"/>
  <c r="Q12" i="61" s="1"/>
  <c r="S12" i="61" s="1"/>
  <c r="H13" i="61"/>
  <c r="Q13" i="61" s="1"/>
  <c r="S13" i="61" s="1"/>
  <c r="H14" i="61"/>
  <c r="Q14" i="61" s="1"/>
  <c r="S14" i="61" s="1"/>
  <c r="H15" i="61"/>
  <c r="Q15" i="61" s="1"/>
  <c r="S15" i="61" s="1"/>
  <c r="H9" i="61"/>
  <c r="Q9" i="61" s="1"/>
  <c r="S9" i="61" s="1"/>
  <c r="D531" i="32"/>
  <c r="D530" i="32"/>
  <c r="D529" i="32"/>
  <c r="D528" i="32"/>
  <c r="D527" i="32"/>
  <c r="D526" i="32"/>
  <c r="D525" i="32"/>
  <c r="D524" i="32"/>
  <c r="D523" i="32"/>
  <c r="D522" i="32"/>
  <c r="D521" i="32"/>
  <c r="D519" i="32"/>
  <c r="D518" i="32"/>
  <c r="D517" i="32"/>
  <c r="D516" i="32"/>
  <c r="D515" i="32"/>
  <c r="D514" i="32"/>
  <c r="D513" i="32"/>
  <c r="D512" i="32"/>
  <c r="D511" i="32"/>
  <c r="D510" i="32"/>
  <c r="D509" i="32"/>
  <c r="D508" i="32"/>
  <c r="D507" i="32"/>
  <c r="D506" i="32"/>
  <c r="D505" i="32"/>
  <c r="D504" i="32"/>
  <c r="D503" i="32"/>
  <c r="D502" i="32"/>
  <c r="D501" i="32"/>
  <c r="D500" i="32"/>
  <c r="D499" i="32"/>
  <c r="D498" i="32"/>
  <c r="D496" i="32"/>
  <c r="D495" i="32"/>
  <c r="D494" i="32"/>
  <c r="D493" i="32"/>
  <c r="D492" i="32"/>
  <c r="D491" i="32"/>
  <c r="D490" i="32"/>
  <c r="D489" i="32"/>
  <c r="D488" i="32"/>
  <c r="D487" i="32"/>
  <c r="D486" i="32"/>
  <c r="D485" i="32"/>
  <c r="D484" i="32"/>
  <c r="D483" i="32"/>
  <c r="D482" i="32"/>
  <c r="D481" i="32"/>
  <c r="D480" i="32"/>
  <c r="D479" i="32"/>
  <c r="D478" i="32"/>
  <c r="D477" i="32"/>
  <c r="D476" i="32"/>
  <c r="D475" i="32"/>
  <c r="D474" i="32"/>
  <c r="D473" i="32"/>
  <c r="D472" i="32"/>
  <c r="D471" i="32"/>
  <c r="D470" i="32"/>
  <c r="D469" i="32"/>
  <c r="D468" i="32"/>
  <c r="D467" i="32"/>
  <c r="D466" i="32"/>
  <c r="D465" i="32"/>
  <c r="D464" i="32"/>
  <c r="D463" i="32"/>
  <c r="D462" i="32"/>
  <c r="D461" i="32"/>
  <c r="D460" i="32"/>
  <c r="D459" i="32"/>
  <c r="D458" i="32"/>
  <c r="D457" i="32"/>
  <c r="D456" i="32"/>
  <c r="D455" i="32"/>
  <c r="D454" i="32"/>
  <c r="D453" i="32"/>
  <c r="D452" i="32"/>
  <c r="D451" i="32"/>
  <c r="D450" i="32"/>
  <c r="D449" i="32"/>
  <c r="D448" i="32"/>
  <c r="D447" i="32"/>
  <c r="D446" i="32"/>
  <c r="D445" i="32"/>
  <c r="D444" i="32"/>
  <c r="D443" i="32"/>
  <c r="D442" i="32"/>
  <c r="D441" i="32"/>
  <c r="D440" i="32"/>
  <c r="D439" i="32"/>
  <c r="D438" i="32"/>
  <c r="D437" i="32"/>
  <c r="D436" i="32"/>
  <c r="D435" i="32"/>
  <c r="D434" i="32"/>
  <c r="D433" i="32"/>
  <c r="D432" i="32"/>
  <c r="D431" i="32"/>
  <c r="D430" i="32"/>
  <c r="D429" i="32"/>
  <c r="D428" i="32"/>
  <c r="D427" i="32"/>
  <c r="D426" i="32"/>
  <c r="D425" i="32"/>
  <c r="D424" i="32"/>
  <c r="D423" i="32"/>
  <c r="D422" i="32"/>
  <c r="D421" i="32"/>
  <c r="D420" i="32"/>
  <c r="D419" i="32"/>
  <c r="D418" i="32"/>
  <c r="D417" i="32"/>
  <c r="D416" i="32"/>
  <c r="D415" i="32"/>
  <c r="D414" i="32"/>
  <c r="D413" i="32"/>
  <c r="D412" i="32"/>
  <c r="D411" i="32"/>
  <c r="D410" i="32"/>
  <c r="D409" i="32"/>
  <c r="D408" i="32"/>
  <c r="D407" i="32"/>
  <c r="D406" i="32"/>
  <c r="D405" i="32"/>
  <c r="D404" i="32"/>
  <c r="D403" i="32"/>
  <c r="D402" i="32"/>
  <c r="D401" i="32"/>
  <c r="D400" i="32"/>
  <c r="D399" i="32"/>
  <c r="D398" i="32"/>
  <c r="D397" i="32"/>
  <c r="D396" i="32"/>
  <c r="D395" i="32"/>
  <c r="D394" i="32"/>
  <c r="D393" i="32"/>
  <c r="D392" i="32"/>
  <c r="D391" i="32"/>
  <c r="D390" i="32"/>
  <c r="D389" i="32"/>
  <c r="D388" i="32"/>
  <c r="D387" i="32"/>
  <c r="D386" i="32"/>
  <c r="D385" i="32"/>
  <c r="D384" i="32"/>
  <c r="D383" i="32"/>
  <c r="D382" i="32"/>
  <c r="D381" i="32"/>
  <c r="D380" i="32"/>
  <c r="D379" i="32"/>
  <c r="D378" i="32"/>
  <c r="D377" i="32"/>
  <c r="D376" i="32"/>
  <c r="D375" i="32"/>
  <c r="D374" i="32"/>
  <c r="D373" i="32"/>
  <c r="D372" i="32"/>
  <c r="D371" i="32"/>
  <c r="D370" i="32"/>
  <c r="D369" i="32"/>
  <c r="D368" i="32"/>
  <c r="D367" i="32"/>
  <c r="D366" i="32"/>
  <c r="D365" i="32"/>
  <c r="D364" i="32"/>
  <c r="D363" i="32"/>
  <c r="D362" i="32"/>
  <c r="D361" i="32"/>
  <c r="D360" i="32"/>
  <c r="D359" i="32"/>
  <c r="D358" i="32"/>
  <c r="D357" i="32"/>
  <c r="D356" i="32"/>
  <c r="D355" i="32"/>
  <c r="D354" i="32"/>
  <c r="D353" i="32"/>
  <c r="D352" i="32"/>
  <c r="D351" i="32"/>
  <c r="D350" i="32"/>
  <c r="D349" i="32"/>
  <c r="D348" i="32"/>
  <c r="D347" i="32"/>
  <c r="D346" i="32"/>
  <c r="D345" i="32"/>
  <c r="D344" i="32"/>
  <c r="D343" i="32"/>
  <c r="D342" i="32"/>
  <c r="D341" i="32"/>
  <c r="D340" i="32"/>
  <c r="D339" i="32"/>
  <c r="D338" i="32"/>
  <c r="D337" i="32"/>
  <c r="D336" i="32"/>
  <c r="D335" i="32"/>
  <c r="D334" i="32"/>
  <c r="D333" i="32"/>
  <c r="D332" i="32"/>
  <c r="D331" i="32"/>
  <c r="D330" i="32"/>
  <c r="D329" i="32"/>
  <c r="D328" i="32"/>
  <c r="D327" i="32"/>
  <c r="D326" i="32"/>
  <c r="D325" i="32"/>
  <c r="D324" i="32"/>
  <c r="D323" i="32"/>
  <c r="D322" i="32"/>
  <c r="D321" i="32"/>
  <c r="D320" i="32"/>
  <c r="D319" i="32"/>
  <c r="D318" i="32"/>
  <c r="D317" i="32"/>
  <c r="D316" i="32"/>
  <c r="D315" i="32"/>
  <c r="D314" i="32"/>
  <c r="D313" i="32"/>
  <c r="D312" i="32"/>
  <c r="D311" i="32"/>
  <c r="D310" i="32"/>
  <c r="D309" i="32"/>
  <c r="D308" i="32"/>
  <c r="D307" i="32"/>
  <c r="D306" i="32"/>
  <c r="D305" i="32"/>
  <c r="D304" i="32"/>
  <c r="D303" i="32"/>
  <c r="D302" i="32"/>
  <c r="D301" i="32"/>
  <c r="D300" i="32"/>
  <c r="D299" i="32"/>
  <c r="D298" i="32"/>
  <c r="D297" i="32"/>
  <c r="D296" i="32"/>
  <c r="D295" i="32"/>
  <c r="D294" i="32"/>
  <c r="D293" i="32"/>
  <c r="D292" i="32"/>
  <c r="D291" i="32"/>
  <c r="D290" i="32"/>
  <c r="D289" i="32"/>
  <c r="D288" i="32"/>
  <c r="D287" i="32"/>
  <c r="D286" i="32"/>
  <c r="D285" i="32"/>
  <c r="D284" i="32"/>
  <c r="D283" i="32"/>
  <c r="D282" i="32"/>
  <c r="D281" i="32"/>
  <c r="D280" i="32"/>
  <c r="D279" i="32"/>
  <c r="D278" i="32"/>
  <c r="D277" i="32"/>
  <c r="D276" i="32"/>
  <c r="D275" i="32"/>
  <c r="D274" i="32"/>
  <c r="D273" i="32"/>
  <c r="D272" i="32"/>
  <c r="D271" i="32"/>
  <c r="D270" i="32"/>
  <c r="D269" i="32"/>
  <c r="D268" i="32"/>
  <c r="D267" i="32"/>
  <c r="D266" i="32"/>
  <c r="D265" i="32"/>
  <c r="D264" i="32"/>
  <c r="D263" i="32"/>
  <c r="D262" i="32"/>
  <c r="D261" i="32"/>
  <c r="D260" i="32"/>
  <c r="D259" i="32"/>
  <c r="D258" i="32"/>
  <c r="D257" i="32"/>
  <c r="D256" i="32"/>
  <c r="D255" i="32"/>
  <c r="D254" i="32"/>
  <c r="D253" i="32"/>
  <c r="D252" i="32"/>
  <c r="D251" i="32"/>
  <c r="D250" i="32"/>
  <c r="D249" i="32"/>
  <c r="D248" i="32"/>
  <c r="D247" i="32"/>
  <c r="D246" i="32"/>
  <c r="D245" i="32"/>
  <c r="D244" i="32"/>
  <c r="D243" i="32"/>
  <c r="D242" i="32"/>
  <c r="D241" i="32"/>
  <c r="D240" i="32"/>
  <c r="D239" i="32"/>
  <c r="D238" i="32"/>
  <c r="D237" i="32"/>
  <c r="D236" i="32"/>
  <c r="D235" i="32"/>
  <c r="D234" i="32"/>
  <c r="D233" i="32"/>
  <c r="D232" i="32"/>
  <c r="D231" i="32"/>
  <c r="D230" i="32"/>
  <c r="D229" i="32"/>
  <c r="D228" i="32"/>
  <c r="D227" i="32"/>
  <c r="D226" i="32"/>
  <c r="D225" i="32"/>
  <c r="D224" i="32"/>
  <c r="D223" i="32"/>
  <c r="D222" i="32"/>
  <c r="D221" i="32"/>
  <c r="D220" i="32"/>
  <c r="D219" i="32"/>
  <c r="D218" i="32"/>
  <c r="D217" i="32"/>
  <c r="D216" i="32"/>
  <c r="D215" i="32"/>
  <c r="D214" i="32"/>
  <c r="D213" i="32"/>
  <c r="D212" i="32"/>
  <c r="D211" i="32"/>
  <c r="D210" i="32"/>
  <c r="D209" i="32"/>
  <c r="D208" i="32"/>
  <c r="D207" i="32"/>
  <c r="D206" i="32"/>
  <c r="D205" i="32"/>
  <c r="D204" i="32"/>
  <c r="D203" i="32"/>
  <c r="D202" i="32"/>
  <c r="D201" i="32"/>
  <c r="D199" i="32"/>
  <c r="D198" i="32"/>
  <c r="D197" i="32"/>
  <c r="D196" i="32"/>
  <c r="D195" i="32"/>
  <c r="D194" i="32"/>
  <c r="D193" i="32"/>
  <c r="D192" i="32"/>
  <c r="D191" i="32"/>
  <c r="D190" i="32"/>
  <c r="D189" i="32"/>
  <c r="D188" i="32"/>
  <c r="D187" i="32"/>
  <c r="D186" i="32"/>
  <c r="D185" i="32"/>
  <c r="D184" i="32"/>
  <c r="D183" i="32"/>
  <c r="D182" i="32"/>
  <c r="D181" i="32"/>
  <c r="D180" i="32"/>
  <c r="D179" i="32"/>
  <c r="D178" i="32"/>
  <c r="D177" i="32"/>
  <c r="D176" i="32"/>
  <c r="D175" i="32"/>
  <c r="D174" i="32"/>
  <c r="D173" i="32"/>
  <c r="D172" i="32"/>
  <c r="D171" i="32"/>
  <c r="D170" i="32"/>
  <c r="D169" i="32"/>
  <c r="D168" i="32"/>
  <c r="D167" i="32"/>
  <c r="D166" i="32"/>
  <c r="D165" i="32"/>
  <c r="D164" i="32"/>
  <c r="D163" i="32"/>
  <c r="D162" i="32"/>
  <c r="D161" i="32"/>
  <c r="D160" i="32"/>
  <c r="D159" i="32"/>
  <c r="D158" i="32"/>
  <c r="D156" i="32"/>
  <c r="D155" i="32"/>
  <c r="D154" i="32"/>
  <c r="D153" i="32"/>
  <c r="D152" i="32"/>
  <c r="D151" i="32"/>
  <c r="D150" i="32"/>
  <c r="D148" i="32"/>
  <c r="D147" i="32"/>
  <c r="D146" i="32"/>
  <c r="D145" i="32"/>
  <c r="D144" i="32"/>
  <c r="D142" i="32"/>
  <c r="D141" i="32"/>
  <c r="D140" i="32"/>
  <c r="D139" i="32"/>
  <c r="D138" i="32"/>
  <c r="D137" i="32"/>
  <c r="D136" i="32"/>
  <c r="D134" i="32"/>
  <c r="D133" i="32"/>
  <c r="D132" i="32"/>
  <c r="D131" i="32"/>
  <c r="D130" i="32"/>
  <c r="D129" i="32"/>
  <c r="D128" i="32"/>
  <c r="D127" i="32"/>
  <c r="D126" i="32"/>
  <c r="D125" i="32"/>
  <c r="D124" i="32"/>
  <c r="D123" i="32"/>
  <c r="D122" i="32"/>
  <c r="D121" i="32"/>
  <c r="D120" i="32"/>
  <c r="D119" i="32"/>
  <c r="D118" i="32"/>
  <c r="D117" i="32"/>
  <c r="D116" i="32"/>
  <c r="D115" i="32"/>
  <c r="D114" i="32"/>
  <c r="D113" i="32"/>
  <c r="D112" i="32"/>
  <c r="D111" i="32"/>
  <c r="D110" i="32"/>
  <c r="D109" i="32"/>
  <c r="D108" i="32"/>
  <c r="D107" i="32"/>
  <c r="D106" i="32"/>
  <c r="D105" i="32"/>
  <c r="D104" i="32"/>
  <c r="D103" i="32"/>
  <c r="D102" i="32"/>
  <c r="D101" i="32"/>
  <c r="D100" i="32"/>
  <c r="D99" i="32"/>
  <c r="D98" i="32"/>
  <c r="D97" i="32"/>
  <c r="D96" i="32"/>
  <c r="D95" i="32"/>
  <c r="D94" i="32"/>
  <c r="D93" i="32"/>
  <c r="D92" i="32"/>
  <c r="D91" i="32"/>
  <c r="D90" i="32"/>
  <c r="D89" i="32"/>
  <c r="D88" i="32"/>
  <c r="D87" i="32"/>
  <c r="D86" i="32"/>
  <c r="D85" i="32"/>
  <c r="D84" i="32"/>
  <c r="D83" i="32"/>
  <c r="D82" i="32"/>
  <c r="D81" i="32"/>
  <c r="D80" i="32"/>
  <c r="D79" i="32"/>
  <c r="D78" i="32"/>
  <c r="D77" i="32"/>
  <c r="D76" i="32"/>
  <c r="D75" i="32"/>
  <c r="D74" i="32"/>
  <c r="D73" i="32"/>
  <c r="D72" i="32"/>
  <c r="D71" i="32"/>
  <c r="D70" i="32"/>
  <c r="D69" i="32"/>
  <c r="D68" i="32"/>
  <c r="D67" i="32"/>
  <c r="D66" i="32"/>
  <c r="D65" i="32"/>
  <c r="D64" i="32"/>
  <c r="D63" i="32"/>
  <c r="D62" i="32"/>
  <c r="D61" i="32"/>
  <c r="D60" i="32"/>
  <c r="D59" i="32"/>
  <c r="D58" i="32"/>
  <c r="D57" i="32"/>
  <c r="D56" i="32"/>
  <c r="D55" i="32"/>
  <c r="D54" i="32"/>
  <c r="D53" i="32"/>
  <c r="D52" i="32"/>
  <c r="D51" i="32"/>
  <c r="D50" i="32"/>
  <c r="D49" i="32"/>
  <c r="D48" i="32"/>
  <c r="D47" i="32"/>
  <c r="D46" i="32"/>
  <c r="D45" i="32"/>
  <c r="D44" i="32"/>
  <c r="D43" i="32"/>
  <c r="D42" i="32"/>
  <c r="D41" i="32"/>
  <c r="D40" i="32"/>
  <c r="D39" i="32"/>
  <c r="D38" i="32"/>
  <c r="D37" i="32"/>
  <c r="D36" i="32"/>
  <c r="D35" i="32"/>
  <c r="D34" i="32"/>
  <c r="D33" i="32"/>
  <c r="D32" i="32"/>
  <c r="D31" i="32"/>
  <c r="D30" i="32"/>
  <c r="D29" i="32"/>
  <c r="D27" i="32"/>
  <c r="D26" i="32"/>
  <c r="D25" i="32"/>
  <c r="C15" i="32"/>
  <c r="B14" i="32"/>
  <c r="P7" i="32"/>
  <c r="P8" i="32"/>
  <c r="P9" i="32"/>
  <c r="P10" i="32"/>
  <c r="P11" i="32"/>
  <c r="P12" i="32"/>
  <c r="P13" i="32"/>
  <c r="P14" i="32"/>
  <c r="P6" i="32"/>
  <c r="O7" i="32"/>
  <c r="O8" i="32"/>
  <c r="O9" i="32"/>
  <c r="O10" i="32"/>
  <c r="O11" i="32"/>
  <c r="O12" i="32"/>
  <c r="O13" i="32"/>
  <c r="O14" i="32"/>
  <c r="N7" i="32"/>
  <c r="N8" i="32"/>
  <c r="N9" i="32"/>
  <c r="N10" i="32"/>
  <c r="N11" i="32"/>
  <c r="N12" i="32"/>
  <c r="N13" i="32"/>
  <c r="N14" i="32"/>
  <c r="N6" i="32"/>
  <c r="K31" i="66" l="1"/>
  <c r="C21" i="64"/>
  <c r="O6" i="32" l="1"/>
  <c r="B1" i="63"/>
  <c r="B1" i="64" s="1"/>
  <c r="B1" i="65" s="1"/>
  <c r="B1" i="66" s="1"/>
  <c r="B7" i="66"/>
  <c r="B16" i="64"/>
  <c r="B13" i="63" s="1"/>
  <c r="J109" i="60"/>
  <c r="J108" i="60"/>
  <c r="J107" i="60"/>
  <c r="J103" i="60"/>
  <c r="J102" i="60"/>
  <c r="J99" i="60"/>
  <c r="K31" i="65" s="1"/>
  <c r="J98" i="60"/>
  <c r="K25" i="65" s="1"/>
  <c r="J60" i="60"/>
  <c r="I60" i="60"/>
  <c r="H60" i="60"/>
  <c r="G60" i="60"/>
  <c r="J56" i="60"/>
  <c r="I56" i="60"/>
  <c r="H56" i="60"/>
  <c r="G56" i="60"/>
  <c r="F56" i="60"/>
  <c r="E56" i="60"/>
  <c r="L39" i="60"/>
  <c r="C39" i="60"/>
  <c r="C38" i="60"/>
  <c r="K37" i="60"/>
  <c r="J37" i="60"/>
  <c r="I37" i="60"/>
  <c r="H37" i="60"/>
  <c r="G37" i="60"/>
  <c r="G36" i="60"/>
  <c r="H36" i="60" s="1"/>
  <c r="I36" i="60" s="1"/>
  <c r="J36" i="60" s="1"/>
  <c r="K36" i="60" s="1"/>
  <c r="F34" i="60"/>
  <c r="G33" i="60"/>
  <c r="C33" i="60"/>
  <c r="F20" i="60"/>
  <c r="F17" i="60"/>
  <c r="C17" i="60"/>
  <c r="B15" i="32" s="1"/>
  <c r="F15" i="60"/>
  <c r="C58" i="61" l="1"/>
  <c r="K40" i="66" s="1"/>
  <c r="K40" i="65"/>
  <c r="C57" i="61"/>
  <c r="K39" i="66" s="1"/>
  <c r="K39" i="65"/>
  <c r="K41" i="65"/>
  <c r="C59" i="61"/>
  <c r="K41" i="66" s="1"/>
  <c r="C60" i="61"/>
  <c r="K42" i="66" s="1"/>
  <c r="K42" i="65"/>
  <c r="C56" i="61"/>
  <c r="K38" i="66" s="1"/>
  <c r="E60" i="60"/>
  <c r="F60" i="6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K551" i="32" l="1"/>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C23" i="32" l="1"/>
  <c r="C202" i="32"/>
  <c r="L202" i="32"/>
  <c r="K202" i="32"/>
  <c r="J202" i="32"/>
  <c r="I202" i="32"/>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K187" i="32"/>
  <c r="L187" i="32"/>
  <c r="G164" i="32"/>
  <c r="H164" i="32"/>
  <c r="I164" i="32"/>
  <c r="J164" i="32"/>
  <c r="K164" i="32"/>
  <c r="L164" i="32"/>
  <c r="G165" i="32"/>
  <c r="H165" i="32"/>
  <c r="I165" i="32"/>
  <c r="J165" i="32"/>
  <c r="K165" i="32"/>
  <c r="L165" i="32"/>
  <c r="G166" i="32"/>
  <c r="H166" i="32"/>
  <c r="I166" i="32"/>
  <c r="J166" i="32"/>
  <c r="K166" i="32"/>
  <c r="L166" i="32"/>
  <c r="G167" i="32"/>
  <c r="H167" i="32"/>
  <c r="I167" i="32"/>
  <c r="J167" i="32"/>
  <c r="K167" i="32"/>
  <c r="L167" i="32"/>
  <c r="G168" i="32"/>
  <c r="H168" i="32"/>
  <c r="F168" i="32" s="1"/>
  <c r="I168" i="32"/>
  <c r="J168" i="32"/>
  <c r="K168" i="32"/>
  <c r="L168" i="32"/>
  <c r="G169" i="32"/>
  <c r="H169" i="32"/>
  <c r="I169" i="32"/>
  <c r="J169" i="32"/>
  <c r="K169" i="32"/>
  <c r="L169" i="32"/>
  <c r="G170" i="32"/>
  <c r="H170" i="32"/>
  <c r="I170" i="32"/>
  <c r="J170" i="32"/>
  <c r="K170" i="32"/>
  <c r="L170" i="32"/>
  <c r="G171" i="32"/>
  <c r="H171" i="32"/>
  <c r="I171" i="32"/>
  <c r="J171" i="32"/>
  <c r="K171" i="32"/>
  <c r="L171" i="32"/>
  <c r="G172" i="32"/>
  <c r="H172" i="32"/>
  <c r="F172" i="32" s="1"/>
  <c r="I172" i="32"/>
  <c r="J172" i="32"/>
  <c r="K172" i="32"/>
  <c r="L172" i="32"/>
  <c r="G173" i="32"/>
  <c r="H173" i="32"/>
  <c r="I173" i="32"/>
  <c r="J173" i="32"/>
  <c r="K173" i="32"/>
  <c r="L173" i="32"/>
  <c r="G174" i="32"/>
  <c r="H174" i="32"/>
  <c r="I174" i="32"/>
  <c r="J174" i="32"/>
  <c r="K174" i="32"/>
  <c r="L174" i="32"/>
  <c r="G175" i="32"/>
  <c r="H175" i="32"/>
  <c r="I175" i="32"/>
  <c r="J175" i="32"/>
  <c r="K175" i="32"/>
  <c r="L175" i="32"/>
  <c r="G176" i="32"/>
  <c r="H176" i="32"/>
  <c r="F176" i="32" s="1"/>
  <c r="I176" i="32"/>
  <c r="J176" i="32"/>
  <c r="K176" i="32"/>
  <c r="L176" i="32"/>
  <c r="G177" i="32"/>
  <c r="H177" i="32"/>
  <c r="I177" i="32"/>
  <c r="J177" i="32"/>
  <c r="K177" i="32"/>
  <c r="L177" i="32"/>
  <c r="G178" i="32"/>
  <c r="H178" i="32"/>
  <c r="I178" i="32"/>
  <c r="J178" i="32"/>
  <c r="K178" i="32"/>
  <c r="L178" i="32"/>
  <c r="G179" i="32"/>
  <c r="H179" i="32"/>
  <c r="I179" i="32"/>
  <c r="J179" i="32"/>
  <c r="K179" i="32"/>
  <c r="L179" i="32"/>
  <c r="G180" i="32"/>
  <c r="H180" i="32"/>
  <c r="I180" i="32"/>
  <c r="J180" i="32"/>
  <c r="K180" i="32"/>
  <c r="L180" i="32"/>
  <c r="G181" i="32"/>
  <c r="H181" i="32"/>
  <c r="I181" i="32"/>
  <c r="J181" i="32"/>
  <c r="K181" i="32"/>
  <c r="L181" i="32"/>
  <c r="G182" i="32"/>
  <c r="H182" i="32"/>
  <c r="I182" i="32"/>
  <c r="J182" i="32"/>
  <c r="K182" i="32"/>
  <c r="L182" i="32"/>
  <c r="G183" i="32"/>
  <c r="H183" i="32"/>
  <c r="I183" i="32"/>
  <c r="J183" i="32"/>
  <c r="K183" i="32"/>
  <c r="L183" i="32"/>
  <c r="G184" i="32"/>
  <c r="H184" i="32"/>
  <c r="I184" i="32"/>
  <c r="J184" i="32"/>
  <c r="K184" i="32"/>
  <c r="L184" i="32"/>
  <c r="G185" i="32"/>
  <c r="H185" i="32"/>
  <c r="I185" i="32"/>
  <c r="J185" i="32"/>
  <c r="K185" i="32"/>
  <c r="L185" i="32"/>
  <c r="G186" i="32"/>
  <c r="H186" i="32"/>
  <c r="I186" i="32"/>
  <c r="J186" i="32"/>
  <c r="K186" i="32"/>
  <c r="L186" i="32"/>
  <c r="G188" i="32"/>
  <c r="H188" i="32"/>
  <c r="I188" i="32"/>
  <c r="J188" i="32"/>
  <c r="K188" i="32"/>
  <c r="L188" i="32"/>
  <c r="G194" i="32"/>
  <c r="H194" i="32"/>
  <c r="I194" i="32"/>
  <c r="J194" i="32"/>
  <c r="K194" i="32"/>
  <c r="L194" i="32"/>
  <c r="G195" i="32"/>
  <c r="H195" i="32"/>
  <c r="I195" i="32"/>
  <c r="J195" i="32"/>
  <c r="K195" i="32"/>
  <c r="L195" i="32"/>
  <c r="G196" i="32"/>
  <c r="H196" i="32"/>
  <c r="I196" i="32"/>
  <c r="J196" i="32"/>
  <c r="K196" i="32"/>
  <c r="L196" i="32"/>
  <c r="G197" i="32"/>
  <c r="H197" i="32"/>
  <c r="I197" i="32"/>
  <c r="J197" i="32"/>
  <c r="K197" i="32"/>
  <c r="L197" i="32"/>
  <c r="G198" i="32"/>
  <c r="H198" i="32"/>
  <c r="I198" i="32"/>
  <c r="J198" i="32"/>
  <c r="K198" i="32"/>
  <c r="L198" i="32"/>
  <c r="G199" i="32"/>
  <c r="H199" i="32"/>
  <c r="I199" i="32"/>
  <c r="J199" i="32"/>
  <c r="K199" i="32"/>
  <c r="L199" i="32"/>
  <c r="C194" i="32"/>
  <c r="C195" i="32"/>
  <c r="C196" i="32"/>
  <c r="C197" i="32"/>
  <c r="L514" i="32"/>
  <c r="K514" i="32"/>
  <c r="J514" i="32"/>
  <c r="I514" i="32"/>
  <c r="H514" i="32"/>
  <c r="G514" i="32"/>
  <c r="C514" i="32"/>
  <c r="K158" i="32"/>
  <c r="G159" i="32"/>
  <c r="H159" i="32"/>
  <c r="I159" i="32"/>
  <c r="J159" i="32"/>
  <c r="K159" i="32"/>
  <c r="L159" i="32"/>
  <c r="G160" i="32"/>
  <c r="H160" i="32"/>
  <c r="I160" i="32"/>
  <c r="J160" i="32"/>
  <c r="K160" i="32"/>
  <c r="L160" i="32"/>
  <c r="G161" i="32"/>
  <c r="H161" i="32"/>
  <c r="I161" i="32"/>
  <c r="J161" i="32"/>
  <c r="K161" i="32"/>
  <c r="L161" i="32"/>
  <c r="G162" i="32"/>
  <c r="H162" i="32"/>
  <c r="I162" i="32"/>
  <c r="J162" i="32"/>
  <c r="K162" i="32"/>
  <c r="L162" i="32"/>
  <c r="G163" i="32"/>
  <c r="H163" i="32"/>
  <c r="I163" i="32"/>
  <c r="J163" i="32"/>
  <c r="K163" i="32"/>
  <c r="L163" i="32"/>
  <c r="G189" i="32"/>
  <c r="H189" i="32"/>
  <c r="I189" i="32"/>
  <c r="J189" i="32"/>
  <c r="K189" i="32"/>
  <c r="L189" i="32"/>
  <c r="G190" i="32"/>
  <c r="H190" i="32"/>
  <c r="I190" i="32"/>
  <c r="J190" i="32"/>
  <c r="K190" i="32"/>
  <c r="L190" i="32"/>
  <c r="G191" i="32"/>
  <c r="H191" i="32"/>
  <c r="I191" i="32"/>
  <c r="J191" i="32"/>
  <c r="K191" i="32"/>
  <c r="L191" i="32"/>
  <c r="G192" i="32"/>
  <c r="H192" i="32"/>
  <c r="I192" i="32"/>
  <c r="J192" i="32"/>
  <c r="K192" i="32"/>
  <c r="L192" i="32"/>
  <c r="G193" i="32"/>
  <c r="H193" i="32"/>
  <c r="I193" i="32"/>
  <c r="J193" i="32"/>
  <c r="K193" i="32"/>
  <c r="L193" i="32"/>
  <c r="L158" i="32"/>
  <c r="J158" i="32"/>
  <c r="I158" i="32"/>
  <c r="H158" i="32"/>
  <c r="C159" i="32"/>
  <c r="C160" i="32"/>
  <c r="C161" i="32"/>
  <c r="C162" i="32"/>
  <c r="C163" i="32"/>
  <c r="C189" i="32"/>
  <c r="C190" i="32"/>
  <c r="C191" i="32"/>
  <c r="C192" i="32"/>
  <c r="C193" i="32"/>
  <c r="C198" i="32"/>
  <c r="C199" i="32"/>
  <c r="C158" i="32"/>
  <c r="G158" i="32"/>
  <c r="G531" i="32"/>
  <c r="H531" i="32"/>
  <c r="I531" i="32"/>
  <c r="J531" i="32"/>
  <c r="K531" i="32"/>
  <c r="L531" i="32"/>
  <c r="G521" i="32"/>
  <c r="H521" i="32"/>
  <c r="I521" i="32"/>
  <c r="J521" i="32"/>
  <c r="K521" i="32"/>
  <c r="L521" i="32"/>
  <c r="G522" i="32"/>
  <c r="H522" i="32"/>
  <c r="I522" i="32"/>
  <c r="J522" i="32"/>
  <c r="K522" i="32"/>
  <c r="L522" i="32"/>
  <c r="G523" i="32"/>
  <c r="H523" i="32"/>
  <c r="I523" i="32"/>
  <c r="J523" i="32"/>
  <c r="K523" i="32"/>
  <c r="L523" i="32"/>
  <c r="G524" i="32"/>
  <c r="H524" i="32"/>
  <c r="I524" i="32"/>
  <c r="J524" i="32"/>
  <c r="K524" i="32"/>
  <c r="L524" i="32"/>
  <c r="G525" i="32"/>
  <c r="H525" i="32"/>
  <c r="I525" i="32"/>
  <c r="J525" i="32"/>
  <c r="K525" i="32"/>
  <c r="L525" i="32"/>
  <c r="G526" i="32"/>
  <c r="H526" i="32"/>
  <c r="I526" i="32"/>
  <c r="J526" i="32"/>
  <c r="K526" i="32"/>
  <c r="L526" i="32"/>
  <c r="G527" i="32"/>
  <c r="H527" i="32"/>
  <c r="I527" i="32"/>
  <c r="J527" i="32"/>
  <c r="K527" i="32"/>
  <c r="L527" i="32"/>
  <c r="G528" i="32"/>
  <c r="H528" i="32"/>
  <c r="I528" i="32"/>
  <c r="J528" i="32"/>
  <c r="K528" i="32"/>
  <c r="L528" i="32"/>
  <c r="G529" i="32"/>
  <c r="H529" i="32"/>
  <c r="I529" i="32"/>
  <c r="J529" i="32"/>
  <c r="K529" i="32"/>
  <c r="L529" i="32"/>
  <c r="G530" i="32"/>
  <c r="H530" i="32"/>
  <c r="F530" i="32" s="1"/>
  <c r="I530" i="32"/>
  <c r="J530" i="32"/>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J502" i="32"/>
  <c r="K502" i="32"/>
  <c r="L502" i="32"/>
  <c r="G503" i="32"/>
  <c r="H503" i="32"/>
  <c r="I503" i="32"/>
  <c r="J503" i="32"/>
  <c r="K503" i="32"/>
  <c r="L503" i="32"/>
  <c r="G504" i="32"/>
  <c r="H504" i="32"/>
  <c r="I504" i="32"/>
  <c r="J504" i="32"/>
  <c r="K504" i="32"/>
  <c r="L504" i="32"/>
  <c r="G505" i="32"/>
  <c r="H505" i="32"/>
  <c r="I505" i="32"/>
  <c r="J505" i="32"/>
  <c r="K505" i="32"/>
  <c r="L505" i="32"/>
  <c r="G506" i="32"/>
  <c r="H506" i="32"/>
  <c r="I506" i="32"/>
  <c r="J506" i="32"/>
  <c r="K506" i="32"/>
  <c r="L506" i="32"/>
  <c r="G507" i="32"/>
  <c r="H507" i="32"/>
  <c r="I507" i="32"/>
  <c r="J507" i="32"/>
  <c r="K507" i="32"/>
  <c r="L507" i="32"/>
  <c r="G508" i="32"/>
  <c r="H508" i="32"/>
  <c r="I508" i="32"/>
  <c r="J508" i="32"/>
  <c r="K508" i="32"/>
  <c r="L508" i="32"/>
  <c r="G509" i="32"/>
  <c r="H509" i="32"/>
  <c r="I509" i="32"/>
  <c r="J509" i="32"/>
  <c r="K509" i="32"/>
  <c r="L509" i="32"/>
  <c r="G510" i="32"/>
  <c r="H510" i="32"/>
  <c r="I510" i="32"/>
  <c r="J510" i="32"/>
  <c r="K510" i="32"/>
  <c r="L510" i="32"/>
  <c r="G511" i="32"/>
  <c r="H511" i="32"/>
  <c r="I511" i="32"/>
  <c r="J511" i="32"/>
  <c r="K511" i="32"/>
  <c r="L511" i="32"/>
  <c r="G512" i="32"/>
  <c r="H512" i="32"/>
  <c r="I512" i="32"/>
  <c r="J512" i="32"/>
  <c r="K512" i="32"/>
  <c r="L512" i="32"/>
  <c r="G513" i="32"/>
  <c r="H513" i="32"/>
  <c r="I513" i="32"/>
  <c r="J513" i="32"/>
  <c r="K513" i="32"/>
  <c r="L513" i="32"/>
  <c r="G515" i="32"/>
  <c r="H515" i="32"/>
  <c r="I515" i="32"/>
  <c r="J515" i="32"/>
  <c r="K515" i="32"/>
  <c r="L515" i="32"/>
  <c r="G516" i="32"/>
  <c r="H516" i="32"/>
  <c r="I516" i="32"/>
  <c r="J516" i="32"/>
  <c r="K516" i="32"/>
  <c r="L516" i="32"/>
  <c r="G517" i="32"/>
  <c r="H517" i="32"/>
  <c r="I517" i="32"/>
  <c r="J517" i="32"/>
  <c r="K517" i="32"/>
  <c r="L517" i="32"/>
  <c r="G518" i="32"/>
  <c r="H518" i="32"/>
  <c r="I518" i="32"/>
  <c r="J518" i="32"/>
  <c r="K518" i="32"/>
  <c r="L518" i="32"/>
  <c r="G519" i="32"/>
  <c r="H519" i="32"/>
  <c r="I519" i="32"/>
  <c r="J519" i="32"/>
  <c r="K519" i="32"/>
  <c r="L519" i="32"/>
  <c r="L134" i="32"/>
  <c r="K134" i="32"/>
  <c r="J134" i="32"/>
  <c r="I134" i="32"/>
  <c r="H134" i="32"/>
  <c r="G134" i="32"/>
  <c r="C134" i="32"/>
  <c r="L133" i="32"/>
  <c r="K133" i="32"/>
  <c r="J133" i="32"/>
  <c r="I133" i="32"/>
  <c r="H133" i="32"/>
  <c r="G133" i="32"/>
  <c r="C133" i="32"/>
  <c r="L132" i="32"/>
  <c r="K132" i="32"/>
  <c r="J132" i="32"/>
  <c r="I132" i="32"/>
  <c r="H132" i="32"/>
  <c r="G132" i="32"/>
  <c r="C132" i="32"/>
  <c r="L131" i="32"/>
  <c r="K131" i="32"/>
  <c r="J131" i="32"/>
  <c r="I131" i="32"/>
  <c r="H131" i="32"/>
  <c r="G131" i="32"/>
  <c r="C131" i="32"/>
  <c r="L130" i="32"/>
  <c r="K130" i="32"/>
  <c r="J130" i="32"/>
  <c r="I130" i="32"/>
  <c r="H130" i="32"/>
  <c r="G130" i="32"/>
  <c r="C130" i="32"/>
  <c r="L129" i="32"/>
  <c r="K129" i="32"/>
  <c r="J129" i="32"/>
  <c r="I129" i="32"/>
  <c r="H129" i="32"/>
  <c r="G129" i="32"/>
  <c r="C129" i="32"/>
  <c r="L128" i="32"/>
  <c r="K128" i="32"/>
  <c r="J128" i="32"/>
  <c r="I128" i="32"/>
  <c r="H128" i="32"/>
  <c r="G128" i="32"/>
  <c r="C128" i="32"/>
  <c r="L127" i="32"/>
  <c r="K127" i="32"/>
  <c r="J127" i="32"/>
  <c r="I127" i="32"/>
  <c r="H127" i="32"/>
  <c r="G127" i="32"/>
  <c r="C127" i="32"/>
  <c r="L126" i="32"/>
  <c r="K126" i="32"/>
  <c r="J126" i="32"/>
  <c r="I126" i="32"/>
  <c r="H126" i="32"/>
  <c r="G126" i="32"/>
  <c r="C126" i="32"/>
  <c r="L125" i="32"/>
  <c r="K125" i="32"/>
  <c r="J125" i="32"/>
  <c r="I125" i="32"/>
  <c r="H125" i="32"/>
  <c r="G125" i="32"/>
  <c r="C125" i="32"/>
  <c r="L124" i="32"/>
  <c r="K124" i="32"/>
  <c r="J124" i="32"/>
  <c r="I124" i="32"/>
  <c r="H124" i="32"/>
  <c r="G124" i="32"/>
  <c r="C124" i="32"/>
  <c r="L123" i="32"/>
  <c r="K123" i="32"/>
  <c r="J123" i="32"/>
  <c r="I123" i="32"/>
  <c r="H123" i="32"/>
  <c r="G123" i="32"/>
  <c r="C123" i="32"/>
  <c r="L122" i="32"/>
  <c r="K122" i="32"/>
  <c r="J122" i="32"/>
  <c r="I122" i="32"/>
  <c r="H122" i="32"/>
  <c r="G122" i="32"/>
  <c r="C122" i="32"/>
  <c r="L121" i="32"/>
  <c r="K121" i="32"/>
  <c r="J121" i="32"/>
  <c r="I121" i="32"/>
  <c r="H121" i="32"/>
  <c r="G121" i="32"/>
  <c r="C121" i="32"/>
  <c r="L120" i="32"/>
  <c r="K120" i="32"/>
  <c r="J120" i="32"/>
  <c r="I120" i="32"/>
  <c r="H120" i="32"/>
  <c r="G120" i="32"/>
  <c r="C120" i="32"/>
  <c r="L119" i="32"/>
  <c r="K119" i="32"/>
  <c r="J119" i="32"/>
  <c r="I119" i="32"/>
  <c r="H119" i="32"/>
  <c r="G119" i="32"/>
  <c r="C119" i="32"/>
  <c r="L118" i="32"/>
  <c r="K118" i="32"/>
  <c r="J118" i="32"/>
  <c r="I118" i="32"/>
  <c r="H118" i="32"/>
  <c r="G118" i="32"/>
  <c r="C118" i="32"/>
  <c r="L117" i="32"/>
  <c r="K117" i="32"/>
  <c r="J117" i="32"/>
  <c r="I117" i="32"/>
  <c r="H117" i="32"/>
  <c r="G117" i="32"/>
  <c r="C117" i="32"/>
  <c r="L116" i="32"/>
  <c r="K116" i="32"/>
  <c r="J116" i="32"/>
  <c r="I116" i="32"/>
  <c r="H116" i="32"/>
  <c r="G116" i="32"/>
  <c r="C116" i="32"/>
  <c r="L115" i="32"/>
  <c r="K115" i="32"/>
  <c r="J115" i="32"/>
  <c r="I115" i="32"/>
  <c r="H115" i="32"/>
  <c r="G115" i="32"/>
  <c r="C115" i="32"/>
  <c r="L114" i="32"/>
  <c r="K114" i="32"/>
  <c r="J114" i="32"/>
  <c r="I114" i="32"/>
  <c r="H114" i="32"/>
  <c r="G114" i="32"/>
  <c r="C114" i="32"/>
  <c r="L113" i="32"/>
  <c r="K113" i="32"/>
  <c r="J113" i="32"/>
  <c r="I113" i="32"/>
  <c r="H113" i="32"/>
  <c r="G113" i="32"/>
  <c r="C113" i="32"/>
  <c r="L112" i="32"/>
  <c r="K112" i="32"/>
  <c r="J112" i="32"/>
  <c r="I112" i="32"/>
  <c r="H112" i="32"/>
  <c r="G112" i="32"/>
  <c r="C112" i="32"/>
  <c r="L111" i="32"/>
  <c r="K111" i="32"/>
  <c r="J111" i="32"/>
  <c r="I111" i="32"/>
  <c r="H111" i="32"/>
  <c r="G111" i="32"/>
  <c r="C111" i="32"/>
  <c r="L110" i="32"/>
  <c r="K110" i="32"/>
  <c r="J110" i="32"/>
  <c r="I110" i="32"/>
  <c r="H110" i="32"/>
  <c r="G110" i="32"/>
  <c r="C110" i="32"/>
  <c r="L109" i="32"/>
  <c r="K109" i="32"/>
  <c r="J109" i="32"/>
  <c r="I109" i="32"/>
  <c r="H109" i="32"/>
  <c r="G109" i="32"/>
  <c r="C109" i="32"/>
  <c r="L108" i="32"/>
  <c r="K108" i="32"/>
  <c r="J108" i="32"/>
  <c r="I108" i="32"/>
  <c r="H108" i="32"/>
  <c r="G108" i="32"/>
  <c r="C108" i="32"/>
  <c r="L107" i="32"/>
  <c r="K107" i="32"/>
  <c r="J107" i="32"/>
  <c r="I107" i="32"/>
  <c r="H107" i="32"/>
  <c r="G107" i="32"/>
  <c r="C107" i="32"/>
  <c r="L106" i="32"/>
  <c r="K106" i="32"/>
  <c r="J106" i="32"/>
  <c r="I106" i="32"/>
  <c r="H106" i="32"/>
  <c r="G106" i="32"/>
  <c r="C106" i="32"/>
  <c r="L105" i="32"/>
  <c r="K105" i="32"/>
  <c r="J105" i="32"/>
  <c r="I105" i="32"/>
  <c r="H105" i="32"/>
  <c r="G105" i="32"/>
  <c r="C105" i="32"/>
  <c r="L104" i="32"/>
  <c r="K104" i="32"/>
  <c r="J104" i="32"/>
  <c r="I104" i="32"/>
  <c r="H104" i="32"/>
  <c r="G104" i="32"/>
  <c r="C104" i="32"/>
  <c r="L103" i="32"/>
  <c r="K103" i="32"/>
  <c r="J103" i="32"/>
  <c r="I103" i="32"/>
  <c r="H103" i="32"/>
  <c r="G103" i="32"/>
  <c r="C103" i="32"/>
  <c r="L102" i="32"/>
  <c r="K102" i="32"/>
  <c r="J102" i="32"/>
  <c r="I102" i="32"/>
  <c r="H102" i="32"/>
  <c r="G102" i="32"/>
  <c r="C102" i="32"/>
  <c r="L101" i="32"/>
  <c r="K101" i="32"/>
  <c r="J101" i="32"/>
  <c r="I101" i="32"/>
  <c r="H101" i="32"/>
  <c r="G101" i="32"/>
  <c r="C101" i="32"/>
  <c r="L100" i="32"/>
  <c r="K100" i="32"/>
  <c r="J100" i="32"/>
  <c r="I100" i="32"/>
  <c r="H100" i="32"/>
  <c r="G100" i="32"/>
  <c r="C100" i="32"/>
  <c r="L99" i="32"/>
  <c r="K99" i="32"/>
  <c r="J99" i="32"/>
  <c r="I99" i="32"/>
  <c r="H99" i="32"/>
  <c r="G99" i="32"/>
  <c r="C99" i="32"/>
  <c r="L98" i="32"/>
  <c r="K98" i="32"/>
  <c r="J98" i="32"/>
  <c r="I98" i="32"/>
  <c r="H98" i="32"/>
  <c r="G98" i="32"/>
  <c r="C98" i="32"/>
  <c r="L97" i="32"/>
  <c r="K97" i="32"/>
  <c r="J97" i="32"/>
  <c r="I97" i="32"/>
  <c r="H97" i="32"/>
  <c r="G97" i="32"/>
  <c r="C97" i="32"/>
  <c r="L96" i="32"/>
  <c r="K96" i="32"/>
  <c r="J96" i="32"/>
  <c r="I96" i="32"/>
  <c r="H96" i="32"/>
  <c r="G96" i="32"/>
  <c r="C96" i="32"/>
  <c r="L95" i="32"/>
  <c r="K95" i="32"/>
  <c r="J95" i="32"/>
  <c r="I95" i="32"/>
  <c r="H95" i="32"/>
  <c r="G95" i="32"/>
  <c r="C95" i="32"/>
  <c r="L94" i="32"/>
  <c r="K94" i="32"/>
  <c r="J94" i="32"/>
  <c r="I94" i="32"/>
  <c r="H94" i="32"/>
  <c r="G94" i="32"/>
  <c r="C94" i="32"/>
  <c r="L93" i="32"/>
  <c r="K93" i="32"/>
  <c r="J93" i="32"/>
  <c r="I93" i="32"/>
  <c r="H93" i="32"/>
  <c r="G93" i="32"/>
  <c r="C93" i="32"/>
  <c r="L92" i="32"/>
  <c r="K92" i="32"/>
  <c r="J92" i="32"/>
  <c r="I92" i="32"/>
  <c r="H92" i="32"/>
  <c r="G92" i="32"/>
  <c r="C92" i="32"/>
  <c r="L91" i="32"/>
  <c r="K91" i="32"/>
  <c r="J91" i="32"/>
  <c r="I91" i="32"/>
  <c r="H91" i="32"/>
  <c r="G91" i="32"/>
  <c r="C91" i="32"/>
  <c r="L90" i="32"/>
  <c r="K90" i="32"/>
  <c r="J90" i="32"/>
  <c r="I90" i="32"/>
  <c r="H90" i="32"/>
  <c r="G90" i="32"/>
  <c r="C90" i="32"/>
  <c r="L89" i="32"/>
  <c r="K89" i="32"/>
  <c r="J89" i="32"/>
  <c r="I89" i="32"/>
  <c r="H89" i="32"/>
  <c r="G89" i="32"/>
  <c r="C89" i="32"/>
  <c r="L88" i="32"/>
  <c r="K88" i="32"/>
  <c r="J88" i="32"/>
  <c r="I88" i="32"/>
  <c r="H88" i="32"/>
  <c r="G88" i="32"/>
  <c r="C88" i="32"/>
  <c r="L87" i="32"/>
  <c r="K87" i="32"/>
  <c r="J87" i="32"/>
  <c r="I87" i="32"/>
  <c r="H87" i="32"/>
  <c r="G87" i="32"/>
  <c r="C87" i="32"/>
  <c r="L86" i="32"/>
  <c r="K86" i="32"/>
  <c r="J86" i="32"/>
  <c r="I86" i="32"/>
  <c r="H86" i="32"/>
  <c r="G86" i="32"/>
  <c r="C86" i="32"/>
  <c r="L85" i="32"/>
  <c r="K85" i="32"/>
  <c r="J85" i="32"/>
  <c r="I85" i="32"/>
  <c r="H85" i="32"/>
  <c r="G85" i="32"/>
  <c r="C85" i="32"/>
  <c r="L84" i="32"/>
  <c r="K84" i="32"/>
  <c r="J84" i="32"/>
  <c r="I84" i="32"/>
  <c r="H84" i="32"/>
  <c r="G84" i="32"/>
  <c r="C84" i="32"/>
  <c r="L83" i="32"/>
  <c r="K83" i="32"/>
  <c r="J83" i="32"/>
  <c r="I83" i="32"/>
  <c r="H83" i="32"/>
  <c r="G83" i="32"/>
  <c r="C83" i="32"/>
  <c r="L82" i="32"/>
  <c r="K82" i="32"/>
  <c r="J82" i="32"/>
  <c r="I82" i="32"/>
  <c r="H82" i="32"/>
  <c r="G82" i="32"/>
  <c r="C82" i="32"/>
  <c r="L81" i="32"/>
  <c r="K81" i="32"/>
  <c r="J81" i="32"/>
  <c r="I81" i="32"/>
  <c r="H81" i="32"/>
  <c r="G81" i="32"/>
  <c r="C81" i="32"/>
  <c r="L80" i="32"/>
  <c r="K80" i="32"/>
  <c r="J80" i="32"/>
  <c r="I80" i="32"/>
  <c r="H80" i="32"/>
  <c r="G80" i="32"/>
  <c r="C80" i="32"/>
  <c r="L79" i="32"/>
  <c r="K79" i="32"/>
  <c r="J79" i="32"/>
  <c r="I79" i="32"/>
  <c r="H79" i="32"/>
  <c r="G79" i="32"/>
  <c r="C79" i="32"/>
  <c r="L78" i="32"/>
  <c r="K78" i="32"/>
  <c r="J78" i="32"/>
  <c r="I78" i="32"/>
  <c r="H78" i="32"/>
  <c r="G78" i="32"/>
  <c r="C78" i="32"/>
  <c r="L77" i="32"/>
  <c r="K77" i="32"/>
  <c r="J77" i="32"/>
  <c r="I77" i="32"/>
  <c r="H77" i="32"/>
  <c r="G77" i="32"/>
  <c r="C77" i="32"/>
  <c r="L76" i="32"/>
  <c r="K76" i="32"/>
  <c r="J76" i="32"/>
  <c r="I76" i="32"/>
  <c r="H76" i="32"/>
  <c r="G76" i="32"/>
  <c r="C76" i="32"/>
  <c r="L75" i="32"/>
  <c r="K75" i="32"/>
  <c r="J75" i="32"/>
  <c r="I75" i="32"/>
  <c r="H75" i="32"/>
  <c r="G75" i="32"/>
  <c r="C75" i="32"/>
  <c r="L74" i="32"/>
  <c r="K74" i="32"/>
  <c r="J74" i="32"/>
  <c r="I74" i="32"/>
  <c r="H74" i="32"/>
  <c r="G74" i="32"/>
  <c r="C74" i="32"/>
  <c r="L73" i="32"/>
  <c r="K73" i="32"/>
  <c r="J73" i="32"/>
  <c r="I73" i="32"/>
  <c r="H73" i="32"/>
  <c r="G73" i="32"/>
  <c r="C73" i="32"/>
  <c r="L72" i="32"/>
  <c r="K72" i="32"/>
  <c r="J72" i="32"/>
  <c r="I72" i="32"/>
  <c r="H72" i="32"/>
  <c r="G72" i="32"/>
  <c r="C72" i="32"/>
  <c r="L71" i="32"/>
  <c r="K71" i="32"/>
  <c r="J71" i="32"/>
  <c r="I71" i="32"/>
  <c r="H71" i="32"/>
  <c r="G71" i="32"/>
  <c r="C71" i="32"/>
  <c r="L70" i="32"/>
  <c r="K70" i="32"/>
  <c r="J70" i="32"/>
  <c r="I70" i="32"/>
  <c r="H70" i="32"/>
  <c r="G70" i="32"/>
  <c r="C70" i="32"/>
  <c r="L69" i="32"/>
  <c r="K69" i="32"/>
  <c r="J69" i="32"/>
  <c r="I69" i="32"/>
  <c r="H69" i="32"/>
  <c r="G69" i="32"/>
  <c r="C69" i="32"/>
  <c r="L68" i="32"/>
  <c r="K68" i="32"/>
  <c r="J68" i="32"/>
  <c r="I68" i="32"/>
  <c r="H68" i="32"/>
  <c r="G68" i="32"/>
  <c r="C68" i="32"/>
  <c r="L67" i="32"/>
  <c r="K67" i="32"/>
  <c r="J67" i="32"/>
  <c r="I67" i="32"/>
  <c r="H67" i="32"/>
  <c r="G67" i="32"/>
  <c r="C67" i="32"/>
  <c r="L66" i="32"/>
  <c r="K66" i="32"/>
  <c r="J66" i="32"/>
  <c r="I66" i="32"/>
  <c r="H66" i="32"/>
  <c r="G66" i="32"/>
  <c r="C66" i="32"/>
  <c r="L65" i="32"/>
  <c r="K65" i="32"/>
  <c r="J65" i="32"/>
  <c r="I65" i="32"/>
  <c r="H65" i="32"/>
  <c r="G65" i="32"/>
  <c r="C65" i="32"/>
  <c r="L64" i="32"/>
  <c r="K64" i="32"/>
  <c r="J64" i="32"/>
  <c r="I64" i="32"/>
  <c r="H64" i="32"/>
  <c r="G64" i="32"/>
  <c r="C64" i="32"/>
  <c r="L63" i="32"/>
  <c r="K63" i="32"/>
  <c r="J63" i="32"/>
  <c r="I63" i="32"/>
  <c r="H63" i="32"/>
  <c r="G63" i="32"/>
  <c r="C63" i="32"/>
  <c r="L62" i="32"/>
  <c r="K62" i="32"/>
  <c r="J62" i="32"/>
  <c r="I62" i="32"/>
  <c r="H62" i="32"/>
  <c r="G62" i="32"/>
  <c r="C62" i="32"/>
  <c r="L61" i="32"/>
  <c r="K61" i="32"/>
  <c r="J61" i="32"/>
  <c r="I61" i="32"/>
  <c r="H61" i="32"/>
  <c r="G61" i="32"/>
  <c r="C61" i="32"/>
  <c r="L60" i="32"/>
  <c r="K60" i="32"/>
  <c r="J60" i="32"/>
  <c r="I60" i="32"/>
  <c r="H60" i="32"/>
  <c r="G60" i="32"/>
  <c r="C60" i="32"/>
  <c r="L59" i="32"/>
  <c r="K59" i="32"/>
  <c r="J59" i="32"/>
  <c r="I59" i="32"/>
  <c r="H59" i="32"/>
  <c r="G59" i="32"/>
  <c r="C59" i="32"/>
  <c r="L58" i="32"/>
  <c r="K58" i="32"/>
  <c r="J58" i="32"/>
  <c r="I58" i="32"/>
  <c r="H58" i="32"/>
  <c r="G58" i="32"/>
  <c r="C58" i="32"/>
  <c r="L57" i="32"/>
  <c r="K57" i="32"/>
  <c r="J57" i="32"/>
  <c r="I57" i="32"/>
  <c r="H57" i="32"/>
  <c r="G57" i="32"/>
  <c r="C57" i="32"/>
  <c r="L56" i="32"/>
  <c r="K56" i="32"/>
  <c r="J56" i="32"/>
  <c r="I56" i="32"/>
  <c r="H56" i="32"/>
  <c r="G56" i="32"/>
  <c r="C56" i="32"/>
  <c r="L55" i="32"/>
  <c r="K55" i="32"/>
  <c r="J55" i="32"/>
  <c r="I55" i="32"/>
  <c r="H55" i="32"/>
  <c r="G55" i="32"/>
  <c r="C55" i="32"/>
  <c r="L54" i="32"/>
  <c r="K54" i="32"/>
  <c r="J54" i="32"/>
  <c r="I54" i="32"/>
  <c r="H54" i="32"/>
  <c r="G54" i="32"/>
  <c r="C54" i="32"/>
  <c r="L53" i="32"/>
  <c r="K53" i="32"/>
  <c r="J53" i="32"/>
  <c r="I53" i="32"/>
  <c r="H53" i="32"/>
  <c r="G53" i="32"/>
  <c r="C53" i="32"/>
  <c r="L52" i="32"/>
  <c r="K52" i="32"/>
  <c r="J52" i="32"/>
  <c r="I52" i="32"/>
  <c r="H52" i="32"/>
  <c r="G52" i="32"/>
  <c r="C52" i="32"/>
  <c r="L51" i="32"/>
  <c r="K51" i="32"/>
  <c r="J51" i="32"/>
  <c r="I51" i="32"/>
  <c r="H51" i="32"/>
  <c r="G51" i="32"/>
  <c r="C51" i="32"/>
  <c r="L50" i="32"/>
  <c r="K50" i="32"/>
  <c r="J50" i="32"/>
  <c r="I50" i="32"/>
  <c r="H50" i="32"/>
  <c r="G50" i="32"/>
  <c r="C50" i="32"/>
  <c r="L49" i="32"/>
  <c r="K49" i="32"/>
  <c r="J49" i="32"/>
  <c r="I49" i="32"/>
  <c r="H49" i="32"/>
  <c r="G49" i="32"/>
  <c r="C49" i="32"/>
  <c r="L48" i="32"/>
  <c r="K48" i="32"/>
  <c r="J48" i="32"/>
  <c r="I48" i="32"/>
  <c r="H48" i="32"/>
  <c r="G48" i="32"/>
  <c r="C48" i="32"/>
  <c r="L47" i="32"/>
  <c r="K47" i="32"/>
  <c r="J47" i="32"/>
  <c r="I47" i="32"/>
  <c r="H47" i="32"/>
  <c r="G47" i="32"/>
  <c r="C47" i="32"/>
  <c r="L46" i="32"/>
  <c r="K46" i="32"/>
  <c r="J46" i="32"/>
  <c r="I46" i="32"/>
  <c r="H46" i="32"/>
  <c r="G46" i="32"/>
  <c r="C46" i="32"/>
  <c r="L45" i="32"/>
  <c r="K45" i="32"/>
  <c r="J45" i="32"/>
  <c r="I45" i="32"/>
  <c r="H45" i="32"/>
  <c r="G45" i="32"/>
  <c r="C45" i="32"/>
  <c r="L44" i="32"/>
  <c r="K44" i="32"/>
  <c r="J44" i="32"/>
  <c r="I44" i="32"/>
  <c r="H44" i="32"/>
  <c r="G44" i="32"/>
  <c r="C44" i="32"/>
  <c r="L43" i="32"/>
  <c r="K43" i="32"/>
  <c r="J43" i="32"/>
  <c r="I43" i="32"/>
  <c r="H43" i="32"/>
  <c r="G43" i="32"/>
  <c r="C43" i="32"/>
  <c r="L42" i="32"/>
  <c r="K42" i="32"/>
  <c r="J42" i="32"/>
  <c r="I42" i="32"/>
  <c r="H42" i="32"/>
  <c r="G42" i="32"/>
  <c r="C42" i="32"/>
  <c r="L41" i="32"/>
  <c r="K41" i="32"/>
  <c r="J41" i="32"/>
  <c r="I41" i="32"/>
  <c r="H41" i="32"/>
  <c r="G41" i="32"/>
  <c r="C41" i="32"/>
  <c r="L40" i="32"/>
  <c r="K40" i="32"/>
  <c r="J40" i="32"/>
  <c r="I40" i="32"/>
  <c r="H40" i="32"/>
  <c r="G40" i="32"/>
  <c r="C40" i="32"/>
  <c r="L39" i="32"/>
  <c r="K39" i="32"/>
  <c r="J39" i="32"/>
  <c r="I39" i="32"/>
  <c r="H39" i="32"/>
  <c r="G39" i="32"/>
  <c r="C39" i="32"/>
  <c r="L38" i="32"/>
  <c r="K38" i="32"/>
  <c r="J38" i="32"/>
  <c r="I38" i="32"/>
  <c r="H38" i="32"/>
  <c r="G38" i="32"/>
  <c r="C38" i="32"/>
  <c r="L37" i="32"/>
  <c r="K37" i="32"/>
  <c r="J37" i="32"/>
  <c r="I37" i="32"/>
  <c r="H37" i="32"/>
  <c r="G37" i="32"/>
  <c r="C37" i="32"/>
  <c r="L36" i="32"/>
  <c r="K36" i="32"/>
  <c r="J36" i="32"/>
  <c r="I36" i="32"/>
  <c r="H36" i="32"/>
  <c r="G36" i="32"/>
  <c r="C36" i="32"/>
  <c r="L35" i="32"/>
  <c r="K35" i="32"/>
  <c r="J35" i="32"/>
  <c r="I35" i="32"/>
  <c r="H35" i="32"/>
  <c r="G35" i="32"/>
  <c r="C35" i="32"/>
  <c r="L34" i="32"/>
  <c r="K34" i="32"/>
  <c r="J34" i="32"/>
  <c r="I34" i="32"/>
  <c r="H34" i="32"/>
  <c r="G34" i="32"/>
  <c r="C34" i="32"/>
  <c r="L33" i="32"/>
  <c r="K33" i="32"/>
  <c r="J33" i="32"/>
  <c r="I33" i="32"/>
  <c r="H33" i="32"/>
  <c r="G33" i="32"/>
  <c r="C33" i="32"/>
  <c r="L32" i="32"/>
  <c r="K32" i="32"/>
  <c r="J32" i="32"/>
  <c r="I32" i="32"/>
  <c r="H32" i="32"/>
  <c r="G32" i="32"/>
  <c r="C32" i="32"/>
  <c r="L31" i="32"/>
  <c r="K31" i="32"/>
  <c r="J31" i="32"/>
  <c r="I31" i="32"/>
  <c r="H31" i="32"/>
  <c r="G31" i="32"/>
  <c r="C31" i="32"/>
  <c r="L30" i="32"/>
  <c r="K30" i="32"/>
  <c r="J30" i="32"/>
  <c r="I30" i="32"/>
  <c r="H30" i="32"/>
  <c r="G30" i="32"/>
  <c r="C30" i="32"/>
  <c r="K29" i="32"/>
  <c r="J29" i="32"/>
  <c r="I29" i="32"/>
  <c r="H29" i="32"/>
  <c r="G29" i="32"/>
  <c r="C29" i="32"/>
  <c r="F96" i="32"/>
  <c r="F105" i="32"/>
  <c r="F128"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I501" i="32"/>
  <c r="H501" i="32"/>
  <c r="G501" i="32"/>
  <c r="L500" i="32"/>
  <c r="K500" i="32"/>
  <c r="J500" i="32"/>
  <c r="I500" i="32"/>
  <c r="H500" i="32"/>
  <c r="G500" i="32"/>
  <c r="L499" i="32"/>
  <c r="K499" i="32"/>
  <c r="J499" i="32"/>
  <c r="I499" i="32"/>
  <c r="H499" i="32"/>
  <c r="G499" i="32"/>
  <c r="L498" i="32"/>
  <c r="K498" i="32"/>
  <c r="J498" i="32"/>
  <c r="I498" i="32"/>
  <c r="H498" i="32"/>
  <c r="G498" i="32"/>
  <c r="L496" i="32"/>
  <c r="K496" i="32"/>
  <c r="J496" i="32"/>
  <c r="I496" i="32"/>
  <c r="H496" i="32"/>
  <c r="G496" i="32"/>
  <c r="L495" i="32"/>
  <c r="K495" i="32"/>
  <c r="J495" i="32"/>
  <c r="I495" i="32"/>
  <c r="H495" i="32"/>
  <c r="G495" i="32"/>
  <c r="L494" i="32"/>
  <c r="K494" i="32"/>
  <c r="J494" i="32"/>
  <c r="I494" i="32"/>
  <c r="H494" i="32"/>
  <c r="G494" i="32"/>
  <c r="L493" i="32"/>
  <c r="K493" i="32"/>
  <c r="J493" i="32"/>
  <c r="I493" i="32"/>
  <c r="H493" i="32"/>
  <c r="G493" i="32"/>
  <c r="L492" i="32"/>
  <c r="K492" i="32"/>
  <c r="J492" i="32"/>
  <c r="I492" i="32"/>
  <c r="H492" i="32"/>
  <c r="G492" i="32"/>
  <c r="L491" i="32"/>
  <c r="K491" i="32"/>
  <c r="J491" i="32"/>
  <c r="I491" i="32"/>
  <c r="H491" i="32"/>
  <c r="G491" i="32"/>
  <c r="L490" i="32"/>
  <c r="K490" i="32"/>
  <c r="J490" i="32"/>
  <c r="I490" i="32"/>
  <c r="H490" i="32"/>
  <c r="G490" i="32"/>
  <c r="L489" i="32"/>
  <c r="K489" i="32"/>
  <c r="J489" i="32"/>
  <c r="I489" i="32"/>
  <c r="H489" i="32"/>
  <c r="G489" i="32"/>
  <c r="L488" i="32"/>
  <c r="K488" i="32"/>
  <c r="J488" i="32"/>
  <c r="I488" i="32"/>
  <c r="H488" i="32"/>
  <c r="G488" i="32"/>
  <c r="L487" i="32"/>
  <c r="K487" i="32"/>
  <c r="J487" i="32"/>
  <c r="I487" i="32"/>
  <c r="H487" i="32"/>
  <c r="G487" i="32"/>
  <c r="L486" i="32"/>
  <c r="K486" i="32"/>
  <c r="J486" i="32"/>
  <c r="I486" i="32"/>
  <c r="H486" i="32"/>
  <c r="G486" i="32"/>
  <c r="L485" i="32"/>
  <c r="K485" i="32"/>
  <c r="J485" i="32"/>
  <c r="I485" i="32"/>
  <c r="H485" i="32"/>
  <c r="G485" i="32"/>
  <c r="L484" i="32"/>
  <c r="K484" i="32"/>
  <c r="J484" i="32"/>
  <c r="I484" i="32"/>
  <c r="H484" i="32"/>
  <c r="G484" i="32"/>
  <c r="L483" i="32"/>
  <c r="K483" i="32"/>
  <c r="J483" i="32"/>
  <c r="I483" i="32"/>
  <c r="H483" i="32"/>
  <c r="G483" i="32"/>
  <c r="L482" i="32"/>
  <c r="K482" i="32"/>
  <c r="J482" i="32"/>
  <c r="I482" i="32"/>
  <c r="H482" i="32"/>
  <c r="G482" i="32"/>
  <c r="L481" i="32"/>
  <c r="K481" i="32"/>
  <c r="J481" i="32"/>
  <c r="I481" i="32"/>
  <c r="H481" i="32"/>
  <c r="G481" i="32"/>
  <c r="L480" i="32"/>
  <c r="K480" i="32"/>
  <c r="J480" i="32"/>
  <c r="I480" i="32"/>
  <c r="H480" i="32"/>
  <c r="G480" i="32"/>
  <c r="L479" i="32"/>
  <c r="K479" i="32"/>
  <c r="J479" i="32"/>
  <c r="I479" i="32"/>
  <c r="H479" i="32"/>
  <c r="G479" i="32"/>
  <c r="L478" i="32"/>
  <c r="K478" i="32"/>
  <c r="J478" i="32"/>
  <c r="I478" i="32"/>
  <c r="H478" i="32"/>
  <c r="G478" i="32"/>
  <c r="L477" i="32"/>
  <c r="K477" i="32"/>
  <c r="J477" i="32"/>
  <c r="I477" i="32"/>
  <c r="H477" i="32"/>
  <c r="G477" i="32"/>
  <c r="L476" i="32"/>
  <c r="K476" i="32"/>
  <c r="J476" i="32"/>
  <c r="I476" i="32"/>
  <c r="H476" i="32"/>
  <c r="G476" i="32"/>
  <c r="L475" i="32"/>
  <c r="K475" i="32"/>
  <c r="J475" i="32"/>
  <c r="I475" i="32"/>
  <c r="H475" i="32"/>
  <c r="G475" i="32"/>
  <c r="L474" i="32"/>
  <c r="K474" i="32"/>
  <c r="J474" i="32"/>
  <c r="I474" i="32"/>
  <c r="H474" i="32"/>
  <c r="G474" i="32"/>
  <c r="L473" i="32"/>
  <c r="K473" i="32"/>
  <c r="J473" i="32"/>
  <c r="I473" i="32"/>
  <c r="H473" i="32"/>
  <c r="G473" i="32"/>
  <c r="L472" i="32"/>
  <c r="K472" i="32"/>
  <c r="J472" i="32"/>
  <c r="I472" i="32"/>
  <c r="H472" i="32"/>
  <c r="G472" i="32"/>
  <c r="L471" i="32"/>
  <c r="K471" i="32"/>
  <c r="J471" i="32"/>
  <c r="I471" i="32"/>
  <c r="H471" i="32"/>
  <c r="G471" i="32"/>
  <c r="L470" i="32"/>
  <c r="K470" i="32"/>
  <c r="J470" i="32"/>
  <c r="I470" i="32"/>
  <c r="H470" i="32"/>
  <c r="G470" i="32"/>
  <c r="L469" i="32"/>
  <c r="K469" i="32"/>
  <c r="J469" i="32"/>
  <c r="I469" i="32"/>
  <c r="H469" i="32"/>
  <c r="G469" i="32"/>
  <c r="L468" i="32"/>
  <c r="K468" i="32"/>
  <c r="J468" i="32"/>
  <c r="I468" i="32"/>
  <c r="H468" i="32"/>
  <c r="G468" i="32"/>
  <c r="L467" i="32"/>
  <c r="K467" i="32"/>
  <c r="J467" i="32"/>
  <c r="I467" i="32"/>
  <c r="H467" i="32"/>
  <c r="G467" i="32"/>
  <c r="L466" i="32"/>
  <c r="K466" i="32"/>
  <c r="J466" i="32"/>
  <c r="I466" i="32"/>
  <c r="H466" i="32"/>
  <c r="G466" i="32"/>
  <c r="L465" i="32"/>
  <c r="K465" i="32"/>
  <c r="J465" i="32"/>
  <c r="I465" i="32"/>
  <c r="H465" i="32"/>
  <c r="G465" i="32"/>
  <c r="L464" i="32"/>
  <c r="K464" i="32"/>
  <c r="J464" i="32"/>
  <c r="I464" i="32"/>
  <c r="H464" i="32"/>
  <c r="G464" i="32"/>
  <c r="L463" i="32"/>
  <c r="K463" i="32"/>
  <c r="J463" i="32"/>
  <c r="I463" i="32"/>
  <c r="H463" i="32"/>
  <c r="G463" i="32"/>
  <c r="L462" i="32"/>
  <c r="K462" i="32"/>
  <c r="J462" i="32"/>
  <c r="I462" i="32"/>
  <c r="H462" i="32"/>
  <c r="G462" i="32"/>
  <c r="L461" i="32"/>
  <c r="K461" i="32"/>
  <c r="J461" i="32"/>
  <c r="I461" i="32"/>
  <c r="H461" i="32"/>
  <c r="G461" i="32"/>
  <c r="L460" i="32"/>
  <c r="K460" i="32"/>
  <c r="J460" i="32"/>
  <c r="I460" i="32"/>
  <c r="H460" i="32"/>
  <c r="G460" i="32"/>
  <c r="L459" i="32"/>
  <c r="K459" i="32"/>
  <c r="J459" i="32"/>
  <c r="I459" i="32"/>
  <c r="H459" i="32"/>
  <c r="G459" i="32"/>
  <c r="L458" i="32"/>
  <c r="K458" i="32"/>
  <c r="J458" i="32"/>
  <c r="I458" i="32"/>
  <c r="H458" i="32"/>
  <c r="G458" i="32"/>
  <c r="L457" i="32"/>
  <c r="K457" i="32"/>
  <c r="J457" i="32"/>
  <c r="I457" i="32"/>
  <c r="H457" i="32"/>
  <c r="G457" i="32"/>
  <c r="L456" i="32"/>
  <c r="K456" i="32"/>
  <c r="J456" i="32"/>
  <c r="I456" i="32"/>
  <c r="H456" i="32"/>
  <c r="G456" i="32"/>
  <c r="L455" i="32"/>
  <c r="K455" i="32"/>
  <c r="J455" i="32"/>
  <c r="I455" i="32"/>
  <c r="H455" i="32"/>
  <c r="G455" i="32"/>
  <c r="L454" i="32"/>
  <c r="K454" i="32"/>
  <c r="J454" i="32"/>
  <c r="I454" i="32"/>
  <c r="H454" i="32"/>
  <c r="G454" i="32"/>
  <c r="L453" i="32"/>
  <c r="K453" i="32"/>
  <c r="J453" i="32"/>
  <c r="I453" i="32"/>
  <c r="H453" i="32"/>
  <c r="G453" i="32"/>
  <c r="L452" i="32"/>
  <c r="K452" i="32"/>
  <c r="J452" i="32"/>
  <c r="I452" i="32"/>
  <c r="H452" i="32"/>
  <c r="G452" i="32"/>
  <c r="L451" i="32"/>
  <c r="K451" i="32"/>
  <c r="J451" i="32"/>
  <c r="I451" i="32"/>
  <c r="H451" i="32"/>
  <c r="G451" i="32"/>
  <c r="L450" i="32"/>
  <c r="K450" i="32"/>
  <c r="J450" i="32"/>
  <c r="I450" i="32"/>
  <c r="H450" i="32"/>
  <c r="G450" i="32"/>
  <c r="L449" i="32"/>
  <c r="K449" i="32"/>
  <c r="J449" i="32"/>
  <c r="I449" i="32"/>
  <c r="H449" i="32"/>
  <c r="G449" i="32"/>
  <c r="L448" i="32"/>
  <c r="K448" i="32"/>
  <c r="J448" i="32"/>
  <c r="I448" i="32"/>
  <c r="H448" i="32"/>
  <c r="G448" i="32"/>
  <c r="L447" i="32"/>
  <c r="K447" i="32"/>
  <c r="J447" i="32"/>
  <c r="I447" i="32"/>
  <c r="H447" i="32"/>
  <c r="G447" i="32"/>
  <c r="L446" i="32"/>
  <c r="K446" i="32"/>
  <c r="J446" i="32"/>
  <c r="I446" i="32"/>
  <c r="H446" i="32"/>
  <c r="G446" i="32"/>
  <c r="L445" i="32"/>
  <c r="K445" i="32"/>
  <c r="J445" i="32"/>
  <c r="I445" i="32"/>
  <c r="H445" i="32"/>
  <c r="G445" i="32"/>
  <c r="L444" i="32"/>
  <c r="K444" i="32"/>
  <c r="J444" i="32"/>
  <c r="I444" i="32"/>
  <c r="H444" i="32"/>
  <c r="G444" i="32"/>
  <c r="L443" i="32"/>
  <c r="K443" i="32"/>
  <c r="J443" i="32"/>
  <c r="I443" i="32"/>
  <c r="H443" i="32"/>
  <c r="G443" i="32"/>
  <c r="L442" i="32"/>
  <c r="K442" i="32"/>
  <c r="J442" i="32"/>
  <c r="I442" i="32"/>
  <c r="H442" i="32"/>
  <c r="G442" i="32"/>
  <c r="L441" i="32"/>
  <c r="K441" i="32"/>
  <c r="J441" i="32"/>
  <c r="I441" i="32"/>
  <c r="H441" i="32"/>
  <c r="G441" i="32"/>
  <c r="L440" i="32"/>
  <c r="K440" i="32"/>
  <c r="J440" i="32"/>
  <c r="I440" i="32"/>
  <c r="H440" i="32"/>
  <c r="G440" i="32"/>
  <c r="L439" i="32"/>
  <c r="K439" i="32"/>
  <c r="J439" i="32"/>
  <c r="I439" i="32"/>
  <c r="H439" i="32"/>
  <c r="G439" i="32"/>
  <c r="L438" i="32"/>
  <c r="K438" i="32"/>
  <c r="J438" i="32"/>
  <c r="I438" i="32"/>
  <c r="H438" i="32"/>
  <c r="G438" i="32"/>
  <c r="L437" i="32"/>
  <c r="K437" i="32"/>
  <c r="J437" i="32"/>
  <c r="I437" i="32"/>
  <c r="H437" i="32"/>
  <c r="G437" i="32"/>
  <c r="L436" i="32"/>
  <c r="K436" i="32"/>
  <c r="J436" i="32"/>
  <c r="I436" i="32"/>
  <c r="H436" i="32"/>
  <c r="G436" i="32"/>
  <c r="L435" i="32"/>
  <c r="K435" i="32"/>
  <c r="J435" i="32"/>
  <c r="I435" i="32"/>
  <c r="H435" i="32"/>
  <c r="G435" i="32"/>
  <c r="L434" i="32"/>
  <c r="K434" i="32"/>
  <c r="J434" i="32"/>
  <c r="I434" i="32"/>
  <c r="H434" i="32"/>
  <c r="G434" i="32"/>
  <c r="L433" i="32"/>
  <c r="K433" i="32"/>
  <c r="J433" i="32"/>
  <c r="I433" i="32"/>
  <c r="H433" i="32"/>
  <c r="G433" i="32"/>
  <c r="L432" i="32"/>
  <c r="K432" i="32"/>
  <c r="J432" i="32"/>
  <c r="I432" i="32"/>
  <c r="H432" i="32"/>
  <c r="G432" i="32"/>
  <c r="L431" i="32"/>
  <c r="K431" i="32"/>
  <c r="J431" i="32"/>
  <c r="I431" i="32"/>
  <c r="H431" i="32"/>
  <c r="G431" i="32"/>
  <c r="L430" i="32"/>
  <c r="K430" i="32"/>
  <c r="J430" i="32"/>
  <c r="I430" i="32"/>
  <c r="H430" i="32"/>
  <c r="G430" i="32"/>
  <c r="L429" i="32"/>
  <c r="K429" i="32"/>
  <c r="J429" i="32"/>
  <c r="I429" i="32"/>
  <c r="H429" i="32"/>
  <c r="G429" i="32"/>
  <c r="L428" i="32"/>
  <c r="K428" i="32"/>
  <c r="J428" i="32"/>
  <c r="I428" i="32"/>
  <c r="H428" i="32"/>
  <c r="G428" i="32"/>
  <c r="L427" i="32"/>
  <c r="K427" i="32"/>
  <c r="J427" i="32"/>
  <c r="I427" i="32"/>
  <c r="H427" i="32"/>
  <c r="G427" i="32"/>
  <c r="L426" i="32"/>
  <c r="K426" i="32"/>
  <c r="J426" i="32"/>
  <c r="I426" i="32"/>
  <c r="H426" i="32"/>
  <c r="G426" i="32"/>
  <c r="L425" i="32"/>
  <c r="K425" i="32"/>
  <c r="J425" i="32"/>
  <c r="I425" i="32"/>
  <c r="H425" i="32"/>
  <c r="G425" i="32"/>
  <c r="L424" i="32"/>
  <c r="K424" i="32"/>
  <c r="J424" i="32"/>
  <c r="I424" i="32"/>
  <c r="H424" i="32"/>
  <c r="G424" i="32"/>
  <c r="L423" i="32"/>
  <c r="K423" i="32"/>
  <c r="J423" i="32"/>
  <c r="I423" i="32"/>
  <c r="H423" i="32"/>
  <c r="G423" i="32"/>
  <c r="L422" i="32"/>
  <c r="K422" i="32"/>
  <c r="J422" i="32"/>
  <c r="I422" i="32"/>
  <c r="H422" i="32"/>
  <c r="G422" i="32"/>
  <c r="L421" i="32"/>
  <c r="K421" i="32"/>
  <c r="J421" i="32"/>
  <c r="I421" i="32"/>
  <c r="H421" i="32"/>
  <c r="G421" i="32"/>
  <c r="L420" i="32"/>
  <c r="K420" i="32"/>
  <c r="J420" i="32"/>
  <c r="I420" i="32"/>
  <c r="H420" i="32"/>
  <c r="G420" i="32"/>
  <c r="L419" i="32"/>
  <c r="K419" i="32"/>
  <c r="J419" i="32"/>
  <c r="I419" i="32"/>
  <c r="H419" i="32"/>
  <c r="G419" i="32"/>
  <c r="L418" i="32"/>
  <c r="K418" i="32"/>
  <c r="J418" i="32"/>
  <c r="I418" i="32"/>
  <c r="H418" i="32"/>
  <c r="G418" i="32"/>
  <c r="L417" i="32"/>
  <c r="K417" i="32"/>
  <c r="J417" i="32"/>
  <c r="I417" i="32"/>
  <c r="H417" i="32"/>
  <c r="G417" i="32"/>
  <c r="L416" i="32"/>
  <c r="K416" i="32"/>
  <c r="J416" i="32"/>
  <c r="I416" i="32"/>
  <c r="H416" i="32"/>
  <c r="G416" i="32"/>
  <c r="L415" i="32"/>
  <c r="K415" i="32"/>
  <c r="J415" i="32"/>
  <c r="I415" i="32"/>
  <c r="H415" i="32"/>
  <c r="G415" i="32"/>
  <c r="L414" i="32"/>
  <c r="K414" i="32"/>
  <c r="J414" i="32"/>
  <c r="I414" i="32"/>
  <c r="H414" i="32"/>
  <c r="G414" i="32"/>
  <c r="L413" i="32"/>
  <c r="K413" i="32"/>
  <c r="J413" i="32"/>
  <c r="I413" i="32"/>
  <c r="H413" i="32"/>
  <c r="G413" i="32"/>
  <c r="L412" i="32"/>
  <c r="K412" i="32"/>
  <c r="J412" i="32"/>
  <c r="I412" i="32"/>
  <c r="H412" i="32"/>
  <c r="G412" i="32"/>
  <c r="L411" i="32"/>
  <c r="K411" i="32"/>
  <c r="J411" i="32"/>
  <c r="I411" i="32"/>
  <c r="H411" i="32"/>
  <c r="G411" i="32"/>
  <c r="L410" i="32"/>
  <c r="K410" i="32"/>
  <c r="J410" i="32"/>
  <c r="I410" i="32"/>
  <c r="H410" i="32"/>
  <c r="G410" i="32"/>
  <c r="L409" i="32"/>
  <c r="K409" i="32"/>
  <c r="J409" i="32"/>
  <c r="I409" i="32"/>
  <c r="H409" i="32"/>
  <c r="G409" i="32"/>
  <c r="L408" i="32"/>
  <c r="K408" i="32"/>
  <c r="J408" i="32"/>
  <c r="I408" i="32"/>
  <c r="H408" i="32"/>
  <c r="G408" i="32"/>
  <c r="L407" i="32"/>
  <c r="K407" i="32"/>
  <c r="J407" i="32"/>
  <c r="I407" i="32"/>
  <c r="H407" i="32"/>
  <c r="G407" i="32"/>
  <c r="L406" i="32"/>
  <c r="K406" i="32"/>
  <c r="J406" i="32"/>
  <c r="I406" i="32"/>
  <c r="H406" i="32"/>
  <c r="G406" i="32"/>
  <c r="L405" i="32"/>
  <c r="K405" i="32"/>
  <c r="J405" i="32"/>
  <c r="I405" i="32"/>
  <c r="H405" i="32"/>
  <c r="G405" i="32"/>
  <c r="L404" i="32"/>
  <c r="K404" i="32"/>
  <c r="J404" i="32"/>
  <c r="I404" i="32"/>
  <c r="H404" i="32"/>
  <c r="G404" i="32"/>
  <c r="L403" i="32"/>
  <c r="K403" i="32"/>
  <c r="J403" i="32"/>
  <c r="I403" i="32"/>
  <c r="H403" i="32"/>
  <c r="G403" i="32"/>
  <c r="L402" i="32"/>
  <c r="K402" i="32"/>
  <c r="J402" i="32"/>
  <c r="I402" i="32"/>
  <c r="H402" i="32"/>
  <c r="G402" i="32"/>
  <c r="L401" i="32"/>
  <c r="K401" i="32"/>
  <c r="J401" i="32"/>
  <c r="I401" i="32"/>
  <c r="H401" i="32"/>
  <c r="G401" i="32"/>
  <c r="L400" i="32"/>
  <c r="K400" i="32"/>
  <c r="J400" i="32"/>
  <c r="I400" i="32"/>
  <c r="H400" i="32"/>
  <c r="G400" i="32"/>
  <c r="L399" i="32"/>
  <c r="K399" i="32"/>
  <c r="J399" i="32"/>
  <c r="I399" i="32"/>
  <c r="H399" i="32"/>
  <c r="G399" i="32"/>
  <c r="L398" i="32"/>
  <c r="K398" i="32"/>
  <c r="J398" i="32"/>
  <c r="I398" i="32"/>
  <c r="H398" i="32"/>
  <c r="G398" i="32"/>
  <c r="L397" i="32"/>
  <c r="K397" i="32"/>
  <c r="J397" i="32"/>
  <c r="I397" i="32"/>
  <c r="H397" i="32"/>
  <c r="G397" i="32"/>
  <c r="L396" i="32"/>
  <c r="K396" i="32"/>
  <c r="J396" i="32"/>
  <c r="I396" i="32"/>
  <c r="H396" i="32"/>
  <c r="G396" i="32"/>
  <c r="L395" i="32"/>
  <c r="K395" i="32"/>
  <c r="J395" i="32"/>
  <c r="I395" i="32"/>
  <c r="H395" i="32"/>
  <c r="G395" i="32"/>
  <c r="L394" i="32"/>
  <c r="K394" i="32"/>
  <c r="J394" i="32"/>
  <c r="I394" i="32"/>
  <c r="H394" i="32"/>
  <c r="G394" i="32"/>
  <c r="L393" i="32"/>
  <c r="K393" i="32"/>
  <c r="J393" i="32"/>
  <c r="I393" i="32"/>
  <c r="H393" i="32"/>
  <c r="G393" i="32"/>
  <c r="L392" i="32"/>
  <c r="K392" i="32"/>
  <c r="J392" i="32"/>
  <c r="I392" i="32"/>
  <c r="H392" i="32"/>
  <c r="G392" i="32"/>
  <c r="L391" i="32"/>
  <c r="K391" i="32"/>
  <c r="J391" i="32"/>
  <c r="I391" i="32"/>
  <c r="H391" i="32"/>
  <c r="G391" i="32"/>
  <c r="L390" i="32"/>
  <c r="J390" i="32"/>
  <c r="I390" i="32"/>
  <c r="H390" i="32"/>
  <c r="G390" i="32"/>
  <c r="L389" i="32"/>
  <c r="J389" i="32"/>
  <c r="I389" i="32"/>
  <c r="H389" i="32"/>
  <c r="G389" i="32"/>
  <c r="L388" i="32"/>
  <c r="J388" i="32"/>
  <c r="I388" i="32"/>
  <c r="H388" i="32"/>
  <c r="G388" i="32"/>
  <c r="L387" i="32"/>
  <c r="J387" i="32"/>
  <c r="I387" i="32"/>
  <c r="H387" i="32"/>
  <c r="G387" i="32"/>
  <c r="L386" i="32"/>
  <c r="J386" i="32"/>
  <c r="I386" i="32"/>
  <c r="H386" i="32"/>
  <c r="G386" i="32"/>
  <c r="L385" i="32"/>
  <c r="J385" i="32"/>
  <c r="I385" i="32"/>
  <c r="H385" i="32"/>
  <c r="G385" i="32"/>
  <c r="L384" i="32"/>
  <c r="J384" i="32"/>
  <c r="I384" i="32"/>
  <c r="H384" i="32"/>
  <c r="G384" i="32"/>
  <c r="L383" i="32"/>
  <c r="J383" i="32"/>
  <c r="I383" i="32"/>
  <c r="H383" i="32"/>
  <c r="G383" i="32"/>
  <c r="L382" i="32"/>
  <c r="J382" i="32"/>
  <c r="I382" i="32"/>
  <c r="H382" i="32"/>
  <c r="G382" i="32"/>
  <c r="L381" i="32"/>
  <c r="J381" i="32"/>
  <c r="I381" i="32"/>
  <c r="H381" i="32"/>
  <c r="G381" i="32"/>
  <c r="L380" i="32"/>
  <c r="J380" i="32"/>
  <c r="I380" i="32"/>
  <c r="H380" i="32"/>
  <c r="G380" i="32"/>
  <c r="L379" i="32"/>
  <c r="J379" i="32"/>
  <c r="I379" i="32"/>
  <c r="H379" i="32"/>
  <c r="G379" i="32"/>
  <c r="L378" i="32"/>
  <c r="J378" i="32"/>
  <c r="I378" i="32"/>
  <c r="H378" i="32"/>
  <c r="G378" i="32"/>
  <c r="L377" i="32"/>
  <c r="J377" i="32"/>
  <c r="I377" i="32"/>
  <c r="H377" i="32"/>
  <c r="G377" i="32"/>
  <c r="L376" i="32"/>
  <c r="J376" i="32"/>
  <c r="I376" i="32"/>
  <c r="H376" i="32"/>
  <c r="G376" i="32"/>
  <c r="L375" i="32"/>
  <c r="J375" i="32"/>
  <c r="I375" i="32"/>
  <c r="H375" i="32"/>
  <c r="G375" i="32"/>
  <c r="L374" i="32"/>
  <c r="J374" i="32"/>
  <c r="I374" i="32"/>
  <c r="H374" i="32"/>
  <c r="G374" i="32"/>
  <c r="L373" i="32"/>
  <c r="J373" i="32"/>
  <c r="I373" i="32"/>
  <c r="H373" i="32"/>
  <c r="G373" i="32"/>
  <c r="L372" i="32"/>
  <c r="J372" i="32"/>
  <c r="I372" i="32"/>
  <c r="H372" i="32"/>
  <c r="G372" i="32"/>
  <c r="L371" i="32"/>
  <c r="J371" i="32"/>
  <c r="I371" i="32"/>
  <c r="H371" i="32"/>
  <c r="G371" i="32"/>
  <c r="L370" i="32"/>
  <c r="J370" i="32"/>
  <c r="I370" i="32"/>
  <c r="H370" i="32"/>
  <c r="G370" i="32"/>
  <c r="L369" i="32"/>
  <c r="J369" i="32"/>
  <c r="I369" i="32"/>
  <c r="H369" i="32"/>
  <c r="G369" i="32"/>
  <c r="L368" i="32"/>
  <c r="J368" i="32"/>
  <c r="I368" i="32"/>
  <c r="H368" i="32"/>
  <c r="G368" i="32"/>
  <c r="L367" i="32"/>
  <c r="J367" i="32"/>
  <c r="I367" i="32"/>
  <c r="H367" i="32"/>
  <c r="G367" i="32"/>
  <c r="L366" i="32"/>
  <c r="J366" i="32"/>
  <c r="I366" i="32"/>
  <c r="H366" i="32"/>
  <c r="G366" i="32"/>
  <c r="L365" i="32"/>
  <c r="J365" i="32"/>
  <c r="I365" i="32"/>
  <c r="H365" i="32"/>
  <c r="G365" i="32"/>
  <c r="L364" i="32"/>
  <c r="J364" i="32"/>
  <c r="I364" i="32"/>
  <c r="H364" i="32"/>
  <c r="G364" i="32"/>
  <c r="L363" i="32"/>
  <c r="J363" i="32"/>
  <c r="I363" i="32"/>
  <c r="H363" i="32"/>
  <c r="G363" i="32"/>
  <c r="L362" i="32"/>
  <c r="J362" i="32"/>
  <c r="I362" i="32"/>
  <c r="H362" i="32"/>
  <c r="G362" i="32"/>
  <c r="L361" i="32"/>
  <c r="J361" i="32"/>
  <c r="I361" i="32"/>
  <c r="H361" i="32"/>
  <c r="G361" i="32"/>
  <c r="L360" i="32"/>
  <c r="J360" i="32"/>
  <c r="I360" i="32"/>
  <c r="H360" i="32"/>
  <c r="G360" i="32"/>
  <c r="L359" i="32"/>
  <c r="J359" i="32"/>
  <c r="I359" i="32"/>
  <c r="H359" i="32"/>
  <c r="G359" i="32"/>
  <c r="L358" i="32"/>
  <c r="J358" i="32"/>
  <c r="I358" i="32"/>
  <c r="H358" i="32"/>
  <c r="G358" i="32"/>
  <c r="L357" i="32"/>
  <c r="J357" i="32"/>
  <c r="I357" i="32"/>
  <c r="H357" i="32"/>
  <c r="G357" i="32"/>
  <c r="L356" i="32"/>
  <c r="J356" i="32"/>
  <c r="I356" i="32"/>
  <c r="H356" i="32"/>
  <c r="G356" i="32"/>
  <c r="L355" i="32"/>
  <c r="J355" i="32"/>
  <c r="I355" i="32"/>
  <c r="H355" i="32"/>
  <c r="G355" i="32"/>
  <c r="L354" i="32"/>
  <c r="J354" i="32"/>
  <c r="I354" i="32"/>
  <c r="H354" i="32"/>
  <c r="G354" i="32"/>
  <c r="L353" i="32"/>
  <c r="J353" i="32"/>
  <c r="I353" i="32"/>
  <c r="H353" i="32"/>
  <c r="G353" i="32"/>
  <c r="L352" i="32"/>
  <c r="J352" i="32"/>
  <c r="I352" i="32"/>
  <c r="H352" i="32"/>
  <c r="G352" i="32"/>
  <c r="L351" i="32"/>
  <c r="J351" i="32"/>
  <c r="I351" i="32"/>
  <c r="H351" i="32"/>
  <c r="G351" i="32"/>
  <c r="L350" i="32"/>
  <c r="J350" i="32"/>
  <c r="I350" i="32"/>
  <c r="H350" i="32"/>
  <c r="G350" i="32"/>
  <c r="L349" i="32"/>
  <c r="J349" i="32"/>
  <c r="I349" i="32"/>
  <c r="H349" i="32"/>
  <c r="G349" i="32"/>
  <c r="L348" i="32"/>
  <c r="J348" i="32"/>
  <c r="I348" i="32"/>
  <c r="H348" i="32"/>
  <c r="G348" i="32"/>
  <c r="L347" i="32"/>
  <c r="J347" i="32"/>
  <c r="I347" i="32"/>
  <c r="H347" i="32"/>
  <c r="G347" i="32"/>
  <c r="L346" i="32"/>
  <c r="J346" i="32"/>
  <c r="I346" i="32"/>
  <c r="H346" i="32"/>
  <c r="G346" i="32"/>
  <c r="L345" i="32"/>
  <c r="J345" i="32"/>
  <c r="I345" i="32"/>
  <c r="H345" i="32"/>
  <c r="G345" i="32"/>
  <c r="L344" i="32"/>
  <c r="J344" i="32"/>
  <c r="I344" i="32"/>
  <c r="H344" i="32"/>
  <c r="G344" i="32"/>
  <c r="L343" i="32"/>
  <c r="J343" i="32"/>
  <c r="I343" i="32"/>
  <c r="H343" i="32"/>
  <c r="G343" i="32"/>
  <c r="L342" i="32"/>
  <c r="J342" i="32"/>
  <c r="I342" i="32"/>
  <c r="H342" i="32"/>
  <c r="G342" i="32"/>
  <c r="L341" i="32"/>
  <c r="J341" i="32"/>
  <c r="I341" i="32"/>
  <c r="H341" i="32"/>
  <c r="G341" i="32"/>
  <c r="L340" i="32"/>
  <c r="J340" i="32"/>
  <c r="I340" i="32"/>
  <c r="H340" i="32"/>
  <c r="G340" i="32"/>
  <c r="L339" i="32"/>
  <c r="J339" i="32"/>
  <c r="I339" i="32"/>
  <c r="H339" i="32"/>
  <c r="G339" i="32"/>
  <c r="L338" i="32"/>
  <c r="J338" i="32"/>
  <c r="I338" i="32"/>
  <c r="H338" i="32"/>
  <c r="G338" i="32"/>
  <c r="L337" i="32"/>
  <c r="J337" i="32"/>
  <c r="I337" i="32"/>
  <c r="H337" i="32"/>
  <c r="G337" i="32"/>
  <c r="L336" i="32"/>
  <c r="J336" i="32"/>
  <c r="I336" i="32"/>
  <c r="H336" i="32"/>
  <c r="G336" i="32"/>
  <c r="L335" i="32"/>
  <c r="J335" i="32"/>
  <c r="I335" i="32"/>
  <c r="H335" i="32"/>
  <c r="G335" i="32"/>
  <c r="L334" i="32"/>
  <c r="J334" i="32"/>
  <c r="I334" i="32"/>
  <c r="H334" i="32"/>
  <c r="G334" i="32"/>
  <c r="L333" i="32"/>
  <c r="J333" i="32"/>
  <c r="I333" i="32"/>
  <c r="H333" i="32"/>
  <c r="G333" i="32"/>
  <c r="L332" i="32"/>
  <c r="J332" i="32"/>
  <c r="I332" i="32"/>
  <c r="H332" i="32"/>
  <c r="G332" i="32"/>
  <c r="L331" i="32"/>
  <c r="J331" i="32"/>
  <c r="I331" i="32"/>
  <c r="H331" i="32"/>
  <c r="G331" i="32"/>
  <c r="L330" i="32"/>
  <c r="J330" i="32"/>
  <c r="I330" i="32"/>
  <c r="H330" i="32"/>
  <c r="G330" i="32"/>
  <c r="L329" i="32"/>
  <c r="J329" i="32"/>
  <c r="I329" i="32"/>
  <c r="H329" i="32"/>
  <c r="G329" i="32"/>
  <c r="L328" i="32"/>
  <c r="J328" i="32"/>
  <c r="I328" i="32"/>
  <c r="H328" i="32"/>
  <c r="G328" i="32"/>
  <c r="L327" i="32"/>
  <c r="J327" i="32"/>
  <c r="I327" i="32"/>
  <c r="H327" i="32"/>
  <c r="G327" i="32"/>
  <c r="L326" i="32"/>
  <c r="J326" i="32"/>
  <c r="I326" i="32"/>
  <c r="H326" i="32"/>
  <c r="G326" i="32"/>
  <c r="L325" i="32"/>
  <c r="J325" i="32"/>
  <c r="I325" i="32"/>
  <c r="H325" i="32"/>
  <c r="G325" i="32"/>
  <c r="L324" i="32"/>
  <c r="J324" i="32"/>
  <c r="I324" i="32"/>
  <c r="H324" i="32"/>
  <c r="G324" i="32"/>
  <c r="L323" i="32"/>
  <c r="J323" i="32"/>
  <c r="I323" i="32"/>
  <c r="H323" i="32"/>
  <c r="G323" i="32"/>
  <c r="L322" i="32"/>
  <c r="J322" i="32"/>
  <c r="I322" i="32"/>
  <c r="H322" i="32"/>
  <c r="G322" i="32"/>
  <c r="L321" i="32"/>
  <c r="J321" i="32"/>
  <c r="I321" i="32"/>
  <c r="H321" i="32"/>
  <c r="G321" i="32"/>
  <c r="L320" i="32"/>
  <c r="J320" i="32"/>
  <c r="I320" i="32"/>
  <c r="H320" i="32"/>
  <c r="G320" i="32"/>
  <c r="L319" i="32"/>
  <c r="J319" i="32"/>
  <c r="I319" i="32"/>
  <c r="H319" i="32"/>
  <c r="G319" i="32"/>
  <c r="L318" i="32"/>
  <c r="J318" i="32"/>
  <c r="I318" i="32"/>
  <c r="H318" i="32"/>
  <c r="G318" i="32"/>
  <c r="L317" i="32"/>
  <c r="J317" i="32"/>
  <c r="I317" i="32"/>
  <c r="H317" i="32"/>
  <c r="G317" i="32"/>
  <c r="L316" i="32"/>
  <c r="J316" i="32"/>
  <c r="I316" i="32"/>
  <c r="H316" i="32"/>
  <c r="G316" i="32"/>
  <c r="L315" i="32"/>
  <c r="J315" i="32"/>
  <c r="I315" i="32"/>
  <c r="H315" i="32"/>
  <c r="G315" i="32"/>
  <c r="L314" i="32"/>
  <c r="J314" i="32"/>
  <c r="I314" i="32"/>
  <c r="H314" i="32"/>
  <c r="G314" i="32"/>
  <c r="L313" i="32"/>
  <c r="J313" i="32"/>
  <c r="I313" i="32"/>
  <c r="H313" i="32"/>
  <c r="G313" i="32"/>
  <c r="L312" i="32"/>
  <c r="J312" i="32"/>
  <c r="I312" i="32"/>
  <c r="H312" i="32"/>
  <c r="G312" i="32"/>
  <c r="L311" i="32"/>
  <c r="J311" i="32"/>
  <c r="I311" i="32"/>
  <c r="H311" i="32"/>
  <c r="G311" i="32"/>
  <c r="L310" i="32"/>
  <c r="J310" i="32"/>
  <c r="I310" i="32"/>
  <c r="H310" i="32"/>
  <c r="G310" i="32"/>
  <c r="L309" i="32"/>
  <c r="J309" i="32"/>
  <c r="I309" i="32"/>
  <c r="H309" i="32"/>
  <c r="G309" i="32"/>
  <c r="L308" i="32"/>
  <c r="J308" i="32"/>
  <c r="I308" i="32"/>
  <c r="H308" i="32"/>
  <c r="G308" i="32"/>
  <c r="L307" i="32"/>
  <c r="J307" i="32"/>
  <c r="I307" i="32"/>
  <c r="H307" i="32"/>
  <c r="G307" i="32"/>
  <c r="L306" i="32"/>
  <c r="J306" i="32"/>
  <c r="I306" i="32"/>
  <c r="H306" i="32"/>
  <c r="G306" i="32"/>
  <c r="L305" i="32"/>
  <c r="J305" i="32"/>
  <c r="I305" i="32"/>
  <c r="H305" i="32"/>
  <c r="G305" i="32"/>
  <c r="L304" i="32"/>
  <c r="J304" i="32"/>
  <c r="I304" i="32"/>
  <c r="H304" i="32"/>
  <c r="G304" i="32"/>
  <c r="L303" i="32"/>
  <c r="J303" i="32"/>
  <c r="I303" i="32"/>
  <c r="H303" i="32"/>
  <c r="G303" i="32"/>
  <c r="L302" i="32"/>
  <c r="J302" i="32"/>
  <c r="I302" i="32"/>
  <c r="H302" i="32"/>
  <c r="G302" i="32"/>
  <c r="L301" i="32"/>
  <c r="J301" i="32"/>
  <c r="I301" i="32"/>
  <c r="H301" i="32"/>
  <c r="G301" i="32"/>
  <c r="L300" i="32"/>
  <c r="J300" i="32"/>
  <c r="I300" i="32"/>
  <c r="H300" i="32"/>
  <c r="G300" i="32"/>
  <c r="L299" i="32"/>
  <c r="J299" i="32"/>
  <c r="I299" i="32"/>
  <c r="H299" i="32"/>
  <c r="G299" i="32"/>
  <c r="L298" i="32"/>
  <c r="J298" i="32"/>
  <c r="I298" i="32"/>
  <c r="H298" i="32"/>
  <c r="G298" i="32"/>
  <c r="L297" i="32"/>
  <c r="J297" i="32"/>
  <c r="I297" i="32"/>
  <c r="H297" i="32"/>
  <c r="G297" i="32"/>
  <c r="L296" i="32"/>
  <c r="J296" i="32"/>
  <c r="I296" i="32"/>
  <c r="H296" i="32"/>
  <c r="G296" i="32"/>
  <c r="L295" i="32"/>
  <c r="J295" i="32"/>
  <c r="I295" i="32"/>
  <c r="H295" i="32"/>
  <c r="G295" i="32"/>
  <c r="L294" i="32"/>
  <c r="J294" i="32"/>
  <c r="I294" i="32"/>
  <c r="H294" i="32"/>
  <c r="G294" i="32"/>
  <c r="L293" i="32"/>
  <c r="J293" i="32"/>
  <c r="I293" i="32"/>
  <c r="H293" i="32"/>
  <c r="G293" i="32"/>
  <c r="L292" i="32"/>
  <c r="J292" i="32"/>
  <c r="I292" i="32"/>
  <c r="H292" i="32"/>
  <c r="G292" i="32"/>
  <c r="L291" i="32"/>
  <c r="J291" i="32"/>
  <c r="I291" i="32"/>
  <c r="H291" i="32"/>
  <c r="G291" i="32"/>
  <c r="L290" i="32"/>
  <c r="J290" i="32"/>
  <c r="I290" i="32"/>
  <c r="H290" i="32"/>
  <c r="G290" i="32"/>
  <c r="L289" i="32"/>
  <c r="J289" i="32"/>
  <c r="I289" i="32"/>
  <c r="H289" i="32"/>
  <c r="G289" i="32"/>
  <c r="L288" i="32"/>
  <c r="J288" i="32"/>
  <c r="I288" i="32"/>
  <c r="H288" i="32"/>
  <c r="G288" i="32"/>
  <c r="L287" i="32"/>
  <c r="J287" i="32"/>
  <c r="I287" i="32"/>
  <c r="H287" i="32"/>
  <c r="G287" i="32"/>
  <c r="L286" i="32"/>
  <c r="J286" i="32"/>
  <c r="I286" i="32"/>
  <c r="H286" i="32"/>
  <c r="G286" i="32"/>
  <c r="L285" i="32"/>
  <c r="J285" i="32"/>
  <c r="I285" i="32"/>
  <c r="H285" i="32"/>
  <c r="G285" i="32"/>
  <c r="L284" i="32"/>
  <c r="J284" i="32"/>
  <c r="I284" i="32"/>
  <c r="H284" i="32"/>
  <c r="G284" i="32"/>
  <c r="L283" i="32"/>
  <c r="J283" i="32"/>
  <c r="I283" i="32"/>
  <c r="H283" i="32"/>
  <c r="G283" i="32"/>
  <c r="L282" i="32"/>
  <c r="J282" i="32"/>
  <c r="I282" i="32"/>
  <c r="H282" i="32"/>
  <c r="G282" i="32"/>
  <c r="L281" i="32"/>
  <c r="J281" i="32"/>
  <c r="I281" i="32"/>
  <c r="H281" i="32"/>
  <c r="G281" i="32"/>
  <c r="L280" i="32"/>
  <c r="J280" i="32"/>
  <c r="I280" i="32"/>
  <c r="H280" i="32"/>
  <c r="G280" i="32"/>
  <c r="L279" i="32"/>
  <c r="J279" i="32"/>
  <c r="I279" i="32"/>
  <c r="H279" i="32"/>
  <c r="G279" i="32"/>
  <c r="L278" i="32"/>
  <c r="J278" i="32"/>
  <c r="I278" i="32"/>
  <c r="H278" i="32"/>
  <c r="G278" i="32"/>
  <c r="L277" i="32"/>
  <c r="J277" i="32"/>
  <c r="I277" i="32"/>
  <c r="H277" i="32"/>
  <c r="G277" i="32"/>
  <c r="L276" i="32"/>
  <c r="J276" i="32"/>
  <c r="I276" i="32"/>
  <c r="H276" i="32"/>
  <c r="G276" i="32"/>
  <c r="L275" i="32"/>
  <c r="J275" i="32"/>
  <c r="I275" i="32"/>
  <c r="H275" i="32"/>
  <c r="G275" i="32"/>
  <c r="L274" i="32"/>
  <c r="J274" i="32"/>
  <c r="I274" i="32"/>
  <c r="H274" i="32"/>
  <c r="G274" i="32"/>
  <c r="L273" i="32"/>
  <c r="J273" i="32"/>
  <c r="I273" i="32"/>
  <c r="H273" i="32"/>
  <c r="G273" i="32"/>
  <c r="L272" i="32"/>
  <c r="J272" i="32"/>
  <c r="I272" i="32"/>
  <c r="H272" i="32"/>
  <c r="G272" i="32"/>
  <c r="L271" i="32"/>
  <c r="J271" i="32"/>
  <c r="I271" i="32"/>
  <c r="H271" i="32"/>
  <c r="G271" i="32"/>
  <c r="L270" i="32"/>
  <c r="J270" i="32"/>
  <c r="I270" i="32"/>
  <c r="H270" i="32"/>
  <c r="G270" i="32"/>
  <c r="L269" i="32"/>
  <c r="J269" i="32"/>
  <c r="I269" i="32"/>
  <c r="H269" i="32"/>
  <c r="G269" i="32"/>
  <c r="L268" i="32"/>
  <c r="J268" i="32"/>
  <c r="I268" i="32"/>
  <c r="H268" i="32"/>
  <c r="G268" i="32"/>
  <c r="L267" i="32"/>
  <c r="J267" i="32"/>
  <c r="I267" i="32"/>
  <c r="H267" i="32"/>
  <c r="G267" i="32"/>
  <c r="L266" i="32"/>
  <c r="J266" i="32"/>
  <c r="I266" i="32"/>
  <c r="H266" i="32"/>
  <c r="G266" i="32"/>
  <c r="L265" i="32"/>
  <c r="J265" i="32"/>
  <c r="I265" i="32"/>
  <c r="H265" i="32"/>
  <c r="G265" i="32"/>
  <c r="L264" i="32"/>
  <c r="J264" i="32"/>
  <c r="I264" i="32"/>
  <c r="H264" i="32"/>
  <c r="G264" i="32"/>
  <c r="L263" i="32"/>
  <c r="J263" i="32"/>
  <c r="I263" i="32"/>
  <c r="H263" i="32"/>
  <c r="G263" i="32"/>
  <c r="L262" i="32"/>
  <c r="J262" i="32"/>
  <c r="I262" i="32"/>
  <c r="H262" i="32"/>
  <c r="G262" i="32"/>
  <c r="L261" i="32"/>
  <c r="J261" i="32"/>
  <c r="I261" i="32"/>
  <c r="H261" i="32"/>
  <c r="G261" i="32"/>
  <c r="L260" i="32"/>
  <c r="J260" i="32"/>
  <c r="I260" i="32"/>
  <c r="H260" i="32"/>
  <c r="G260" i="32"/>
  <c r="L259" i="32"/>
  <c r="J259" i="32"/>
  <c r="I259" i="32"/>
  <c r="H259" i="32"/>
  <c r="G259" i="32"/>
  <c r="L258" i="32"/>
  <c r="J258" i="32"/>
  <c r="I258" i="32"/>
  <c r="H258" i="32"/>
  <c r="G258" i="32"/>
  <c r="L257" i="32"/>
  <c r="J257" i="32"/>
  <c r="I257" i="32"/>
  <c r="H257" i="32"/>
  <c r="G257" i="32"/>
  <c r="L256" i="32"/>
  <c r="J256" i="32"/>
  <c r="I256" i="32"/>
  <c r="H256" i="32"/>
  <c r="G256" i="32"/>
  <c r="L255" i="32"/>
  <c r="J255" i="32"/>
  <c r="I255" i="32"/>
  <c r="H255" i="32"/>
  <c r="G255" i="32"/>
  <c r="L254" i="32"/>
  <c r="J254" i="32"/>
  <c r="I254" i="32"/>
  <c r="H254" i="32"/>
  <c r="G254" i="32"/>
  <c r="L253" i="32"/>
  <c r="J253" i="32"/>
  <c r="I253" i="32"/>
  <c r="H253" i="32"/>
  <c r="G253" i="32"/>
  <c r="L252" i="32"/>
  <c r="J252" i="32"/>
  <c r="I252" i="32"/>
  <c r="H252" i="32"/>
  <c r="G252" i="32"/>
  <c r="L251" i="32"/>
  <c r="J251" i="32"/>
  <c r="I251" i="32"/>
  <c r="H251" i="32"/>
  <c r="G251" i="32"/>
  <c r="L250" i="32"/>
  <c r="J250" i="32"/>
  <c r="I250" i="32"/>
  <c r="H250" i="32"/>
  <c r="G250" i="32"/>
  <c r="L249" i="32"/>
  <c r="J249" i="32"/>
  <c r="I249" i="32"/>
  <c r="H249" i="32"/>
  <c r="G249" i="32"/>
  <c r="L248" i="32"/>
  <c r="J248" i="32"/>
  <c r="I248" i="32"/>
  <c r="H248" i="32"/>
  <c r="G248" i="32"/>
  <c r="L247" i="32"/>
  <c r="J247" i="32"/>
  <c r="I247" i="32"/>
  <c r="H247" i="32"/>
  <c r="G247" i="32"/>
  <c r="L246" i="32"/>
  <c r="J246" i="32"/>
  <c r="I246" i="32"/>
  <c r="H246" i="32"/>
  <c r="G246" i="32"/>
  <c r="L245" i="32"/>
  <c r="J245" i="32"/>
  <c r="I245" i="32"/>
  <c r="H245" i="32"/>
  <c r="G245" i="32"/>
  <c r="L244" i="32"/>
  <c r="J244" i="32"/>
  <c r="I244" i="32"/>
  <c r="H244" i="32"/>
  <c r="G244" i="32"/>
  <c r="L243" i="32"/>
  <c r="J243" i="32"/>
  <c r="I243" i="32"/>
  <c r="H243" i="32"/>
  <c r="G243" i="32"/>
  <c r="L242" i="32"/>
  <c r="J242" i="32"/>
  <c r="I242" i="32"/>
  <c r="H242" i="32"/>
  <c r="G242" i="32"/>
  <c r="L241" i="32"/>
  <c r="J241" i="32"/>
  <c r="I241" i="32"/>
  <c r="H241" i="32"/>
  <c r="G241" i="32"/>
  <c r="L240" i="32"/>
  <c r="J240" i="32"/>
  <c r="I240" i="32"/>
  <c r="H240" i="32"/>
  <c r="G240" i="32"/>
  <c r="L239" i="32"/>
  <c r="J239" i="32"/>
  <c r="I239" i="32"/>
  <c r="H239" i="32"/>
  <c r="G239" i="32"/>
  <c r="L238" i="32"/>
  <c r="J238" i="32"/>
  <c r="I238" i="32"/>
  <c r="H238" i="32"/>
  <c r="G238" i="32"/>
  <c r="L237" i="32"/>
  <c r="J237" i="32"/>
  <c r="I237" i="32"/>
  <c r="H237" i="32"/>
  <c r="G237" i="32"/>
  <c r="L236" i="32"/>
  <c r="J236" i="32"/>
  <c r="I236" i="32"/>
  <c r="H236" i="32"/>
  <c r="G236" i="32"/>
  <c r="L235" i="32"/>
  <c r="J235" i="32"/>
  <c r="I235" i="32"/>
  <c r="H235" i="32"/>
  <c r="G235" i="32"/>
  <c r="L234" i="32"/>
  <c r="J234" i="32"/>
  <c r="I234" i="32"/>
  <c r="H234" i="32"/>
  <c r="G234" i="32"/>
  <c r="L233" i="32"/>
  <c r="J233" i="32"/>
  <c r="I233" i="32"/>
  <c r="H233" i="32"/>
  <c r="G233" i="32"/>
  <c r="L232" i="32"/>
  <c r="J232" i="32"/>
  <c r="I232" i="32"/>
  <c r="H232" i="32"/>
  <c r="G232" i="32"/>
  <c r="L231" i="32"/>
  <c r="J231" i="32"/>
  <c r="I231" i="32"/>
  <c r="H231" i="32"/>
  <c r="G231" i="32"/>
  <c r="L230" i="32"/>
  <c r="J230" i="32"/>
  <c r="I230" i="32"/>
  <c r="H230" i="32"/>
  <c r="G230" i="32"/>
  <c r="L229" i="32"/>
  <c r="J229" i="32"/>
  <c r="I229" i="32"/>
  <c r="H229" i="32"/>
  <c r="G229" i="32"/>
  <c r="L228" i="32"/>
  <c r="J228" i="32"/>
  <c r="I228" i="32"/>
  <c r="H228" i="32"/>
  <c r="G228" i="32"/>
  <c r="L227" i="32"/>
  <c r="J227" i="32"/>
  <c r="I227" i="32"/>
  <c r="H227" i="32"/>
  <c r="G227" i="32"/>
  <c r="L226" i="32"/>
  <c r="J226" i="32"/>
  <c r="I226" i="32"/>
  <c r="H226" i="32"/>
  <c r="G226" i="32"/>
  <c r="L225" i="32"/>
  <c r="J225" i="32"/>
  <c r="I225" i="32"/>
  <c r="H225" i="32"/>
  <c r="G225" i="32"/>
  <c r="L224" i="32"/>
  <c r="J224" i="32"/>
  <c r="I224" i="32"/>
  <c r="H224" i="32"/>
  <c r="G224" i="32"/>
  <c r="L223" i="32"/>
  <c r="J223" i="32"/>
  <c r="I223" i="32"/>
  <c r="H223" i="32"/>
  <c r="G223" i="32"/>
  <c r="L222" i="32"/>
  <c r="J222" i="32"/>
  <c r="I222" i="32"/>
  <c r="H222" i="32"/>
  <c r="G222" i="32"/>
  <c r="L221" i="32"/>
  <c r="J221" i="32"/>
  <c r="I221" i="32"/>
  <c r="H221" i="32"/>
  <c r="G221" i="32"/>
  <c r="L220" i="32"/>
  <c r="J220" i="32"/>
  <c r="I220" i="32"/>
  <c r="H220" i="32"/>
  <c r="G220" i="32"/>
  <c r="L219" i="32"/>
  <c r="J219" i="32"/>
  <c r="I219" i="32"/>
  <c r="H219" i="32"/>
  <c r="G219" i="32"/>
  <c r="L218" i="32"/>
  <c r="J218" i="32"/>
  <c r="I218" i="32"/>
  <c r="H218" i="32"/>
  <c r="G218" i="32"/>
  <c r="L217" i="32"/>
  <c r="J217" i="32"/>
  <c r="I217" i="32"/>
  <c r="H217" i="32"/>
  <c r="G217" i="32"/>
  <c r="L216" i="32"/>
  <c r="J216" i="32"/>
  <c r="I216" i="32"/>
  <c r="H216" i="32"/>
  <c r="G216" i="32"/>
  <c r="L215" i="32"/>
  <c r="J215" i="32"/>
  <c r="I215" i="32"/>
  <c r="H215" i="32"/>
  <c r="G215" i="32"/>
  <c r="L214" i="32"/>
  <c r="J214" i="32"/>
  <c r="I214" i="32"/>
  <c r="H214" i="32"/>
  <c r="G214" i="32"/>
  <c r="L213" i="32"/>
  <c r="J213" i="32"/>
  <c r="I213" i="32"/>
  <c r="H213" i="32"/>
  <c r="G213" i="32"/>
  <c r="L212" i="32"/>
  <c r="J212" i="32"/>
  <c r="I212" i="32"/>
  <c r="H212" i="32"/>
  <c r="G212" i="32"/>
  <c r="F212" i="32" s="1"/>
  <c r="L211" i="32"/>
  <c r="J211" i="32"/>
  <c r="I211" i="32"/>
  <c r="H211" i="32"/>
  <c r="G211" i="32"/>
  <c r="L210" i="32"/>
  <c r="J210" i="32"/>
  <c r="I210" i="32"/>
  <c r="H210" i="32"/>
  <c r="G210" i="32"/>
  <c r="L209" i="32"/>
  <c r="J209" i="32"/>
  <c r="I209" i="32"/>
  <c r="H209" i="32"/>
  <c r="G209" i="32"/>
  <c r="L208" i="32"/>
  <c r="J208" i="32"/>
  <c r="I208" i="32"/>
  <c r="H208" i="32"/>
  <c r="G208" i="32"/>
  <c r="L207" i="32"/>
  <c r="J207" i="32"/>
  <c r="I207" i="32"/>
  <c r="H207" i="32"/>
  <c r="G207" i="32"/>
  <c r="L206" i="32"/>
  <c r="J206" i="32"/>
  <c r="I206" i="32"/>
  <c r="H206" i="32"/>
  <c r="G206" i="32"/>
  <c r="L205" i="32"/>
  <c r="J205" i="32"/>
  <c r="I205" i="32"/>
  <c r="H205" i="32"/>
  <c r="G205" i="32"/>
  <c r="L204" i="32"/>
  <c r="J204" i="32"/>
  <c r="I204" i="32"/>
  <c r="H204" i="32"/>
  <c r="G204" i="32"/>
  <c r="L203" i="32"/>
  <c r="J203" i="32"/>
  <c r="I203" i="32"/>
  <c r="H203" i="32"/>
  <c r="G203" i="32"/>
  <c r="L201" i="32"/>
  <c r="J201" i="32"/>
  <c r="I201" i="32"/>
  <c r="H201" i="32"/>
  <c r="G201" i="32"/>
  <c r="L156" i="32"/>
  <c r="K156" i="32"/>
  <c r="J156" i="32"/>
  <c r="I156" i="32"/>
  <c r="H156" i="32"/>
  <c r="G156" i="32"/>
  <c r="L155" i="32"/>
  <c r="K155" i="32"/>
  <c r="J155" i="32"/>
  <c r="I155" i="32"/>
  <c r="H155" i="32"/>
  <c r="G155" i="32"/>
  <c r="L154" i="32"/>
  <c r="K154" i="32"/>
  <c r="J154" i="32"/>
  <c r="I154" i="32"/>
  <c r="H154" i="32"/>
  <c r="G154" i="32"/>
  <c r="L153" i="32"/>
  <c r="K153" i="32"/>
  <c r="J153" i="32"/>
  <c r="I153" i="32"/>
  <c r="H153" i="32"/>
  <c r="G153" i="32"/>
  <c r="L152" i="32"/>
  <c r="K152" i="32"/>
  <c r="J152" i="32"/>
  <c r="I152" i="32"/>
  <c r="H152" i="32"/>
  <c r="G152" i="32"/>
  <c r="F152" i="32" s="1"/>
  <c r="L151" i="32"/>
  <c r="K151" i="32"/>
  <c r="J151" i="32"/>
  <c r="I151" i="32"/>
  <c r="H151" i="32"/>
  <c r="G151" i="32"/>
  <c r="L150" i="32"/>
  <c r="K150" i="32"/>
  <c r="J150" i="32"/>
  <c r="I150" i="32"/>
  <c r="H150" i="32"/>
  <c r="G150" i="32"/>
  <c r="L148" i="32"/>
  <c r="K148" i="32"/>
  <c r="J148" i="32"/>
  <c r="I148" i="32"/>
  <c r="H148" i="32"/>
  <c r="G148" i="32"/>
  <c r="L147" i="32"/>
  <c r="K147" i="32"/>
  <c r="J147" i="32"/>
  <c r="I147" i="32"/>
  <c r="H147" i="32"/>
  <c r="G147" i="32"/>
  <c r="L146" i="32"/>
  <c r="K146" i="32"/>
  <c r="J146" i="32"/>
  <c r="I146" i="32"/>
  <c r="H146" i="32"/>
  <c r="G146" i="32"/>
  <c r="L145" i="32"/>
  <c r="K145" i="32"/>
  <c r="J145" i="32"/>
  <c r="I145" i="32"/>
  <c r="H145" i="32"/>
  <c r="G145" i="32"/>
  <c r="L144" i="32"/>
  <c r="K144" i="32"/>
  <c r="J144" i="32"/>
  <c r="I144" i="32"/>
  <c r="H144" i="32"/>
  <c r="G144" i="32"/>
  <c r="L142" i="32"/>
  <c r="K142" i="32"/>
  <c r="J142" i="32"/>
  <c r="I142" i="32"/>
  <c r="H142" i="32"/>
  <c r="G142" i="32"/>
  <c r="L141" i="32"/>
  <c r="K141" i="32"/>
  <c r="J141" i="32"/>
  <c r="I141" i="32"/>
  <c r="H141" i="32"/>
  <c r="G141" i="32"/>
  <c r="L140" i="32"/>
  <c r="K140" i="32"/>
  <c r="J140" i="32"/>
  <c r="I140" i="32"/>
  <c r="H140" i="32"/>
  <c r="G140" i="32"/>
  <c r="L139" i="32"/>
  <c r="K139" i="32"/>
  <c r="J139" i="32"/>
  <c r="I139" i="32"/>
  <c r="H139" i="32"/>
  <c r="G139" i="32"/>
  <c r="L138" i="32"/>
  <c r="K138" i="32"/>
  <c r="J138" i="32"/>
  <c r="I138" i="32"/>
  <c r="H138" i="32"/>
  <c r="G138" i="32"/>
  <c r="L137" i="32"/>
  <c r="K137" i="32"/>
  <c r="J137" i="32"/>
  <c r="I137" i="32"/>
  <c r="H137" i="32"/>
  <c r="G137" i="32"/>
  <c r="L136" i="32"/>
  <c r="K136" i="32"/>
  <c r="J136" i="32"/>
  <c r="I136" i="32"/>
  <c r="H136" i="32"/>
  <c r="G136" i="32"/>
  <c r="F429" i="32"/>
  <c r="F490" i="32"/>
  <c r="F426" i="32"/>
  <c r="C14" i="32" l="1"/>
  <c r="F122" i="32"/>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J532" i="32"/>
  <c r="F155" i="32"/>
  <c r="D532" i="32"/>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43" i="32"/>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7" i="32"/>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E520" i="32"/>
  <c r="J143" i="32"/>
  <c r="L157" i="32"/>
  <c r="F83" i="32"/>
  <c r="F88" i="32"/>
  <c r="F120" i="32"/>
  <c r="L26" i="32"/>
  <c r="L497" i="32"/>
  <c r="H27" i="32"/>
  <c r="E149" i="32"/>
  <c r="I149" i="32"/>
  <c r="F517" i="32"/>
  <c r="F512" i="32"/>
  <c r="F508" i="32"/>
  <c r="I520" i="32"/>
  <c r="D520" i="32"/>
  <c r="D149" i="32"/>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497" i="32"/>
  <c r="J497" i="32"/>
  <c r="F238" i="32"/>
  <c r="K26" i="32"/>
  <c r="E200" i="32"/>
  <c r="J200" i="32"/>
  <c r="F158" i="32"/>
  <c r="G200" i="32"/>
  <c r="L135" i="32"/>
  <c r="I25" i="32"/>
  <c r="K25" i="32"/>
  <c r="G25" i="32"/>
  <c r="F196" i="32"/>
  <c r="J26" i="32"/>
  <c r="F29" i="32"/>
  <c r="G135" i="32"/>
  <c r="H135" i="32"/>
  <c r="F31" i="32"/>
  <c r="F181" i="32"/>
  <c r="K27" i="32"/>
  <c r="D135" i="32"/>
  <c r="I135" i="32"/>
  <c r="H200" i="32"/>
  <c r="J27" i="32"/>
  <c r="L27" i="32"/>
  <c r="E135" i="32"/>
  <c r="J135" i="32"/>
  <c r="F186" i="32"/>
  <c r="F182" i="32"/>
  <c r="F178" i="32"/>
  <c r="D200" i="32"/>
  <c r="I200" i="32"/>
  <c r="K135" i="32"/>
  <c r="E532" i="32"/>
  <c r="F188" i="32"/>
  <c r="F183" i="32"/>
  <c r="F175" i="32"/>
  <c r="G26" i="32"/>
  <c r="I26" i="32"/>
  <c r="F521" i="32"/>
  <c r="P16" i="32"/>
  <c r="F532" i="32" l="1"/>
  <c r="F143" i="32"/>
  <c r="F26" i="32"/>
  <c r="F157" i="32"/>
  <c r="F27" i="32"/>
  <c r="F497" i="32"/>
  <c r="F520" i="32"/>
  <c r="F149"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D14" i="32"/>
  <c r="E14" i="32" s="1"/>
  <c r="E23" i="32"/>
  <c r="E15" i="32" s="1"/>
  <c r="J23" i="32"/>
  <c r="L23" i="32"/>
  <c r="H23" i="32"/>
  <c r="K23" i="32"/>
  <c r="I23" i="32"/>
  <c r="F23" i="32" l="1"/>
  <c r="C16" i="32"/>
  <c r="E16" i="32" l="1"/>
  <c r="D16" i="32"/>
  <c r="F14" i="32" l="1"/>
  <c r="G12" i="60" s="1"/>
  <c r="F15" i="32" l="1"/>
  <c r="F16" i="32" s="1"/>
  <c r="G14" i="60" l="1"/>
  <c r="F38" i="60" s="1"/>
  <c r="F25" i="60" l="1"/>
  <c r="F27" i="60" s="1"/>
  <c r="G38" i="60"/>
  <c r="H38" i="60"/>
  <c r="K38" i="60"/>
  <c r="G26" i="60" s="1"/>
  <c r="G27" i="60" s="1"/>
  <c r="J38" i="60"/>
  <c r="I38" i="60"/>
  <c r="G28" i="60" l="1"/>
  <c r="G29" i="60" s="1"/>
  <c r="F28" i="60"/>
  <c r="F29" i="60" s="1"/>
  <c r="F39" i="60" s="1"/>
  <c r="D8" i="64" s="1"/>
  <c r="D16" i="64" s="1"/>
  <c r="C13" i="63" s="1"/>
  <c r="K39" i="60" l="1"/>
  <c r="Q52" i="60" s="1"/>
  <c r="Q76" i="60" s="1"/>
  <c r="G39" i="60"/>
  <c r="M52" i="60" s="1"/>
  <c r="M84" i="60" s="1"/>
  <c r="M85" i="60" s="1"/>
  <c r="M86" i="60" s="1"/>
  <c r="H39" i="60"/>
  <c r="N52" i="60" s="1"/>
  <c r="N76" i="60" s="1"/>
  <c r="J39" i="60"/>
  <c r="P52" i="60" s="1"/>
  <c r="L52" i="60"/>
  <c r="L55" i="60" s="1"/>
  <c r="D8" i="63"/>
  <c r="I39" i="60"/>
  <c r="O52" i="60" s="1"/>
  <c r="O59" i="60" s="1"/>
  <c r="N58" i="60"/>
  <c r="N72" i="60" s="1"/>
  <c r="D21" i="64"/>
  <c r="F7" i="66" l="1"/>
  <c r="N54" i="60"/>
  <c r="F7" i="65"/>
  <c r="F25" i="65" s="1"/>
  <c r="N25" i="65" s="1"/>
  <c r="G7" i="66"/>
  <c r="D7" i="66"/>
  <c r="D25" i="66" s="1"/>
  <c r="L25" i="66" s="1"/>
  <c r="N84" i="60"/>
  <c r="N85" i="60" s="1"/>
  <c r="N86" i="60" s="1"/>
  <c r="F90" i="65" s="1"/>
  <c r="N90" i="65" s="1"/>
  <c r="I7" i="65"/>
  <c r="I25" i="65" s="1"/>
  <c r="Q25" i="65" s="1"/>
  <c r="Q26" i="65" s="1"/>
  <c r="Q10" i="65" s="1"/>
  <c r="I7" i="66"/>
  <c r="I25" i="66" s="1"/>
  <c r="L76" i="60"/>
  <c r="L77" i="60" s="1"/>
  <c r="L79" i="60" s="1"/>
  <c r="Q59" i="60"/>
  <c r="Q54" i="60"/>
  <c r="Q58" i="60"/>
  <c r="Q72" i="60" s="1"/>
  <c r="E8" i="64"/>
  <c r="E8" i="63" s="1"/>
  <c r="M76" i="60"/>
  <c r="M77" i="60" s="1"/>
  <c r="O76" i="60"/>
  <c r="O77" i="60" s="1"/>
  <c r="G31" i="65" s="1"/>
  <c r="N59" i="60"/>
  <c r="N60" i="60" s="1"/>
  <c r="O84" i="60"/>
  <c r="O85" i="60" s="1"/>
  <c r="O86" i="60" s="1"/>
  <c r="G90" i="65" s="1"/>
  <c r="O90" i="65" s="1"/>
  <c r="G7" i="65"/>
  <c r="G25" i="65" s="1"/>
  <c r="O25" i="65" s="1"/>
  <c r="O26" i="65" s="1"/>
  <c r="O10" i="65" s="1"/>
  <c r="L58" i="60"/>
  <c r="L63" i="60" s="1"/>
  <c r="L68" i="60" s="1"/>
  <c r="N55" i="60"/>
  <c r="E7" i="65"/>
  <c r="E25" i="65" s="1"/>
  <c r="M25" i="65" s="1"/>
  <c r="M26" i="65" s="1"/>
  <c r="M10" i="65" s="1"/>
  <c r="Q55" i="60"/>
  <c r="I8" i="64"/>
  <c r="I16" i="64" s="1"/>
  <c r="H13" i="63" s="1"/>
  <c r="Q84" i="60"/>
  <c r="Q85" i="60" s="1"/>
  <c r="Q86" i="60" s="1"/>
  <c r="I17" i="64" s="1"/>
  <c r="I22" i="64" s="1"/>
  <c r="E7" i="66"/>
  <c r="E25" i="66" s="1"/>
  <c r="M58" i="60"/>
  <c r="M72" i="60" s="1"/>
  <c r="M54" i="60"/>
  <c r="M59" i="60"/>
  <c r="M55" i="60"/>
  <c r="O55" i="60"/>
  <c r="G8" i="64"/>
  <c r="G16" i="64" s="1"/>
  <c r="G21" i="64" s="1"/>
  <c r="O54" i="60"/>
  <c r="H8" i="64"/>
  <c r="H8" i="63" s="1"/>
  <c r="L54" i="60"/>
  <c r="L56" i="60" s="1"/>
  <c r="F8" i="64"/>
  <c r="F8" i="63" s="1"/>
  <c r="O58" i="60"/>
  <c r="O63" i="60" s="1"/>
  <c r="O68" i="60" s="1"/>
  <c r="D7" i="65"/>
  <c r="D25" i="65" s="1"/>
  <c r="L25" i="65" s="1"/>
  <c r="L26" i="65" s="1"/>
  <c r="L10" i="65" s="1"/>
  <c r="L84" i="60"/>
  <c r="L85" i="60" s="1"/>
  <c r="L86" i="60" s="1"/>
  <c r="D84" i="65" s="1"/>
  <c r="L84" i="65" s="1"/>
  <c r="L85" i="65" s="1"/>
  <c r="L17" i="65" s="1"/>
  <c r="L59" i="60"/>
  <c r="P55" i="60"/>
  <c r="P59" i="60"/>
  <c r="E90" i="65"/>
  <c r="M90" i="65" s="1"/>
  <c r="E90" i="66"/>
  <c r="E84" i="65"/>
  <c r="E84" i="66"/>
  <c r="D26" i="66"/>
  <c r="D10" i="66" s="1"/>
  <c r="E17" i="64"/>
  <c r="Q77" i="60"/>
  <c r="N77" i="60"/>
  <c r="P76" i="60"/>
  <c r="P84" i="60"/>
  <c r="P85" i="60" s="1"/>
  <c r="P86" i="60" s="1"/>
  <c r="H7" i="66"/>
  <c r="H25" i="66" s="1"/>
  <c r="H7" i="65"/>
  <c r="H25" i="65" s="1"/>
  <c r="P58" i="60"/>
  <c r="P72" i="60" s="1"/>
  <c r="P54" i="60"/>
  <c r="Q63" i="60"/>
  <c r="Q68" i="60" s="1"/>
  <c r="N63" i="60"/>
  <c r="N68" i="60" s="1"/>
  <c r="G25" i="66"/>
  <c r="F25" i="66"/>
  <c r="F26" i="65"/>
  <c r="N26" i="65"/>
  <c r="N10" i="65" s="1"/>
  <c r="O72" i="60" l="1"/>
  <c r="F84" i="66"/>
  <c r="F85" i="66" s="1"/>
  <c r="F17" i="66" s="1"/>
  <c r="Q60" i="60"/>
  <c r="F84" i="65"/>
  <c r="F85" i="65" s="1"/>
  <c r="F17" i="65" s="1"/>
  <c r="F17" i="64"/>
  <c r="E14" i="63" s="1"/>
  <c r="F90" i="66"/>
  <c r="F91" i="66" s="1"/>
  <c r="F18" i="66" s="1"/>
  <c r="N56" i="60"/>
  <c r="I21" i="64"/>
  <c r="I23" i="64" s="1"/>
  <c r="H18" i="63" s="1"/>
  <c r="H16" i="64"/>
  <c r="H21" i="64" s="1"/>
  <c r="G8" i="63"/>
  <c r="F13" i="63"/>
  <c r="D84" i="66"/>
  <c r="L84" i="66" s="1"/>
  <c r="L85" i="66" s="1"/>
  <c r="L17" i="66" s="1"/>
  <c r="I26" i="65"/>
  <c r="I10" i="65" s="1"/>
  <c r="D31" i="66"/>
  <c r="L31" i="66" s="1"/>
  <c r="L32" i="66" s="1"/>
  <c r="L11" i="66" s="1"/>
  <c r="G84" i="66"/>
  <c r="G85" i="66" s="1"/>
  <c r="G17" i="66" s="1"/>
  <c r="G17" i="64"/>
  <c r="G22" i="64" s="1"/>
  <c r="G23" i="64" s="1"/>
  <c r="D31" i="65"/>
  <c r="L80" i="60"/>
  <c r="D71" i="65" s="1"/>
  <c r="L71" i="65" s="1"/>
  <c r="L81" i="60"/>
  <c r="D77" i="65" s="1"/>
  <c r="L77" i="65" s="1"/>
  <c r="L78" i="60"/>
  <c r="D59" i="66" s="1"/>
  <c r="L59" i="66" s="1"/>
  <c r="G90" i="66"/>
  <c r="G91" i="66" s="1"/>
  <c r="G18" i="66" s="1"/>
  <c r="M63" i="60"/>
  <c r="M67" i="60" s="1"/>
  <c r="G84" i="65"/>
  <c r="O84" i="65" s="1"/>
  <c r="O85" i="65" s="1"/>
  <c r="M56" i="60"/>
  <c r="M60" i="60"/>
  <c r="G26" i="65"/>
  <c r="G10" i="65" s="1"/>
  <c r="Q56" i="60"/>
  <c r="E16" i="64"/>
  <c r="E21" i="64" s="1"/>
  <c r="D17" i="64"/>
  <c r="C14" i="63" s="1"/>
  <c r="D90" i="65"/>
  <c r="L90" i="65" s="1"/>
  <c r="L91" i="65" s="1"/>
  <c r="L18" i="65" s="1"/>
  <c r="O56" i="60"/>
  <c r="D90" i="66"/>
  <c r="L90" i="66" s="1"/>
  <c r="L91" i="66" s="1"/>
  <c r="L18" i="66" s="1"/>
  <c r="E26" i="65"/>
  <c r="F16" i="64"/>
  <c r="E13" i="63" s="1"/>
  <c r="L60" i="60"/>
  <c r="L72" i="60"/>
  <c r="L73" i="60" s="1"/>
  <c r="I84" i="66"/>
  <c r="I85" i="66" s="1"/>
  <c r="I17" i="66" s="1"/>
  <c r="I84" i="65"/>
  <c r="Q84" i="65" s="1"/>
  <c r="Q85" i="65" s="1"/>
  <c r="Q86" i="65" s="1"/>
  <c r="I90" i="66"/>
  <c r="I91" i="66" s="1"/>
  <c r="I18" i="66" s="1"/>
  <c r="I90" i="65"/>
  <c r="Q90" i="65" s="1"/>
  <c r="Q91" i="65" s="1"/>
  <c r="O60" i="60"/>
  <c r="H14" i="63"/>
  <c r="H90" i="66"/>
  <c r="H90" i="65"/>
  <c r="P90" i="65" s="1"/>
  <c r="D26" i="65"/>
  <c r="D10" i="65" s="1"/>
  <c r="F22" i="64"/>
  <c r="E22" i="64"/>
  <c r="D14" i="63"/>
  <c r="I51" i="65"/>
  <c r="I51" i="66"/>
  <c r="I41" i="66"/>
  <c r="Q41" i="66" s="1"/>
  <c r="I41" i="65"/>
  <c r="Q41" i="65" s="1"/>
  <c r="F51" i="65"/>
  <c r="F51" i="66"/>
  <c r="F41" i="65"/>
  <c r="N41" i="65" s="1"/>
  <c r="F41" i="66"/>
  <c r="N41" i="66" s="1"/>
  <c r="G51" i="66"/>
  <c r="G51" i="65"/>
  <c r="G41" i="65"/>
  <c r="O41" i="65" s="1"/>
  <c r="G41" i="66"/>
  <c r="O41" i="66" s="1"/>
  <c r="D85" i="65"/>
  <c r="D17" i="65" s="1"/>
  <c r="D51" i="65"/>
  <c r="D51" i="66"/>
  <c r="D41" i="66"/>
  <c r="L41" i="66" s="1"/>
  <c r="D41" i="65"/>
  <c r="L41" i="65" s="1"/>
  <c r="E85" i="65"/>
  <c r="E17" i="65" s="1"/>
  <c r="M84" i="65"/>
  <c r="M85" i="65" s="1"/>
  <c r="E91" i="66"/>
  <c r="E18" i="66" s="1"/>
  <c r="M90" i="66"/>
  <c r="M91" i="66" s="1"/>
  <c r="G91" i="65"/>
  <c r="G18" i="65" s="1"/>
  <c r="O91" i="65"/>
  <c r="N84" i="66"/>
  <c r="N85" i="66" s="1"/>
  <c r="H84" i="66"/>
  <c r="H84" i="65"/>
  <c r="E91" i="65"/>
  <c r="E18" i="65" s="1"/>
  <c r="M91" i="65"/>
  <c r="E85" i="66"/>
  <c r="E17" i="66" s="1"/>
  <c r="M84" i="66"/>
  <c r="M85" i="66" s="1"/>
  <c r="F91" i="65"/>
  <c r="F18" i="65" s="1"/>
  <c r="N91" i="65"/>
  <c r="I26" i="66"/>
  <c r="I10" i="66" s="1"/>
  <c r="Q25" i="66"/>
  <c r="L31" i="65"/>
  <c r="L32" i="65" s="1"/>
  <c r="L11" i="65" s="1"/>
  <c r="E26" i="66"/>
  <c r="E10" i="66" s="1"/>
  <c r="M25" i="66"/>
  <c r="G26" i="66"/>
  <c r="G27" i="66" s="1"/>
  <c r="O25" i="66"/>
  <c r="P25" i="65"/>
  <c r="P26" i="65" s="1"/>
  <c r="F26" i="66"/>
  <c r="F10" i="66" s="1"/>
  <c r="N25" i="66"/>
  <c r="O31" i="65"/>
  <c r="O32" i="65" s="1"/>
  <c r="O11" i="65" s="1"/>
  <c r="H26" i="66"/>
  <c r="H27" i="66" s="1"/>
  <c r="P25" i="66"/>
  <c r="H17" i="64"/>
  <c r="Q65" i="60"/>
  <c r="Q66" i="60"/>
  <c r="F31" i="65"/>
  <c r="N79" i="60"/>
  <c r="N81" i="60"/>
  <c r="N78" i="60"/>
  <c r="F59" i="65" s="1"/>
  <c r="N59" i="65" s="1"/>
  <c r="N80" i="60"/>
  <c r="G31" i="66"/>
  <c r="O79" i="60"/>
  <c r="O80" i="60"/>
  <c r="O81" i="60"/>
  <c r="O78" i="60"/>
  <c r="G59" i="66" s="1"/>
  <c r="O59" i="66" s="1"/>
  <c r="I31" i="65"/>
  <c r="Q80" i="60"/>
  <c r="Q81" i="60"/>
  <c r="Q79" i="60"/>
  <c r="Q78" i="60"/>
  <c r="I59" i="65" s="1"/>
  <c r="Q59" i="65" s="1"/>
  <c r="E31" i="66"/>
  <c r="M81" i="60"/>
  <c r="M78" i="60"/>
  <c r="E59" i="65" s="1"/>
  <c r="M59" i="65" s="1"/>
  <c r="M79" i="60"/>
  <c r="M80" i="60"/>
  <c r="D77" i="66"/>
  <c r="L77" i="66" s="1"/>
  <c r="D65" i="66"/>
  <c r="L65" i="66" s="1"/>
  <c r="D65" i="65"/>
  <c r="L65" i="65" s="1"/>
  <c r="F31" i="66"/>
  <c r="E31" i="65"/>
  <c r="P77" i="60"/>
  <c r="H31" i="65" s="1"/>
  <c r="P31" i="65" s="1"/>
  <c r="I31" i="66"/>
  <c r="Q31" i="66" s="1"/>
  <c r="H26" i="65"/>
  <c r="F21" i="64"/>
  <c r="Q67" i="60"/>
  <c r="P60" i="60"/>
  <c r="P63" i="60"/>
  <c r="O67" i="60"/>
  <c r="O69" i="60"/>
  <c r="O66" i="60"/>
  <c r="Q69" i="60"/>
  <c r="P56" i="60"/>
  <c r="O65" i="60"/>
  <c r="Q73" i="60"/>
  <c r="O73" i="60"/>
  <c r="L65" i="60"/>
  <c r="N73" i="60"/>
  <c r="L69" i="60"/>
  <c r="L67" i="60"/>
  <c r="D32" i="65"/>
  <c r="D11" i="65" s="1"/>
  <c r="G13" i="63"/>
  <c r="L66" i="60"/>
  <c r="G32" i="65"/>
  <c r="G11" i="65" s="1"/>
  <c r="N69" i="60"/>
  <c r="N67" i="60"/>
  <c r="N65" i="60"/>
  <c r="N66" i="60"/>
  <c r="N27" i="65"/>
  <c r="F10" i="65"/>
  <c r="Q27" i="65"/>
  <c r="O27" i="65"/>
  <c r="E10" i="65"/>
  <c r="M27" i="65"/>
  <c r="N84" i="65" l="1"/>
  <c r="N85" i="65" s="1"/>
  <c r="D32" i="66"/>
  <c r="D11" i="66" s="1"/>
  <c r="M69" i="60"/>
  <c r="G85" i="65"/>
  <c r="G17" i="65" s="1"/>
  <c r="N90" i="66"/>
  <c r="N91" i="66" s="1"/>
  <c r="D85" i="66"/>
  <c r="I86" i="66" s="1"/>
  <c r="D71" i="66"/>
  <c r="L71" i="66" s="1"/>
  <c r="L72" i="66" s="1"/>
  <c r="L15" i="66" s="1"/>
  <c r="E23" i="64"/>
  <c r="E25" i="64" s="1"/>
  <c r="E26" i="64" s="1"/>
  <c r="D91" i="66"/>
  <c r="D18" i="66" s="1"/>
  <c r="Q90" i="66"/>
  <c r="Q91" i="66" s="1"/>
  <c r="O84" i="66"/>
  <c r="O85" i="66" s="1"/>
  <c r="O17" i="66" s="1"/>
  <c r="F14" i="63"/>
  <c r="M66" i="60"/>
  <c r="E49" i="66" s="1"/>
  <c r="M68" i="60"/>
  <c r="M65" i="60"/>
  <c r="E38" i="65" s="1"/>
  <c r="M73" i="60"/>
  <c r="O90" i="66"/>
  <c r="O91" i="66" s="1"/>
  <c r="O18" i="66" s="1"/>
  <c r="D59" i="65"/>
  <c r="L59" i="65" s="1"/>
  <c r="L60" i="65" s="1"/>
  <c r="L82" i="60"/>
  <c r="D22" i="64"/>
  <c r="D23" i="64" s="1"/>
  <c r="C18" i="63" s="1"/>
  <c r="H19" i="63" s="1"/>
  <c r="D91" i="65"/>
  <c r="D18" i="65" s="1"/>
  <c r="D49" i="63" s="1"/>
  <c r="I85" i="65"/>
  <c r="I17" i="65" s="1"/>
  <c r="Q17" i="65"/>
  <c r="D13" i="63"/>
  <c r="Q84" i="66"/>
  <c r="Q85" i="66" s="1"/>
  <c r="Q17" i="66" s="1"/>
  <c r="I91" i="65"/>
  <c r="I18" i="65" s="1"/>
  <c r="D41" i="63"/>
  <c r="D17" i="66"/>
  <c r="F55" i="63"/>
  <c r="F48" i="63"/>
  <c r="E49" i="63"/>
  <c r="F18" i="63"/>
  <c r="F49" i="63"/>
  <c r="E48" i="63"/>
  <c r="D48" i="63"/>
  <c r="G10" i="66"/>
  <c r="M18" i="66"/>
  <c r="M92" i="66"/>
  <c r="N18" i="66"/>
  <c r="N92" i="66"/>
  <c r="Q18" i="66"/>
  <c r="Q92" i="66"/>
  <c r="G27" i="65"/>
  <c r="F27" i="65"/>
  <c r="E27" i="65"/>
  <c r="I27" i="65"/>
  <c r="O18" i="65"/>
  <c r="O92" i="65"/>
  <c r="Q18" i="65"/>
  <c r="Q92" i="65"/>
  <c r="M18" i="65"/>
  <c r="M92" i="65"/>
  <c r="N18" i="65"/>
  <c r="N92" i="65"/>
  <c r="M17" i="65"/>
  <c r="M86" i="65"/>
  <c r="N17" i="65"/>
  <c r="N86" i="65"/>
  <c r="O17" i="65"/>
  <c r="O86" i="65"/>
  <c r="M17" i="66"/>
  <c r="M86" i="66"/>
  <c r="N17" i="66"/>
  <c r="N86" i="66"/>
  <c r="H22" i="64"/>
  <c r="H23" i="64" s="1"/>
  <c r="G14" i="63"/>
  <c r="F23" i="64"/>
  <c r="E18" i="63" s="1"/>
  <c r="P73" i="60"/>
  <c r="P68" i="60"/>
  <c r="E51" i="66"/>
  <c r="E51" i="65"/>
  <c r="D55" i="63" s="1"/>
  <c r="E41" i="65"/>
  <c r="M41" i="65" s="1"/>
  <c r="E41" i="66"/>
  <c r="M41" i="66" s="1"/>
  <c r="G92" i="66"/>
  <c r="H10" i="66"/>
  <c r="G92" i="65"/>
  <c r="E86" i="65"/>
  <c r="E27" i="66"/>
  <c r="F86" i="65"/>
  <c r="I27" i="66"/>
  <c r="F27" i="66"/>
  <c r="F41" i="63"/>
  <c r="F86" i="66"/>
  <c r="E86" i="66"/>
  <c r="H85" i="65"/>
  <c r="P84" i="65"/>
  <c r="P85" i="65" s="1"/>
  <c r="P86" i="65" s="1"/>
  <c r="H91" i="66"/>
  <c r="P90" i="66"/>
  <c r="P91" i="66" s="1"/>
  <c r="D50" i="66"/>
  <c r="D50" i="65"/>
  <c r="D40" i="66"/>
  <c r="L40" i="66" s="1"/>
  <c r="D40" i="65"/>
  <c r="L40" i="65" s="1"/>
  <c r="H91" i="65"/>
  <c r="P91" i="65"/>
  <c r="P92" i="65" s="1"/>
  <c r="H85" i="66"/>
  <c r="P84" i="66"/>
  <c r="P85" i="66" s="1"/>
  <c r="F92" i="65"/>
  <c r="D42" i="66"/>
  <c r="L42" i="66" s="1"/>
  <c r="D42" i="65"/>
  <c r="L42" i="65" s="1"/>
  <c r="D48" i="65"/>
  <c r="D48" i="66"/>
  <c r="G86" i="66"/>
  <c r="E41" i="63"/>
  <c r="D49" i="66"/>
  <c r="D49" i="65"/>
  <c r="D39" i="65"/>
  <c r="L39" i="65" s="1"/>
  <c r="D39" i="66"/>
  <c r="L39" i="66" s="1"/>
  <c r="F42" i="66"/>
  <c r="N42" i="66" s="1"/>
  <c r="F42" i="65"/>
  <c r="N42" i="65" s="1"/>
  <c r="I49" i="65"/>
  <c r="I49" i="66"/>
  <c r="I39" i="65"/>
  <c r="Q39" i="65" s="1"/>
  <c r="I39" i="66"/>
  <c r="Q39" i="66" s="1"/>
  <c r="I48" i="66"/>
  <c r="I48" i="65"/>
  <c r="I38" i="66"/>
  <c r="I38" i="65"/>
  <c r="G42" i="66"/>
  <c r="O42" i="66" s="1"/>
  <c r="G42" i="65"/>
  <c r="O42" i="65" s="1"/>
  <c r="G48" i="65"/>
  <c r="G48" i="66"/>
  <c r="G38" i="66"/>
  <c r="G38" i="65"/>
  <c r="E50" i="65"/>
  <c r="E50" i="66"/>
  <c r="E40" i="65"/>
  <c r="M40" i="65" s="1"/>
  <c r="E40" i="66"/>
  <c r="M40" i="66" s="1"/>
  <c r="E42" i="66"/>
  <c r="M42" i="66" s="1"/>
  <c r="E42" i="65"/>
  <c r="M42" i="65" s="1"/>
  <c r="I50" i="66"/>
  <c r="I50" i="65"/>
  <c r="I40" i="66"/>
  <c r="Q40" i="66" s="1"/>
  <c r="I40" i="65"/>
  <c r="Q40" i="65" s="1"/>
  <c r="F50" i="65"/>
  <c r="F50" i="66"/>
  <c r="F40" i="65"/>
  <c r="F40" i="66"/>
  <c r="N40" i="66" s="1"/>
  <c r="G50" i="66"/>
  <c r="G50" i="65"/>
  <c r="G40" i="66"/>
  <c r="O40" i="66" s="1"/>
  <c r="G40" i="65"/>
  <c r="O40" i="65" s="1"/>
  <c r="F49" i="66"/>
  <c r="F49" i="65"/>
  <c r="F39" i="66"/>
  <c r="N39" i="66" s="1"/>
  <c r="F39" i="65"/>
  <c r="N39" i="65" s="1"/>
  <c r="E49" i="65"/>
  <c r="E39" i="65"/>
  <c r="M39" i="65" s="1"/>
  <c r="G49" i="66"/>
  <c r="G49" i="65"/>
  <c r="G39" i="66"/>
  <c r="O39" i="66" s="1"/>
  <c r="G39" i="65"/>
  <c r="O39" i="65" s="1"/>
  <c r="F48" i="65"/>
  <c r="F48" i="66"/>
  <c r="F38" i="65"/>
  <c r="N38" i="65" s="1"/>
  <c r="F38" i="66"/>
  <c r="I42" i="66"/>
  <c r="Q42" i="66" s="1"/>
  <c r="I42" i="65"/>
  <c r="Q42" i="65" s="1"/>
  <c r="P10" i="65"/>
  <c r="P27" i="65"/>
  <c r="E11" i="66"/>
  <c r="M31" i="66"/>
  <c r="M32" i="66" s="1"/>
  <c r="M11" i="66" s="1"/>
  <c r="F11" i="66"/>
  <c r="N31" i="66"/>
  <c r="N32" i="66" s="1"/>
  <c r="N11" i="66" s="1"/>
  <c r="G11" i="66"/>
  <c r="O31" i="66"/>
  <c r="O32" i="66" s="1"/>
  <c r="O11" i="66" s="1"/>
  <c r="M31" i="65"/>
  <c r="M32" i="65" s="1"/>
  <c r="O33" i="65"/>
  <c r="Q31" i="65"/>
  <c r="Q32" i="65" s="1"/>
  <c r="F32" i="65"/>
  <c r="F11" i="65" s="1"/>
  <c r="F42" i="63" s="1"/>
  <c r="N31" i="65"/>
  <c r="N32" i="65" s="1"/>
  <c r="D38" i="66"/>
  <c r="L38" i="66" s="1"/>
  <c r="D38" i="65"/>
  <c r="L38" i="65" s="1"/>
  <c r="H31" i="66"/>
  <c r="E59" i="66"/>
  <c r="F59" i="66"/>
  <c r="I32" i="65"/>
  <c r="I11" i="65" s="1"/>
  <c r="H10" i="65"/>
  <c r="G41" i="63" s="1"/>
  <c r="G59" i="65"/>
  <c r="H27" i="65"/>
  <c r="D78" i="65"/>
  <c r="D16" i="65" s="1"/>
  <c r="L78" i="65"/>
  <c r="L16" i="65" s="1"/>
  <c r="G71" i="65"/>
  <c r="O71" i="65" s="1"/>
  <c r="G71" i="66"/>
  <c r="O71" i="66" s="1"/>
  <c r="E32" i="66"/>
  <c r="E33" i="66" s="1"/>
  <c r="D78" i="66"/>
  <c r="D16" i="66" s="1"/>
  <c r="L78" i="66"/>
  <c r="L16" i="66" s="1"/>
  <c r="O82" i="60"/>
  <c r="G65" i="66"/>
  <c r="O65" i="66" s="1"/>
  <c r="G65" i="65"/>
  <c r="O65" i="65" s="1"/>
  <c r="D72" i="66"/>
  <c r="D15" i="66" s="1"/>
  <c r="I65" i="66"/>
  <c r="Q65" i="66" s="1"/>
  <c r="I65" i="65"/>
  <c r="Q65" i="65" s="1"/>
  <c r="D66" i="65"/>
  <c r="D14" i="65" s="1"/>
  <c r="L66" i="65"/>
  <c r="L14" i="65" s="1"/>
  <c r="D72" i="65"/>
  <c r="D15" i="65" s="1"/>
  <c r="L72" i="65"/>
  <c r="L15" i="65" s="1"/>
  <c r="I77" i="65"/>
  <c r="Q77" i="65" s="1"/>
  <c r="I77" i="66"/>
  <c r="Q77" i="66" s="1"/>
  <c r="F71" i="65"/>
  <c r="N71" i="65" s="1"/>
  <c r="F71" i="66"/>
  <c r="N71" i="66" s="1"/>
  <c r="P78" i="60"/>
  <c r="P79" i="60"/>
  <c r="P80" i="60"/>
  <c r="P81" i="60"/>
  <c r="D66" i="66"/>
  <c r="D14" i="66" s="1"/>
  <c r="L66" i="66"/>
  <c r="L14" i="66" s="1"/>
  <c r="E71" i="65"/>
  <c r="M71" i="65" s="1"/>
  <c r="E71" i="66"/>
  <c r="M71" i="66" s="1"/>
  <c r="Q82" i="60"/>
  <c r="I71" i="65"/>
  <c r="Q71" i="65" s="1"/>
  <c r="I71" i="66"/>
  <c r="Q71" i="66" s="1"/>
  <c r="E65" i="66"/>
  <c r="M65" i="66" s="1"/>
  <c r="E65" i="65"/>
  <c r="M65" i="65" s="1"/>
  <c r="F77" i="66"/>
  <c r="N77" i="66" s="1"/>
  <c r="F77" i="65"/>
  <c r="N77" i="65" s="1"/>
  <c r="G32" i="66"/>
  <c r="G33" i="66" s="1"/>
  <c r="I59" i="66"/>
  <c r="N82" i="60"/>
  <c r="F65" i="66"/>
  <c r="N65" i="66" s="1"/>
  <c r="F65" i="65"/>
  <c r="N65" i="65" s="1"/>
  <c r="M82" i="60"/>
  <c r="E77" i="66"/>
  <c r="M77" i="66" s="1"/>
  <c r="E77" i="65"/>
  <c r="M77" i="65" s="1"/>
  <c r="G77" i="66"/>
  <c r="O77" i="66" s="1"/>
  <c r="G77" i="65"/>
  <c r="O77" i="65" s="1"/>
  <c r="E32" i="65"/>
  <c r="E11" i="65" s="1"/>
  <c r="D42" i="63" s="1"/>
  <c r="O60" i="66"/>
  <c r="O13" i="66" s="1"/>
  <c r="F32" i="66"/>
  <c r="F33" i="66" s="1"/>
  <c r="G60" i="66"/>
  <c r="G13" i="66" s="1"/>
  <c r="I11" i="66"/>
  <c r="Q32" i="66"/>
  <c r="Q11" i="66" s="1"/>
  <c r="I32" i="66"/>
  <c r="I33" i="66" s="1"/>
  <c r="D60" i="65"/>
  <c r="D13" i="65" s="1"/>
  <c r="Q70" i="60"/>
  <c r="D60" i="66"/>
  <c r="D13" i="66" s="1"/>
  <c r="L60" i="66"/>
  <c r="P67" i="60"/>
  <c r="P32" i="65"/>
  <c r="P11" i="65" s="1"/>
  <c r="H32" i="65"/>
  <c r="H33" i="65" s="1"/>
  <c r="O70" i="60"/>
  <c r="P69" i="60"/>
  <c r="P65" i="60"/>
  <c r="P66" i="60"/>
  <c r="I60" i="65"/>
  <c r="I13" i="65" s="1"/>
  <c r="L70" i="60"/>
  <c r="G33" i="65"/>
  <c r="N70" i="60"/>
  <c r="D18" i="63" l="1"/>
  <c r="D19" i="63" s="1"/>
  <c r="G86" i="65"/>
  <c r="E38" i="66"/>
  <c r="E48" i="65"/>
  <c r="E52" i="65" s="1"/>
  <c r="E48" i="66"/>
  <c r="O92" i="66"/>
  <c r="F92" i="66"/>
  <c r="I92" i="66"/>
  <c r="M70" i="60"/>
  <c r="E92" i="66"/>
  <c r="E39" i="66"/>
  <c r="M39" i="66" s="1"/>
  <c r="O86" i="66"/>
  <c r="E92" i="65"/>
  <c r="G25" i="64"/>
  <c r="F19" i="63"/>
  <c r="I25" i="64"/>
  <c r="I86" i="65"/>
  <c r="Q86" i="66"/>
  <c r="I92" i="65"/>
  <c r="E52" i="63"/>
  <c r="F53" i="63"/>
  <c r="E54" i="63"/>
  <c r="F25" i="64"/>
  <c r="D53" i="63"/>
  <c r="F52" i="63"/>
  <c r="F54" i="63"/>
  <c r="E53" i="63"/>
  <c r="E42" i="63"/>
  <c r="D54" i="63"/>
  <c r="E55" i="63"/>
  <c r="P18" i="66"/>
  <c r="P92" i="66"/>
  <c r="P17" i="66"/>
  <c r="P86" i="66"/>
  <c r="G18" i="63"/>
  <c r="H25" i="64"/>
  <c r="E20" i="63"/>
  <c r="E19" i="63"/>
  <c r="F20" i="63"/>
  <c r="D20" i="63"/>
  <c r="H51" i="66"/>
  <c r="H51" i="65"/>
  <c r="H41" i="66"/>
  <c r="P41" i="66" s="1"/>
  <c r="H41" i="65"/>
  <c r="P41" i="65" s="1"/>
  <c r="D52" i="66"/>
  <c r="F33" i="65"/>
  <c r="H17" i="66"/>
  <c r="H86" i="66"/>
  <c r="H18" i="66"/>
  <c r="H92" i="66"/>
  <c r="D52" i="65"/>
  <c r="H18" i="65"/>
  <c r="H92" i="65"/>
  <c r="H17" i="65"/>
  <c r="H86" i="65"/>
  <c r="F52" i="66"/>
  <c r="F43" i="65"/>
  <c r="F12" i="65" s="1"/>
  <c r="N40" i="65"/>
  <c r="H49" i="65"/>
  <c r="G53" i="63" s="1"/>
  <c r="H49" i="66"/>
  <c r="H39" i="65"/>
  <c r="P39" i="65" s="1"/>
  <c r="H39" i="66"/>
  <c r="P39" i="66" s="1"/>
  <c r="H50" i="66"/>
  <c r="H50" i="65"/>
  <c r="G54" i="63" s="1"/>
  <c r="H40" i="66"/>
  <c r="P40" i="66" s="1"/>
  <c r="H40" i="65"/>
  <c r="P40" i="65" s="1"/>
  <c r="H48" i="65"/>
  <c r="G52" i="63" s="1"/>
  <c r="H48" i="66"/>
  <c r="H38" i="65"/>
  <c r="H38" i="66"/>
  <c r="F43" i="66"/>
  <c r="F12" i="66" s="1"/>
  <c r="N38" i="66"/>
  <c r="N43" i="66" s="1"/>
  <c r="N12" i="66" s="1"/>
  <c r="I43" i="65"/>
  <c r="I12" i="65" s="1"/>
  <c r="Q38" i="65"/>
  <c r="Q43" i="65" s="1"/>
  <c r="Q12" i="65" s="1"/>
  <c r="E43" i="65"/>
  <c r="E12" i="65" s="1"/>
  <c r="M38" i="65"/>
  <c r="H42" i="66"/>
  <c r="P42" i="66" s="1"/>
  <c r="H42" i="65"/>
  <c r="P42" i="65" s="1"/>
  <c r="I43" i="66"/>
  <c r="I12" i="66" s="1"/>
  <c r="Q38" i="66"/>
  <c r="Q43" i="66" s="1"/>
  <c r="Q12" i="66" s="1"/>
  <c r="E43" i="66"/>
  <c r="E12" i="66" s="1"/>
  <c r="M38" i="66"/>
  <c r="M43" i="66" s="1"/>
  <c r="G43" i="65"/>
  <c r="G12" i="65" s="1"/>
  <c r="O38" i="65"/>
  <c r="I52" i="65"/>
  <c r="F52" i="65"/>
  <c r="G43" i="66"/>
  <c r="O38" i="66"/>
  <c r="O43" i="66" s="1"/>
  <c r="I52" i="66"/>
  <c r="G52" i="65"/>
  <c r="E52" i="66"/>
  <c r="G52" i="66"/>
  <c r="Q33" i="65"/>
  <c r="Q11" i="65"/>
  <c r="M11" i="65"/>
  <c r="M33" i="65"/>
  <c r="F60" i="66"/>
  <c r="F13" i="66" s="1"/>
  <c r="N59" i="66"/>
  <c r="N60" i="66" s="1"/>
  <c r="E60" i="66"/>
  <c r="E13" i="66" s="1"/>
  <c r="M59" i="66"/>
  <c r="M60" i="66" s="1"/>
  <c r="P17" i="65"/>
  <c r="H11" i="66"/>
  <c r="P31" i="66"/>
  <c r="P32" i="66" s="1"/>
  <c r="P11" i="66" s="1"/>
  <c r="P18" i="65"/>
  <c r="L13" i="65"/>
  <c r="I60" i="66"/>
  <c r="I13" i="66" s="1"/>
  <c r="Q59" i="66"/>
  <c r="Q60" i="66" s="1"/>
  <c r="O59" i="65"/>
  <c r="O60" i="65" s="1"/>
  <c r="N33" i="65"/>
  <c r="N11" i="65"/>
  <c r="H41" i="63"/>
  <c r="L13" i="66"/>
  <c r="H32" i="66"/>
  <c r="H33" i="66" s="1"/>
  <c r="O33" i="66"/>
  <c r="I33" i="65"/>
  <c r="G60" i="65"/>
  <c r="E33" i="65"/>
  <c r="M33" i="66"/>
  <c r="P82" i="60"/>
  <c r="O78" i="66"/>
  <c r="O79" i="66" s="1"/>
  <c r="G78" i="66"/>
  <c r="M72" i="66"/>
  <c r="M73" i="66" s="1"/>
  <c r="E72" i="66"/>
  <c r="F72" i="66"/>
  <c r="N72" i="66"/>
  <c r="N73" i="66" s="1"/>
  <c r="I66" i="65"/>
  <c r="Q66" i="65"/>
  <c r="Q67" i="65" s="1"/>
  <c r="H59" i="66"/>
  <c r="E78" i="65"/>
  <c r="M78" i="65"/>
  <c r="M79" i="65" s="1"/>
  <c r="F78" i="65"/>
  <c r="N78" i="65"/>
  <c r="N79" i="65" s="1"/>
  <c r="M72" i="65"/>
  <c r="M73" i="65" s="1"/>
  <c r="E72" i="65"/>
  <c r="N72" i="65"/>
  <c r="N73" i="65" s="1"/>
  <c r="F72" i="65"/>
  <c r="I66" i="66"/>
  <c r="Q66" i="66"/>
  <c r="Q67" i="66" s="1"/>
  <c r="H59" i="65"/>
  <c r="M78" i="66"/>
  <c r="M79" i="66" s="1"/>
  <c r="E78" i="66"/>
  <c r="F78" i="66"/>
  <c r="N78" i="66"/>
  <c r="N79" i="66" s="1"/>
  <c r="I78" i="66"/>
  <c r="Q78" i="66"/>
  <c r="Q79" i="66" s="1"/>
  <c r="G78" i="65"/>
  <c r="O78" i="65"/>
  <c r="O79" i="65" s="1"/>
  <c r="M66" i="65"/>
  <c r="M67" i="65" s="1"/>
  <c r="E66" i="65"/>
  <c r="Q78" i="65"/>
  <c r="Q79" i="65" s="1"/>
  <c r="I78" i="65"/>
  <c r="G72" i="66"/>
  <c r="O72" i="66"/>
  <c r="O73" i="66" s="1"/>
  <c r="N66" i="65"/>
  <c r="N67" i="65" s="1"/>
  <c r="F66" i="65"/>
  <c r="M66" i="66"/>
  <c r="M67" i="66" s="1"/>
  <c r="E66" i="66"/>
  <c r="H77" i="65"/>
  <c r="P77" i="65" s="1"/>
  <c r="H77" i="66"/>
  <c r="P77" i="66" s="1"/>
  <c r="G72" i="65"/>
  <c r="O72" i="65"/>
  <c r="O73" i="65" s="1"/>
  <c r="F66" i="66"/>
  <c r="N66" i="66"/>
  <c r="N67" i="66" s="1"/>
  <c r="Q72" i="66"/>
  <c r="Q73" i="66" s="1"/>
  <c r="I72" i="66"/>
  <c r="H71" i="65"/>
  <c r="P71" i="65" s="1"/>
  <c r="H71" i="66"/>
  <c r="P71" i="66" s="1"/>
  <c r="O66" i="65"/>
  <c r="O67" i="65" s="1"/>
  <c r="G66" i="65"/>
  <c r="I72" i="65"/>
  <c r="Q72" i="65"/>
  <c r="Q73" i="65" s="1"/>
  <c r="H65" i="66"/>
  <c r="P65" i="66" s="1"/>
  <c r="H65" i="65"/>
  <c r="P65" i="65" s="1"/>
  <c r="O66" i="66"/>
  <c r="O67" i="66" s="1"/>
  <c r="G66" i="66"/>
  <c r="N33" i="66"/>
  <c r="Q60" i="65"/>
  <c r="Q13" i="65" s="1"/>
  <c r="N60" i="65"/>
  <c r="N13" i="65" s="1"/>
  <c r="F60" i="65"/>
  <c r="Q33" i="66"/>
  <c r="F26" i="64"/>
  <c r="E60" i="65"/>
  <c r="M60" i="65"/>
  <c r="M13" i="65" s="1"/>
  <c r="I61" i="65"/>
  <c r="G61" i="66"/>
  <c r="O61" i="66"/>
  <c r="P33" i="65"/>
  <c r="H11" i="65"/>
  <c r="G42" i="63" s="1"/>
  <c r="P70" i="60"/>
  <c r="D43" i="66"/>
  <c r="L43" i="66"/>
  <c r="L12" i="66" s="1"/>
  <c r="D43" i="65"/>
  <c r="D52" i="63" l="1"/>
  <c r="G26" i="64"/>
  <c r="F43" i="63"/>
  <c r="H53" i="63"/>
  <c r="G49" i="63"/>
  <c r="H49" i="63"/>
  <c r="H52" i="63"/>
  <c r="G55" i="63"/>
  <c r="H55" i="63"/>
  <c r="H54" i="63"/>
  <c r="E43" i="63"/>
  <c r="H42" i="63"/>
  <c r="G48" i="63"/>
  <c r="H48" i="63"/>
  <c r="G12" i="66"/>
  <c r="G44" i="66"/>
  <c r="H26" i="64"/>
  <c r="I26" i="64"/>
  <c r="H20" i="63"/>
  <c r="G19" i="63"/>
  <c r="G20" i="63"/>
  <c r="F61" i="66"/>
  <c r="E53" i="66"/>
  <c r="F53" i="66"/>
  <c r="G53" i="66"/>
  <c r="F53" i="65"/>
  <c r="G53" i="65"/>
  <c r="E53" i="65"/>
  <c r="I53" i="65"/>
  <c r="E61" i="66"/>
  <c r="I61" i="66"/>
  <c r="I53" i="66"/>
  <c r="H43" i="66"/>
  <c r="H12" i="66" s="1"/>
  <c r="P38" i="66"/>
  <c r="P43" i="66" s="1"/>
  <c r="H52" i="66"/>
  <c r="H53" i="66" s="1"/>
  <c r="H52" i="65"/>
  <c r="H53" i="65" s="1"/>
  <c r="H43" i="65"/>
  <c r="H12" i="65" s="1"/>
  <c r="G43" i="63" s="1"/>
  <c r="P38" i="65"/>
  <c r="N61" i="66"/>
  <c r="N13" i="66"/>
  <c r="M61" i="66"/>
  <c r="M13" i="66"/>
  <c r="F61" i="65"/>
  <c r="F13" i="65"/>
  <c r="Q15" i="66"/>
  <c r="E67" i="66"/>
  <c r="E14" i="66"/>
  <c r="E67" i="65"/>
  <c r="E14" i="65"/>
  <c r="D45" i="63" s="1"/>
  <c r="F16" i="66"/>
  <c r="F79" i="66"/>
  <c r="E15" i="65"/>
  <c r="D46" i="63" s="1"/>
  <c r="E73" i="65"/>
  <c r="I14" i="65"/>
  <c r="I67" i="65"/>
  <c r="D12" i="66"/>
  <c r="O12" i="66"/>
  <c r="F67" i="65"/>
  <c r="F14" i="65"/>
  <c r="Q61" i="66"/>
  <c r="Q13" i="66"/>
  <c r="F73" i="66"/>
  <c r="F15" i="66"/>
  <c r="O61" i="65"/>
  <c r="O13" i="65"/>
  <c r="I73" i="65"/>
  <c r="I15" i="65"/>
  <c r="G67" i="65"/>
  <c r="G14" i="65"/>
  <c r="N14" i="65"/>
  <c r="O16" i="65"/>
  <c r="H60" i="65"/>
  <c r="P59" i="65"/>
  <c r="P60" i="65" s="1"/>
  <c r="F79" i="65"/>
  <c r="F16" i="65"/>
  <c r="E73" i="66"/>
  <c r="E15" i="66"/>
  <c r="G61" i="65"/>
  <c r="G13" i="65"/>
  <c r="M15" i="65"/>
  <c r="O14" i="65"/>
  <c r="O15" i="65"/>
  <c r="O15" i="66"/>
  <c r="G16" i="65"/>
  <c r="G79" i="65"/>
  <c r="Q14" i="66"/>
  <c r="M16" i="65"/>
  <c r="M15" i="66"/>
  <c r="Q15" i="65"/>
  <c r="E16" i="66"/>
  <c r="E79" i="66"/>
  <c r="G73" i="65"/>
  <c r="G15" i="65"/>
  <c r="G73" i="66"/>
  <c r="G15" i="66"/>
  <c r="Q16" i="66"/>
  <c r="I14" i="66"/>
  <c r="I67" i="66"/>
  <c r="E79" i="65"/>
  <c r="E16" i="65"/>
  <c r="D47" i="63" s="1"/>
  <c r="G16" i="66"/>
  <c r="G79" i="66"/>
  <c r="N14" i="66"/>
  <c r="M14" i="65"/>
  <c r="F14" i="66"/>
  <c r="F67" i="66"/>
  <c r="N16" i="65"/>
  <c r="E61" i="65"/>
  <c r="E13" i="65"/>
  <c r="D44" i="63" s="1"/>
  <c r="G14" i="66"/>
  <c r="G67" i="66"/>
  <c r="O14" i="66"/>
  <c r="I16" i="65"/>
  <c r="I79" i="65"/>
  <c r="I79" i="66"/>
  <c r="I16" i="66"/>
  <c r="F15" i="65"/>
  <c r="F73" i="65"/>
  <c r="H60" i="66"/>
  <c r="P59" i="66"/>
  <c r="P60" i="66" s="1"/>
  <c r="O16" i="66"/>
  <c r="M14" i="66"/>
  <c r="N15" i="66"/>
  <c r="M16" i="66"/>
  <c r="M12" i="66"/>
  <c r="D12" i="65"/>
  <c r="D43" i="63" s="1"/>
  <c r="I15" i="66"/>
  <c r="I73" i="66"/>
  <c r="Q16" i="65"/>
  <c r="N16" i="66"/>
  <c r="N15" i="65"/>
  <c r="Q14" i="65"/>
  <c r="P33" i="66"/>
  <c r="O43" i="65"/>
  <c r="H72" i="66"/>
  <c r="P72" i="66"/>
  <c r="P73" i="66" s="1"/>
  <c r="H66" i="65"/>
  <c r="P66" i="65"/>
  <c r="P67" i="65" s="1"/>
  <c r="H72" i="65"/>
  <c r="P72" i="65"/>
  <c r="P73" i="65" s="1"/>
  <c r="P78" i="66"/>
  <c r="P79" i="66" s="1"/>
  <c r="H78" i="66"/>
  <c r="P66" i="66"/>
  <c r="P67" i="66" s="1"/>
  <c r="H66" i="66"/>
  <c r="P78" i="65"/>
  <c r="P79" i="65" s="1"/>
  <c r="H78" i="65"/>
  <c r="Q61" i="65"/>
  <c r="M61" i="65"/>
  <c r="N61" i="65"/>
  <c r="N43" i="65"/>
  <c r="N12" i="65" s="1"/>
  <c r="E44" i="66"/>
  <c r="I44" i="66"/>
  <c r="F44" i="66"/>
  <c r="O44" i="66"/>
  <c r="Q44" i="66"/>
  <c r="N44" i="66"/>
  <c r="L19" i="66"/>
  <c r="I44" i="65"/>
  <c r="M43" i="65"/>
  <c r="L43" i="65"/>
  <c r="G44" i="65"/>
  <c r="F44" i="65"/>
  <c r="E44" i="65"/>
  <c r="M44" i="66"/>
  <c r="F44" i="63" l="1"/>
  <c r="E46" i="63"/>
  <c r="F45" i="63"/>
  <c r="F47" i="63"/>
  <c r="H43" i="63"/>
  <c r="F46" i="63"/>
  <c r="E44" i="63"/>
  <c r="E47" i="63"/>
  <c r="E45" i="63"/>
  <c r="M19" i="66"/>
  <c r="N19" i="66"/>
  <c r="Q19" i="66"/>
  <c r="Q19" i="65"/>
  <c r="H27" i="63" s="1"/>
  <c r="H33" i="63" s="1"/>
  <c r="O19" i="66"/>
  <c r="P14" i="66"/>
  <c r="H73" i="66"/>
  <c r="H15" i="66"/>
  <c r="P12" i="66"/>
  <c r="H16" i="66"/>
  <c r="H79" i="66"/>
  <c r="P16" i="66"/>
  <c r="O12" i="65"/>
  <c r="O19" i="65" s="1"/>
  <c r="F27" i="63" s="1"/>
  <c r="F33" i="63" s="1"/>
  <c r="H61" i="66"/>
  <c r="H13" i="66"/>
  <c r="P61" i="66"/>
  <c r="P13" i="66"/>
  <c r="H73" i="65"/>
  <c r="H15" i="65"/>
  <c r="G46" i="63" s="1"/>
  <c r="P61" i="65"/>
  <c r="P13" i="65"/>
  <c r="H16" i="65"/>
  <c r="G47" i="63" s="1"/>
  <c r="H79" i="65"/>
  <c r="P16" i="65"/>
  <c r="H61" i="65"/>
  <c r="H13" i="65"/>
  <c r="P15" i="65"/>
  <c r="P14" i="65"/>
  <c r="M12" i="65"/>
  <c r="M19" i="65" s="1"/>
  <c r="D27" i="63" s="1"/>
  <c r="D33" i="63" s="1"/>
  <c r="H14" i="65"/>
  <c r="G45" i="63" s="1"/>
  <c r="H67" i="65"/>
  <c r="H14" i="66"/>
  <c r="H67" i="66"/>
  <c r="P15" i="66"/>
  <c r="L12" i="65"/>
  <c r="L19" i="65" s="1"/>
  <c r="C27" i="63" s="1"/>
  <c r="N19" i="65"/>
  <c r="E27" i="63" s="1"/>
  <c r="E33" i="63" s="1"/>
  <c r="H44" i="65"/>
  <c r="P44" i="66"/>
  <c r="H44" i="66"/>
  <c r="P43" i="65"/>
  <c r="P12" i="65" s="1"/>
  <c r="Q44" i="65"/>
  <c r="N44" i="65"/>
  <c r="O44" i="65"/>
  <c r="M44" i="65"/>
  <c r="H46" i="63" l="1"/>
  <c r="H45" i="63"/>
  <c r="G44" i="63"/>
  <c r="H44" i="63"/>
  <c r="H47" i="63"/>
  <c r="P19" i="66"/>
  <c r="C33" i="63"/>
  <c r="E34" i="63" s="1"/>
  <c r="H28" i="63"/>
  <c r="D28" i="63"/>
  <c r="D29" i="63"/>
  <c r="F28" i="63"/>
  <c r="P19" i="65"/>
  <c r="G27" i="63" s="1"/>
  <c r="G33" i="63" s="1"/>
  <c r="E29" i="63"/>
  <c r="F29" i="63"/>
  <c r="E28" i="63"/>
  <c r="E35" i="63"/>
  <c r="P44" i="65"/>
  <c r="F35" i="63"/>
  <c r="H34" i="63" l="1"/>
  <c r="D35" i="63"/>
  <c r="D34" i="63"/>
  <c r="G34" i="63"/>
  <c r="F34" i="63"/>
  <c r="G29" i="63"/>
  <c r="H35" i="63"/>
  <c r="H29" i="63"/>
  <c r="G35" i="63"/>
  <c r="G28"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D91778A4-F637-4C99-AD24-7B54D2107BBD}">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F9841207-54F3-41F5-8FBB-28EBCBDF1CCE}">
      <text>
        <r>
          <rPr>
            <b/>
            <sz val="9"/>
            <color indexed="81"/>
            <rFont val="Tahoma"/>
            <family val="2"/>
          </rPr>
          <t>Author:</t>
        </r>
        <r>
          <rPr>
            <sz val="9"/>
            <color indexed="81"/>
            <rFont val="Tahoma"/>
            <family val="2"/>
          </rPr>
          <t xml:space="preserve">
0,1 and 2 years completed as a consultant
</t>
        </r>
      </text>
    </comment>
    <comment ref="B46" authorId="0" shapeId="0" xr:uid="{E12F2A92-9453-413D-BDC2-7D5C49943678}">
      <text>
        <r>
          <rPr>
            <b/>
            <sz val="9"/>
            <color indexed="81"/>
            <rFont val="Tahoma"/>
            <family val="2"/>
          </rPr>
          <t>Author:</t>
        </r>
        <r>
          <rPr>
            <sz val="9"/>
            <color indexed="81"/>
            <rFont val="Tahoma"/>
            <family val="2"/>
          </rPr>
          <t xml:space="preserve">
4 to 13 years completed as a consultant (average pay)
</t>
        </r>
      </text>
    </comment>
    <comment ref="B47" authorId="0" shapeId="0" xr:uid="{3D8DFD9A-6253-408C-A031-CAAE1C81E302}">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<sst xmlns="http://schemas.openxmlformats.org/spreadsheetml/2006/main" count="2288" uniqueCount="1052">
  <si>
    <t>Putting NICE guidance into practice</t>
  </si>
  <si>
    <t>Resource impact template:</t>
  </si>
  <si>
    <t>Specialty area</t>
  </si>
  <si>
    <t>Disease area</t>
  </si>
  <si>
    <t>Pathway position</t>
  </si>
  <si>
    <t>Provider</t>
  </si>
  <si>
    <t>Commissioner</t>
  </si>
  <si>
    <t>Programme budget category</t>
  </si>
  <si>
    <t>Contents</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</si>
  <si>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</si>
  <si>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</si>
  <si>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</si>
  <si>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</si>
  <si>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</si>
  <si>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</si>
  <si>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</si>
  <si>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</si>
  <si>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</si>
  <si>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</si>
  <si>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</si>
  <si>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</si>
  <si>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</si>
  <si>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</si>
  <si>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</si>
  <si>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</si>
  <si>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</si>
  <si>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</si>
  <si>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</si>
  <si>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</si>
  <si>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</si>
  <si>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</si>
  <si>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</si>
  <si>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</si>
  <si>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</si>
  <si>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</si>
  <si>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</si>
  <si>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</si>
  <si>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</si>
  <si>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</si>
  <si>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</si>
  <si>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</si>
  <si>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</si>
  <si>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Eligible population calculation</t>
  </si>
  <si>
    <t>Current practice -
year 0</t>
  </si>
  <si>
    <t>Future practice - year 5 (with population growth/disease change)</t>
  </si>
  <si>
    <t>References and data sources</t>
  </si>
  <si>
    <t>Do you want to use the NICE estimate of your eligible population?</t>
  </si>
  <si>
    <t>Future practice -
year 1</t>
  </si>
  <si>
    <t>Future practice -
year 2</t>
  </si>
  <si>
    <t>Population growth (100% represents no growth)</t>
  </si>
  <si>
    <t>Disease change in incidence/prevalence (100% represents no growth)</t>
  </si>
  <si>
    <t>In a world with the new options</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</si>
  <si>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</si>
  <si>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</si>
  <si>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</si>
  <si>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</si>
  <si>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</si>
  <si>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</si>
  <si>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</si>
  <si>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</si>
  <si>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</si>
  <si>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</si>
  <si>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</si>
  <si>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Hourly cost</t>
  </si>
  <si>
    <t>Band 7 Mid</t>
  </si>
  <si>
    <t>Band 5 Mid</t>
  </si>
  <si>
    <t>Band 8a Mid</t>
  </si>
  <si>
    <t>Consultant mid</t>
  </si>
  <si>
    <t>Band 6 Mid</t>
  </si>
  <si>
    <t>Notes</t>
  </si>
  <si>
    <t>Population data notes</t>
  </si>
  <si>
    <t>-</t>
  </si>
  <si>
    <t>Unit costs</t>
  </si>
  <si>
    <t>Review the data in each blue cell below.  Enter a local value or leave NICE standard assumptions.</t>
  </si>
  <si>
    <t>Drug cost workings</t>
  </si>
  <si>
    <t>Regimen</t>
  </si>
  <si>
    <t>Drug name</t>
  </si>
  <si>
    <t>Dose (mg)</t>
  </si>
  <si>
    <r>
      <t>BSA (m</t>
    </r>
    <r>
      <rPr>
        <vertAlign val="superscript"/>
        <sz val="11"/>
        <rFont val="Calibri"/>
        <family val="2"/>
        <scheme val="minor"/>
      </rPr>
      <t>2</t>
    </r>
    <r>
      <rPr>
        <sz val="11"/>
        <rFont val="Calibri"/>
        <family val="2"/>
        <scheme val="minor"/>
      </rPr>
      <t>)</t>
    </r>
  </si>
  <si>
    <t>Weight (kg)</t>
  </si>
  <si>
    <t>Dose per admin</t>
  </si>
  <si>
    <t>Frequency (days)</t>
  </si>
  <si>
    <t>Pack type</t>
  </si>
  <si>
    <t>Quantity</t>
  </si>
  <si>
    <t>Strength (mg)</t>
  </si>
  <si>
    <t>Total contents (mg)</t>
  </si>
  <si>
    <t xml:space="preserve">Cost </t>
  </si>
  <si>
    <t>Cycles</t>
  </si>
  <si>
    <t>Admin method</t>
  </si>
  <si>
    <t>VAT rate</t>
  </si>
  <si>
    <t>Annual cost</t>
  </si>
  <si>
    <t>n/a</t>
  </si>
  <si>
    <t>&lt;spare row&gt;</t>
  </si>
  <si>
    <t>All components</t>
  </si>
  <si>
    <t>Treatment option</t>
  </si>
  <si>
    <t>national prices</t>
  </si>
  <si>
    <t>local prices</t>
  </si>
  <si>
    <t>Estimated number of administrations</t>
  </si>
  <si>
    <t>Eligible population and uptake</t>
  </si>
  <si>
    <t>Current practice</t>
  </si>
  <si>
    <t>Eligible population</t>
  </si>
  <si>
    <t>Financial resource impact</t>
  </si>
  <si>
    <t>Cash items</t>
  </si>
  <si>
    <t>£'000</t>
  </si>
  <si>
    <t>Drug resource impact per year</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</si>
  <si>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</si>
  <si>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</si>
  <si>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</si>
  <si>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</si>
  <si>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</si>
  <si>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</si>
  <si>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</si>
  <si>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</si>
  <si>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</si>
  <si>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</si>
  <si>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</si>
  <si>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</si>
  <si>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</si>
  <si>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</si>
  <si>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</si>
  <si>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</si>
  <si>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</si>
  <si>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</si>
  <si>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</si>
  <si>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</si>
  <si>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</si>
  <si>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</si>
  <si>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</si>
  <si>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</si>
  <si>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</si>
  <si>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</si>
  <si>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</si>
  <si>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</si>
  <si>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</si>
  <si>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</si>
  <si>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</si>
  <si>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</si>
  <si>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</si>
  <si>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</si>
  <si>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</si>
  <si>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</si>
  <si>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</si>
  <si>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</si>
  <si>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</si>
  <si>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</si>
  <si>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</si>
  <si>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</si>
  <si>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</si>
  <si>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</si>
  <si>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</si>
  <si>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</si>
  <si>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</si>
  <si>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</si>
  <si>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</si>
  <si>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</si>
  <si>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</si>
  <si>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</si>
  <si>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</si>
  <si>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</si>
  <si>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</si>
  <si>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</si>
  <si>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</si>
  <si>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</si>
  <si>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</si>
  <si>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</si>
  <si>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</si>
  <si>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</si>
  <si>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</si>
  <si>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</si>
  <si>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</si>
  <si>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</si>
  <si>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</si>
  <si>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</si>
  <si>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</si>
  <si>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</si>
  <si>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</si>
  <si>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</si>
  <si>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</si>
  <si>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</si>
  <si>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</si>
  <si>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</si>
  <si>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</si>
  <si>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</si>
  <si>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</si>
  <si>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</si>
  <si>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</si>
  <si>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</si>
  <si>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</si>
  <si>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</si>
  <si>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</si>
  <si>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</si>
  <si>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</si>
  <si>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</si>
  <si>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</si>
  <si>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</si>
  <si>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</si>
  <si>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</si>
  <si>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</si>
  <si>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</si>
  <si>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</si>
  <si>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</si>
  <si>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</si>
  <si>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</si>
  <si>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</si>
  <si>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</si>
  <si>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</si>
  <si>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</si>
  <si>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</si>
  <si>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</si>
  <si>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</si>
  <si>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</si>
  <si>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</si>
  <si>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</si>
  <si>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</si>
  <si>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</si>
  <si>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</si>
  <si>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</si>
  <si>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</si>
  <si>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</si>
  <si>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</si>
  <si>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</si>
  <si>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</si>
  <si>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</si>
  <si>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</si>
  <si>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</si>
  <si>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</si>
  <si>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</si>
  <si>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</si>
  <si>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</si>
  <si>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</si>
  <si>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</si>
  <si>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</si>
  <si>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</si>
  <si>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</si>
  <si>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</si>
  <si>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</si>
  <si>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</si>
  <si>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</si>
  <si>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</si>
  <si>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</si>
  <si>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</si>
  <si>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</si>
  <si>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</si>
  <si>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</si>
  <si>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</si>
  <si>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</si>
  <si>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</si>
  <si>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</si>
  <si>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</si>
  <si>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</si>
  <si>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</si>
  <si>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</si>
  <si>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</si>
  <si>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</si>
  <si>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</si>
  <si>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</si>
  <si>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</si>
  <si>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</si>
  <si>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</si>
  <si>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</si>
  <si>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</si>
  <si>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</si>
  <si>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</si>
  <si>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</si>
  <si>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</si>
  <si>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</si>
  <si>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</si>
  <si>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</si>
  <si>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</si>
  <si>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</si>
  <si>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</si>
  <si>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</si>
  <si>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</si>
  <si>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</si>
  <si>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</si>
  <si>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</si>
  <si>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</si>
  <si>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</si>
  <si>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</si>
  <si>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</si>
  <si>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</si>
  <si>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</si>
  <si>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</si>
  <si>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</si>
  <si>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</si>
  <si>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</si>
  <si>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</si>
  <si>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</si>
  <si>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</si>
  <si>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</si>
  <si>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</si>
  <si>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</si>
  <si>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</si>
  <si>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</si>
  <si>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</si>
  <si>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</si>
  <si>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Dorset</t>
  </si>
  <si>
    <t>Somerset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</si>
  <si>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</si>
  <si>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</si>
  <si>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</si>
  <si>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</si>
  <si>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</si>
  <si>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</si>
  <si>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</si>
  <si>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</si>
  <si>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</si>
  <si>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</si>
  <si>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</si>
  <si>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</si>
  <si>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</si>
  <si>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</si>
  <si>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</si>
  <si>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</si>
  <si>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</si>
  <si>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</si>
  <si>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</si>
  <si>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</si>
  <si>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</si>
  <si>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</si>
  <si>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</si>
  <si>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</si>
  <si>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</si>
  <si>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</si>
  <si>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</si>
  <si>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</si>
  <si>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</si>
  <si>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</si>
  <si>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</si>
  <si>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</si>
  <si>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</si>
  <si>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</si>
  <si>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</si>
  <si>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</si>
  <si>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</si>
  <si>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</si>
  <si>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</si>
  <si>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</si>
  <si>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</si>
  <si>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</si>
  <si>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</si>
  <si>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</si>
  <si>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</si>
  <si>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</si>
  <si>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</si>
  <si>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</si>
  <si>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</si>
  <si>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</si>
  <si>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</si>
  <si>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</si>
  <si>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</si>
  <si>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</si>
  <si>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</si>
  <si>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</si>
  <si>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</si>
  <si>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</si>
  <si>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</si>
  <si>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</si>
  <si>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</si>
  <si>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</si>
  <si>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</si>
  <si>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Dacorum</t>
  </si>
  <si>
    <t>Darlington</t>
  </si>
  <si>
    <t>Dartford</t>
  </si>
  <si>
    <t>Derby</t>
  </si>
  <si>
    <t>Derbyshire Dales</t>
  </si>
  <si>
    <t>Doncaster</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</si>
  <si>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</si>
  <si>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</si>
  <si>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</si>
  <si>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</si>
  <si>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</si>
  <si>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</si>
  <si>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</si>
  <si>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</si>
  <si>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</si>
  <si>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</si>
  <si>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</si>
  <si>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</si>
  <si>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</si>
  <si>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</si>
  <si>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</si>
  <si>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</si>
  <si>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</si>
  <si>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</si>
  <si>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</si>
  <si>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</si>
  <si>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</si>
  <si>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</si>
  <si>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</si>
  <si>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</si>
  <si>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</si>
  <si>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</si>
  <si>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</si>
  <si>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</si>
  <si>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</si>
  <si>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</si>
  <si>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</si>
  <si>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</si>
  <si>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</si>
  <si>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</si>
  <si>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</si>
  <si>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</si>
  <si>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</si>
  <si>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</si>
  <si>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</si>
  <si>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</si>
  <si>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</si>
  <si>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</si>
  <si>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</si>
  <si>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</si>
  <si>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</si>
  <si>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</si>
  <si>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</si>
  <si>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</si>
  <si>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</si>
  <si>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</si>
  <si>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</si>
  <si>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</si>
  <si>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</si>
  <si>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</si>
  <si>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</si>
  <si>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</si>
  <si>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</si>
  <si>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</si>
  <si>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</si>
  <si>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</si>
  <si>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</si>
  <si>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</si>
  <si>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</si>
  <si>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</si>
  <si>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</si>
  <si>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</si>
  <si>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</si>
  <si>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</si>
  <si>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</si>
  <si>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</si>
  <si>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</si>
  <si>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</si>
  <si>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</si>
  <si>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</si>
  <si>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</si>
  <si>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</si>
  <si>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</si>
  <si>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</si>
  <si>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</si>
  <si>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</si>
  <si>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</si>
  <si>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</si>
  <si>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</si>
  <si>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</si>
  <si>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</si>
  <si>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</si>
  <si>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</si>
  <si>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</si>
  <si>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</si>
  <si>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</si>
  <si>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</si>
  <si>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</si>
  <si>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</si>
  <si>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</si>
  <si>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</si>
  <si>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</si>
  <si>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</si>
  <si>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</si>
  <si>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</si>
  <si>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</si>
  <si>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</si>
  <si>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</si>
  <si>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</si>
  <si>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</si>
  <si>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</si>
  <si>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</si>
  <si>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</si>
  <si>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</si>
  <si>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</si>
  <si>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</si>
  <si>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</si>
  <si>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</si>
  <si>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</si>
  <si>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</si>
  <si>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</si>
  <si>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</si>
  <si>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</si>
  <si>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</si>
  <si>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</si>
  <si>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</si>
  <si>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</si>
  <si>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</si>
  <si>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</si>
  <si>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</si>
  <si>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</si>
  <si>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</si>
  <si>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</si>
  <si>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</si>
  <si>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</si>
  <si>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</si>
  <si>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</si>
  <si>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</si>
  <si>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</si>
  <si>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</si>
  <si>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</si>
  <si>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</si>
  <si>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</si>
  <si>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</si>
  <si>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</si>
  <si>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</si>
  <si>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</si>
  <si>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</si>
  <si>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</si>
  <si>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</si>
  <si>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</si>
  <si>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</si>
  <si>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</si>
  <si>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</si>
  <si>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</si>
  <si>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</si>
  <si>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</si>
  <si>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</si>
  <si>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</si>
  <si>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</si>
  <si>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</si>
  <si>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</si>
  <si>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</si>
  <si>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</si>
  <si>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</si>
  <si>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</si>
  <si>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</si>
  <si>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</si>
  <si>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</si>
  <si>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</si>
  <si>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</si>
  <si>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</si>
  <si>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</si>
  <si>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</si>
  <si>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</si>
  <si>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</si>
  <si>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</si>
  <si>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</si>
  <si>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</si>
  <si>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</si>
  <si>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</si>
  <si>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</si>
  <si>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</si>
  <si>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</si>
  <si>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</si>
  <si>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</si>
  <si>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</si>
  <si>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</si>
  <si>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</si>
  <si>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</si>
  <si>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</si>
  <si>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</si>
  <si>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</si>
  <si>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</si>
  <si>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</si>
  <si>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</si>
  <si>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</si>
  <si>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</si>
  <si>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</si>
  <si>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</si>
  <si>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</si>
  <si>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</si>
  <si>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</si>
  <si>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</si>
  <si>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</si>
  <si>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</si>
  <si>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</si>
  <si>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</si>
  <si>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</si>
  <si>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</si>
  <si>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</si>
  <si>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</si>
  <si>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</si>
  <si>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</si>
  <si>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</si>
  <si>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</si>
  <si>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</si>
  <si>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</si>
  <si>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</si>
  <si>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</si>
  <si>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</si>
  <si>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</si>
  <si>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</si>
  <si>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</si>
  <si>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</si>
  <si>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</si>
  <si>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</si>
  <si>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</si>
  <si>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</si>
  <si>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</si>
  <si>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</si>
  <si>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</si>
  <si>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</si>
  <si>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</si>
  <si>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</si>
  <si>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</si>
  <si>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</si>
  <si>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</si>
  <si>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</si>
  <si>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</si>
  <si>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</si>
  <si>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</si>
  <si>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</si>
  <si>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</si>
  <si>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</si>
  <si>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</si>
  <si>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</si>
  <si>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</si>
  <si>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</si>
  <si>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</si>
  <si>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</si>
  <si>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</si>
  <si>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</si>
  <si>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</si>
  <si>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</si>
  <si>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</si>
  <si>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</si>
  <si>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</si>
  <si>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</si>
  <si>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</si>
  <si>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</si>
  <si>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</si>
  <si>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</si>
  <si>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</si>
  <si>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</si>
  <si>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</si>
  <si>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</si>
  <si>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</si>
  <si>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</si>
  <si>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</si>
  <si>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</si>
  <si>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</si>
  <si>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</si>
  <si>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</si>
  <si>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</si>
  <si>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</si>
  <si>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</si>
  <si>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</si>
  <si>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</si>
  <si>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</si>
  <si>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</si>
  <si>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</si>
  <si>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</si>
  <si>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</si>
  <si>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</si>
  <si>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</si>
  <si>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</si>
  <si>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</si>
  <si>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</si>
  <si>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</si>
  <si>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</si>
  <si>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</si>
  <si>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</si>
  <si>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</si>
  <si>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</si>
  <si>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</si>
  <si>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</si>
  <si>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</si>
  <si>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</si>
  <si>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</si>
  <si>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</si>
  <si>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</si>
  <si>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</si>
  <si>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</si>
  <si>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</si>
  <si>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</si>
  <si>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</si>
  <si>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</si>
  <si>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</si>
  <si>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</si>
  <si>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</si>
  <si>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Capacity impact (national prices)</t>
  </si>
  <si>
    <t>Band</t>
  </si>
  <si>
    <t>Enhancements Mon-Fri</t>
  </si>
  <si>
    <t>Enhancements Sun</t>
  </si>
  <si>
    <t>Hourly rate</t>
  </si>
  <si>
    <t>Band 2 Bottom</t>
  </si>
  <si>
    <t>Band 2 Top</t>
  </si>
  <si>
    <t>Band 3 Bottom</t>
  </si>
  <si>
    <t>Band 3 Top</t>
  </si>
  <si>
    <t>Band 4 Bottom</t>
  </si>
  <si>
    <t>Band 4 Top</t>
  </si>
  <si>
    <t>Band 5 Bottom</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</si>
  <si>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</si>
  <si>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</si>
  <si>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</si>
  <si>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</si>
  <si>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</si>
  <si>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</si>
  <si>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</si>
  <si>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</si>
  <si>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</si>
  <si>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</si>
  <si>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</si>
  <si>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</si>
  <si>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</si>
  <si>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</si>
  <si>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</si>
  <si>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</si>
  <si>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</si>
  <si>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</si>
  <si>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</si>
  <si>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</si>
  <si>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</si>
  <si>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</si>
  <si>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</si>
  <si>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8A</t>
  </si>
  <si>
    <t>8B</t>
  </si>
  <si>
    <t>8C</t>
  </si>
  <si>
    <t>8D</t>
  </si>
  <si>
    <t>Non medical staffing</t>
  </si>
  <si>
    <t>Day per year</t>
  </si>
  <si>
    <t>Annual leave/bank holidays</t>
  </si>
  <si>
    <t>Mandatory training</t>
  </si>
  <si>
    <t>Sickness at 4%</t>
  </si>
  <si>
    <t>Annual hours per year</t>
  </si>
  <si>
    <t>Sessions worked per week (4 hour sessions)</t>
  </si>
  <si>
    <t>Less SPA allowance (4 hour sessions)</t>
  </si>
  <si>
    <t>Hours of clinical work per year</t>
  </si>
  <si>
    <t>Weeks worked (net of annual leave/training leave)</t>
  </si>
  <si>
    <t>Number of working weeks per year</t>
  </si>
  <si>
    <t>Average working hours per week</t>
  </si>
  <si>
    <t>Total hours per year</t>
  </si>
  <si>
    <t>% of direct patient care</t>
  </si>
  <si>
    <t>Number of hours of direct patient care</t>
  </si>
  <si>
    <t>cells, NICE standard assumptions are used.</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</si>
  <si>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</si>
  <si>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</si>
  <si>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 xml:space="preserve">Eligible population </t>
  </si>
  <si>
    <t>Unit cost</t>
  </si>
  <si>
    <t>England ICB</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</si>
  <si>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</si>
  <si>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</si>
  <si>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</si>
  <si>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</si>
  <si>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</si>
  <si>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</si>
  <si>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</si>
  <si>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</si>
  <si>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</si>
  <si>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</si>
  <si>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</si>
  <si>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</si>
  <si>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</si>
  <si>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</si>
  <si>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</si>
  <si>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</si>
  <si>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</si>
  <si>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</si>
  <si>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</si>
  <si>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</si>
  <si>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</si>
  <si>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</si>
  <si>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</si>
  <si>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</si>
  <si>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</si>
  <si>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</si>
  <si>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</si>
  <si>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</si>
  <si>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</si>
  <si>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</si>
  <si>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</si>
  <si>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</si>
  <si>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</si>
  <si>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</si>
  <si>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</si>
  <si>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</si>
  <si>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</si>
  <si>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</si>
  <si>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</si>
  <si>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</si>
  <si>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</si>
  <si>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</si>
  <si>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Cumberland</t>
  </si>
  <si>
    <t>North Northamptonshire</t>
  </si>
  <si>
    <t>North Yorkshire</t>
  </si>
  <si>
    <t>West Northamptonshire</t>
  </si>
  <si>
    <t>Westmorland and Furness</t>
  </si>
  <si>
    <t>5 year view</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</si>
  <si>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</si>
  <si>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</si>
  <si>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</si>
  <si>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</si>
  <si>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</si>
  <si>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</si>
  <si>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</si>
  <si>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</si>
  <si>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</si>
  <si>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</si>
  <si>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</si>
  <si>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</si>
  <si>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</si>
  <si>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</si>
  <si>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</si>
  <si>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10 year view</t>
  </si>
  <si>
    <t>10 year rates</t>
  </si>
  <si>
    <t>Value to use</t>
  </si>
  <si>
    <t>this column above</t>
  </si>
  <si>
    <t>Population specific growth rate</t>
  </si>
  <si>
    <t>Population above inflated to estimated 2024 value, current year</t>
  </si>
  <si>
    <t>Gynaecology</t>
  </si>
  <si>
    <t>Primary care, secondary care - acute and Tertiary care</t>
  </si>
  <si>
    <t>Integrated Care Boards</t>
  </si>
  <si>
    <t>Population % growth per year (NICE assumption)</t>
  </si>
  <si>
    <t>Disease rate % change per year (NICE assumption)</t>
  </si>
  <si>
    <t>Kiran et al Epidemiology and treatment patterns of UK women diagnosed with vasomotor symptoms: Findings from the Clinical Practice Research Datalink GOLD database. Maturitas. 2022 Oct;164:1-8. doi: 10.1016/j.maturitas.2022.05.013. Epub 2022 Jun 9. PMID: 35738198.</t>
  </si>
  <si>
    <t>Current practice
year 0</t>
  </si>
  <si>
    <t>Future practice
year 1</t>
  </si>
  <si>
    <t>Future practice 
year 2</t>
  </si>
  <si>
    <t>Future practice
year 3</t>
  </si>
  <si>
    <t>Future practice
year 4</t>
  </si>
  <si>
    <t>Future practice
year 5</t>
  </si>
  <si>
    <t>Interventions - uptake</t>
  </si>
  <si>
    <t>Pathway and treatment options</t>
  </si>
  <si>
    <t>Primary care services</t>
  </si>
  <si>
    <t>Total</t>
  </si>
  <si>
    <t>Total people seeking healthcare support</t>
  </si>
  <si>
    <t>Cognitive behavioural therapy</t>
  </si>
  <si>
    <t>People who develop depressive symptoms</t>
  </si>
  <si>
    <t>Input uptake estimates locally</t>
  </si>
  <si>
    <t>Troublesome menopause symptoms assumed to cover all people with depressive symptoms, difficulties with sleep and troublesome vasomotor symptoms</t>
  </si>
  <si>
    <t xml:space="preserve">Number </t>
  </si>
  <si>
    <t>Grade of staff</t>
  </si>
  <si>
    <t>Time per appointment/activity in minutes</t>
  </si>
  <si>
    <t>Cost per appointment/activity</t>
  </si>
  <si>
    <t>Appointments</t>
  </si>
  <si>
    <t>Number of attendances</t>
  </si>
  <si>
    <t>per patient/yr.</t>
  </si>
  <si>
    <t>CBT therapy</t>
  </si>
  <si>
    <t>Sessions</t>
  </si>
  <si>
    <t>Diagnostics</t>
  </si>
  <si>
    <t>Number of scans</t>
  </si>
  <si>
    <t>Number of biopsies</t>
  </si>
  <si>
    <t>Number of procedures</t>
  </si>
  <si>
    <t xml:space="preserve">The primary care appointment costs based on a 15 minute GP time </t>
  </si>
  <si>
    <t xml:space="preserve">The secondary are appointment time is based on a 20 minute consultant time </t>
  </si>
  <si>
    <t>When CBT was compared to treatment as usual or no treatment, the duration was 6 or more sessions for all or most of the evidence respectively. Users can amend to reflect local practice</t>
  </si>
  <si>
    <t>Hormone replacement therapy</t>
  </si>
  <si>
    <t>Prasterone</t>
  </si>
  <si>
    <t>Oral</t>
  </si>
  <si>
    <t>Ospemifene</t>
  </si>
  <si>
    <t>Cream</t>
  </si>
  <si>
    <t>Estradiol ring (device)</t>
  </si>
  <si>
    <t>Estradiol cream</t>
  </si>
  <si>
    <t>Weighting</t>
  </si>
  <si>
    <t>pessary</t>
  </si>
  <si>
    <t>packet</t>
  </si>
  <si>
    <t>tube</t>
  </si>
  <si>
    <t>device</t>
  </si>
  <si>
    <t>Dosages were taken from the British National Formulary (BNF)</t>
  </si>
  <si>
    <t>https://bnf.nice.org.uk/</t>
  </si>
  <si>
    <t>https://www.drugtariff.nhsbsa.nhs.uk/</t>
  </si>
  <si>
    <t>The quantities of the different statin intensity grouping were based on the prescription cost analysis  - England - 2022-23.</t>
  </si>
  <si>
    <t>https://www.nhsbsa.nhs.uk/statistical-collections/prescription-cost-analysis-england/prescription-cost-analysis-england-2022-23</t>
  </si>
  <si>
    <t>Secondary care appointment</t>
  </si>
  <si>
    <t>Service code</t>
  </si>
  <si>
    <t>Service description</t>
  </si>
  <si>
    <t>Currency description</t>
  </si>
  <si>
    <t>Activity</t>
  </si>
  <si>
    <t>Weighted unit cost</t>
  </si>
  <si>
    <t>Gynaecology Service</t>
  </si>
  <si>
    <t>Non-Admitted Face-to-Face Attendance, First</t>
  </si>
  <si>
    <t>Non-Admitted Non-Face-to-Face Attendance, First</t>
  </si>
  <si>
    <t>Multiprofessional Non-Admitted Face-to-Face Attendance, First</t>
  </si>
  <si>
    <t>Multiprofessional Non-Admitted Non-Face-to-Face Attendance, First</t>
  </si>
  <si>
    <t>MA36Z</t>
  </si>
  <si>
    <t>Transvaginal Ultrasound</t>
  </si>
  <si>
    <t>MA37Z</t>
  </si>
  <si>
    <t>Transvaginal Ultrasound with Biopsy</t>
  </si>
  <si>
    <t>https://www.england.nhs.uk/publication/2021-22-national-cost-collection-data-publication/</t>
  </si>
  <si>
    <t>Individual face to face sessions</t>
  </si>
  <si>
    <t xml:space="preserve">The template allows users to estimate whole service resource implications covering the potential increase in people seeking healthcare support and the implications </t>
  </si>
  <si>
    <t>for both primary and secondary care, potential increase in HRT medication and the associated adverse events (impact unscheduled bleeding) including the associated</t>
  </si>
  <si>
    <t>capacity demands on ultrasound and endometrial biopsy tests in secondary care and an increase in CBT therapy and capacity implications for primary care</t>
  </si>
  <si>
    <t>Change in cost to current practice</t>
  </si>
  <si>
    <t>HRTs</t>
  </si>
  <si>
    <t>Current practice - 
year 0    
£'000</t>
  </si>
  <si>
    <t>Future practice -
year 1     £'000</t>
  </si>
  <si>
    <t>Future practice -
year 2     £'000</t>
  </si>
  <si>
    <t>Future practice -
year 3     £'000</t>
  </si>
  <si>
    <t>Future practice -
year 4     £'000</t>
  </si>
  <si>
    <t>Future practice -
year 5    
£'000</t>
  </si>
  <si>
    <t>Primary care appointments</t>
  </si>
  <si>
    <t>Unit price</t>
  </si>
  <si>
    <t>Secondary care appointments</t>
  </si>
  <si>
    <t>Change in number of CBT sessions</t>
  </si>
  <si>
    <t>Females aged 45-55 years</t>
  </si>
  <si>
    <t>Females 40-44 years</t>
  </si>
  <si>
    <t>Blue cells throughout the template allow users to amend the cells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</si>
  <si>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</si>
  <si>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</si>
  <si>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</si>
  <si>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</si>
  <si>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</si>
  <si>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</si>
  <si>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</si>
  <si>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</si>
  <si>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</si>
  <si>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</si>
  <si>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</si>
  <si>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</si>
  <si>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</si>
  <si>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</si>
  <si>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</si>
  <si>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</si>
  <si>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</si>
  <si>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</si>
  <si>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</si>
  <si>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</si>
  <si>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</si>
  <si>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</si>
  <si>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</si>
  <si>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</si>
  <si>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GP Bottom</t>
  </si>
  <si>
    <t>GP Mid</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</si>
  <si>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</si>
  <si>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</si>
  <si>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</si>
  <si>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</si>
  <si>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</si>
  <si>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</si>
  <si>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</si>
  <si>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</si>
  <si>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</si>
  <si>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</si>
  <si>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Published: November 2024</t>
  </si>
  <si>
    <t>Menopause</t>
  </si>
  <si>
    <t>PBC17A - Genital Tract Problems</t>
  </si>
  <si>
    <t>Whole service</t>
  </si>
  <si>
    <t>Estriol tablets</t>
  </si>
  <si>
    <t>Gel</t>
  </si>
  <si>
    <t>Intravaginally</t>
  </si>
  <si>
    <t>Proportion having HRT</t>
  </si>
  <si>
    <t>Proportion not having HRT</t>
  </si>
  <si>
    <t>Service</t>
  </si>
  <si>
    <t>Assumed to cover people 40-55 years. Number based on women but will include other groups of people as defined in the NICE guidance recommendations.</t>
  </si>
  <si>
    <t>Estriol cream</t>
  </si>
  <si>
    <t>Estriol pessary</t>
  </si>
  <si>
    <t>Estriol gel</t>
  </si>
  <si>
    <t>NHS Electronic Drug Tariff: online, accessed 08/10/2024</t>
  </si>
  <si>
    <t>GP Top</t>
  </si>
  <si>
    <t xml:space="preserve">Prevalence of vasomotor symptoms (VMS) </t>
  </si>
  <si>
    <t>Local unit cost</t>
  </si>
  <si>
    <t>People with depressive symptoms not prescribed CBT</t>
  </si>
  <si>
    <t>-HRT, and some may then have diagnostics</t>
  </si>
  <si>
    <t>-CBT</t>
  </si>
  <si>
    <t>-CBT and HRT, and some of those having HRT may have diagnostics</t>
  </si>
  <si>
    <t>People may seek healthcare support in primary care, treatment options include:</t>
  </si>
  <si>
    <t>HRG code</t>
  </si>
  <si>
    <t>HRG description</t>
  </si>
  <si>
    <t>MA31Z</t>
  </si>
  <si>
    <t>MA32Z</t>
  </si>
  <si>
    <t>Diagnostic Hysteroscopy</t>
  </si>
  <si>
    <t>Diagnostic Hysteroscopy with Biopsy</t>
  </si>
  <si>
    <t>Ultrasound with biopsy</t>
  </si>
  <si>
    <t>Hysteroscopy with biopsy</t>
  </si>
  <si>
    <t>% having individual remote sessions</t>
  </si>
  <si>
    <t>% having group face to face sessions</t>
  </si>
  <si>
    <t>% having group remote sessions</t>
  </si>
  <si>
    <t>People receiving ospemifene</t>
  </si>
  <si>
    <t>Ultrasound scans with biopsy</t>
  </si>
  <si>
    <t>Change in number of ultrasound scans</t>
  </si>
  <si>
    <t>Change in number of hysteroscopy</t>
  </si>
  <si>
    <t>% who receive ultrasound scans without biopsy</t>
  </si>
  <si>
    <t>% who receive ultrasound scans with biopsy</t>
  </si>
  <si>
    <t>% who receive hysteroscopy without biopsy</t>
  </si>
  <si>
    <t>% who receive hysteroscopy with biopsy</t>
  </si>
  <si>
    <t>Ultrasound scans without biopsy</t>
  </si>
  <si>
    <t>Hysteroscopy without biopsy</t>
  </si>
  <si>
    <t>per year</t>
  </si>
  <si>
    <t>Number of secondary care appointments</t>
  </si>
  <si>
    <t>Number of CBT sessions</t>
  </si>
  <si>
    <t>Number of ultrasound scans without biopsy</t>
  </si>
  <si>
    <t>Number of ultrasound scans with biopsy</t>
  </si>
  <si>
    <t>Number of individual face to face sessions</t>
  </si>
  <si>
    <t>Number of individual remote sessions</t>
  </si>
  <si>
    <t>Number of group face to face sessions</t>
  </si>
  <si>
    <t>Number of group remote sessions</t>
  </si>
  <si>
    <t>Number of appointments with GP with special interest</t>
  </si>
  <si>
    <t>Individual remote sessions</t>
  </si>
  <si>
    <t>Group face to face sessions</t>
  </si>
  <si>
    <t>Group remote sessions</t>
  </si>
  <si>
    <t>Change in number of appointments</t>
  </si>
  <si>
    <t>Change in number of ultrasound scans without biopsy</t>
  </si>
  <si>
    <t>Change in number of ultrasound scans with biopsy</t>
  </si>
  <si>
    <t>Change in number of hsyteroscopies without biopsy</t>
  </si>
  <si>
    <t>Change in number of hsyteroscopies with biopsy</t>
  </si>
  <si>
    <t>Change in number of secondary care appointments for ospemiferene treatment</t>
  </si>
  <si>
    <t>CBT sessions hours</t>
  </si>
  <si>
    <t>Number of hysteroscopies without biopsy</t>
  </si>
  <si>
    <t>Number of hysteroscopies with biopsy</t>
  </si>
  <si>
    <t>Number of secondary care appointments for ospemifene treatment</t>
  </si>
  <si>
    <t>Number of hysteroscopies</t>
  </si>
  <si>
    <t>Change in number of hysteroscopy with biopsy</t>
  </si>
  <si>
    <t>Appointments for treatment with ospemifene</t>
  </si>
  <si>
    <t>Appointments for ospemifene</t>
  </si>
  <si>
    <t>Percentage of people receiving prescriptions</t>
  </si>
  <si>
    <t>Secondary care appointments for people with HRT related bleeding</t>
  </si>
  <si>
    <t xml:space="preserve">Primary care appointments </t>
  </si>
  <si>
    <t>Primary care appointments - people seeking healthcare support</t>
  </si>
  <si>
    <t>Secondary care appointments - people with HRT related bleeding</t>
  </si>
  <si>
    <t>Diagnostic investigations for HRT related adverse events</t>
  </si>
  <si>
    <t>see input and eligible population worksheet capacity impacts section</t>
  </si>
  <si>
    <t>People receiving CBT therapy</t>
  </si>
  <si>
    <t>Diagnostics for HRT related bleeding</t>
  </si>
  <si>
    <t>Amend the blue cells for  local costs</t>
  </si>
  <si>
    <t>Menopause: identification and management (update)</t>
  </si>
  <si>
    <t>Age range 40-55 years is used above.  The eligible population can be amended locally in the blue cell left/below if a broader age range is required for modelling locally</t>
  </si>
  <si>
    <t>% having self-help sessions</t>
  </si>
  <si>
    <t>Proportion seeking healthcare support who develop depressive symptoms</t>
  </si>
  <si>
    <t>Proportion seeking healthcare support who do not develop depressive symptoms</t>
  </si>
  <si>
    <t>People with depressive symptoms prescribed CBT</t>
  </si>
  <si>
    <t>% who have individual face to face sessions</t>
  </si>
  <si>
    <t>Types of CBT intervention</t>
  </si>
  <si>
    <t>Total having CBT interventions</t>
  </si>
  <si>
    <t>Secondary care services (after primary care)</t>
  </si>
  <si>
    <t xml:space="preserve">People prescribed HRT in primary care.  Of whom: </t>
  </si>
  <si>
    <t xml:space="preserve">% experiencing bleeding and are referred to secondary care.  Of whom: </t>
  </si>
  <si>
    <t xml:space="preserve">People presenting to primary care who experience genitourinary symptoms.  Of whom: </t>
  </si>
  <si>
    <t xml:space="preserve">% in whom use of locally applied treatments is not suitable. Of whom: </t>
  </si>
  <si>
    <t>% who have ospemifene</t>
  </si>
  <si>
    <t>Self-help sessions</t>
  </si>
  <si>
    <t>Prescribed in secondary care</t>
  </si>
  <si>
    <t>Prescribed in primary care by GP with special interest</t>
  </si>
  <si>
    <t>Amend grade of staff and times in line with local practice</t>
  </si>
  <si>
    <t>Local weighting - usage</t>
  </si>
  <si>
    <t>should total 100%</t>
  </si>
  <si>
    <t xml:space="preserve">Drugs listed above are based on the drugs used in the health economic modelling; this was based on committee feedback of the main relevant types. </t>
  </si>
  <si>
    <t>Where a different range of drugs and formulations are used, enter these in the blue cells giving the range of locally used options.  Weight the usage of the options across the local eligible population to give an average cost.</t>
  </si>
  <si>
    <t>Selective oestrogen receptor modulator</t>
  </si>
  <si>
    <t xml:space="preserve">Unit costs are based on the 2021/22 NHS national cost collection for outpatient procedures </t>
  </si>
  <si>
    <t>Type of therapy/sessions</t>
  </si>
  <si>
    <t>People having drug treatments</t>
  </si>
  <si>
    <t xml:space="preserve">People having HRT </t>
  </si>
  <si>
    <t>People having ospemifene</t>
  </si>
  <si>
    <t>People having HRT</t>
  </si>
  <si>
    <t>Number of appointments</t>
  </si>
  <si>
    <t>CBT sessions - vasomotor symptoms including depressive symptoms or sleep problems symptoms associated with menopause</t>
  </si>
  <si>
    <t>Number of self-help sessions</t>
  </si>
  <si>
    <t>Unit costs are set to be the cost of staffing for the sessions based on the Inputs and eligible population worksheethealth economic modelling</t>
  </si>
  <si>
    <t>Number of GPWSI appointments for ospemifene treatment</t>
  </si>
  <si>
    <t>Change in number of hours of CBT sessions</t>
  </si>
  <si>
    <t>Change in number of GPWSI appointments for ospemiferene treatment</t>
  </si>
  <si>
    <t>CBT sessions (hours of treatment)</t>
  </si>
  <si>
    <t>People with VMS</t>
  </si>
  <si>
    <t>Menopause: Identification and management (update)</t>
  </si>
  <si>
    <t>NG23</t>
  </si>
  <si>
    <t>Women aged 40-65 years old population forecast at 2026/27</t>
  </si>
  <si>
    <t>Women aged 40-65 years old</t>
  </si>
  <si>
    <t>Proportion of 40-55 years is based on Office for National Statistics (ONS) Population Estimates, England and Wales: mid-2022</t>
  </si>
  <si>
    <t>Proportion of people aged 40-65 that are aged 40-55 years 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</si>
</sst>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000%"/>
    <numFmt numFmtId="176" formatCode="0.0%"/>
    <numFmt numFmtId="177" formatCode="_-* #,##0.0_-;\-* #,##0.0_-;_-* &quot;-&quot;??_-;_-@_-"/>
    <numFmt numFmtId="178" formatCode="&quot;£&quot;#,##0.0000"/>
  </numFmts>
  <fonts count="81"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11"/>
      <color rgb="FF000000"/>
      <name val="Calibri"/>
      <family val="2"/>
      <scheme val="minor"/>
    </font>
    <font>
      <sz val="7"/>
      <color theme="1"/>
      <name val="Segoe UI"/>
      <family val="2"/>
    </font>
    <font>
      <b/>
      <sz val="9"/>
      <color indexed="81"/>
      <name val="Tahoma"/>
      <family val="2"/>
    </font>
    <font>
      <b/>
      <sz val="12"/>
      <color theme="1"/>
      <name val="Arial"/>
      <family val="2"/>
    </font>
    <font>
      <b/>
      <sz val="11"/>
      <name val="Calibri"/>
      <family val="2"/>
    </font>
    <font>
      <b/>
      <sz val="20"/>
      <color rgb="FF000000"/>
      <name val="Calibri"/>
      <family val="2"/>
      <scheme val="minor"/>
    </font>
    <font>
      <b/>
      <sz val="11"/>
      <color theme="1"/>
      <name val="Aptos Narrow"/>
      <family val="2"/>
    </font>
    <font>
      <b/>
      <sz val="11"/>
      <name val="Aptos Narrow"/>
      <family val="2"/>
    </font>
    <font>
      <sz val="11"/>
      <name val="Arial"/>
      <family val="2"/>
    </font>
    <font>
      <sz val="10"/>
      <name val="Arial"/>
      <family val="2"/>
    </font>
    <font>
      <b/>
      <sz val="11"/>
      <color theme="1"/>
      <name val="Arial"/>
      <family val="2"/>
    </font>
    <font>
      <sz val="11"/>
      <color theme="0" tint="-0.14999847407452621"/>
      <name val="Calibri"/>
      <family val="2"/>
      <scheme val="minor"/>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8" tint="0.59999389629810485"/>
        <bgColor rgb="FF000000"/>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s>
  <cellStyleXfs count="115">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xf numFmtId="9" fontId="27" fillId="0" borderId="0" applyFont="0" applyFill="0" applyBorder="0" applyAlignment="0" applyProtection="0"/>
    <xf numFmtId="43" fontId="27" fillId="0" borderId="0" applyFont="0" applyFill="0" applyBorder="0" applyAlignment="0" applyProtection="0"/>
    <xf numFmtId="0" fontId="28" fillId="0" borderId="0" applyNumberFormat="0" applyFill="0" applyBorder="0" applyAlignment="0" applyProtection="0">
      <alignment vertical="top"/>
      <protection locked="0"/>
    </xf>
    <xf numFmtId="0" fontId="56" fillId="0" borderId="0" applyNumberFormat="0" applyFill="0" applyBorder="0" applyAlignment="0" applyProtection="0"/>
  </cellStyleXfs>
  <cellXfs count="805">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50" fillId="39"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10" fontId="0" fillId="39" borderId="11" xfId="92" applyNumberFormat="1" applyFont="1" applyFill="1" applyBorder="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1" fillId="0" borderId="0" xfId="0" applyFont="1"/>
    <xf numFmtId="0" fontId="0" fillId="37" borderId="0" xfId="0" applyFill="1"/>
    <xf numFmtId="0" fontId="0" fillId="0" borderId="13" xfId="0" applyBorder="1"/>
    <xf numFmtId="0" fontId="39" fillId="37" borderId="0" xfId="0" applyFont="1" applyFill="1"/>
    <xf numFmtId="0" fontId="52" fillId="37" borderId="0" xfId="0" applyFont="1" applyFill="1"/>
    <xf numFmtId="0" fontId="53" fillId="0" borderId="0" xfId="0" applyFont="1"/>
    <xf numFmtId="0" fontId="54" fillId="0" borderId="0" xfId="0" applyFont="1"/>
    <xf numFmtId="0" fontId="55" fillId="0" borderId="0" xfId="0" applyFont="1"/>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0" fontId="39" fillId="24" borderId="20" xfId="0" applyFont="1" applyFill="1" applyBorder="1"/>
    <xf numFmtId="0" fontId="39" fillId="24" borderId="17" xfId="0" applyFont="1" applyFill="1" applyBorder="1"/>
    <xf numFmtId="3" fontId="44" fillId="24" borderId="11" xfId="0" applyNumberFormat="1" applyFont="1" applyFill="1" applyBorder="1"/>
    <xf numFmtId="0" fontId="44" fillId="24" borderId="11" xfId="0"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46" fillId="25" borderId="0" xfId="82" applyFont="1" applyFill="1" applyAlignment="1">
      <alignment horizontal="left"/>
    </xf>
    <xf numFmtId="165" fontId="44" fillId="0" borderId="11" xfId="56" applyNumberFormat="1" applyFont="1" applyBorder="1"/>
    <xf numFmtId="0" fontId="0" fillId="0" borderId="20" xfId="0" applyBorder="1"/>
    <xf numFmtId="0" fontId="57" fillId="0" borderId="0" xfId="0" applyFont="1"/>
    <xf numFmtId="0" fontId="0" fillId="0" borderId="12" xfId="0" applyBorder="1" applyAlignment="1">
      <alignment horizontal="lef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17" xfId="0" applyFill="1" applyBorder="1"/>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1" borderId="17" xfId="0" applyFont="1" applyFill="1" applyBorder="1"/>
    <xf numFmtId="0" fontId="39" fillId="41" borderId="0" xfId="0" applyFont="1" applyFill="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1"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6" fillId="0" borderId="17" xfId="82" applyFont="1" applyBorder="1"/>
    <xf numFmtId="0" fontId="46" fillId="39" borderId="11" xfId="82" applyFont="1" applyFill="1" applyBorder="1"/>
    <xf numFmtId="0" fontId="46" fillId="0" borderId="20"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44" fillId="24" borderId="12" xfId="82" applyFont="1" applyFill="1" applyBorder="1"/>
    <xf numFmtId="0" fontId="44" fillId="24" borderId="20" xfId="82" applyFont="1" applyFill="1" applyBorder="1"/>
    <xf numFmtId="0" fontId="44" fillId="24" borderId="11" xfId="82" applyFont="1" applyFill="1" applyBorder="1"/>
    <xf numFmtId="0" fontId="0" fillId="0" borderId="12" xfId="82" applyFont="1" applyBorder="1"/>
    <xf numFmtId="0" fontId="0" fillId="0" borderId="0" xfId="82" applyFont="1"/>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0" fontId="27" fillId="24" borderId="11" xfId="0" quotePrefix="1" applyFont="1" applyFill="1" applyBorder="1" applyAlignment="1">
      <alignment horizontal="center"/>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1"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0" fontId="0" fillId="40" borderId="0" xfId="0" applyFill="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0" fontId="0" fillId="24" borderId="12" xfId="0" applyFill="1" applyBorder="1"/>
    <xf numFmtId="0" fontId="46" fillId="0" borderId="0" xfId="0" applyFont="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0" fillId="0" borderId="32" xfId="0"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60"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62" fillId="0" borderId="0" xfId="0" applyFont="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17" xfId="0" applyNumberFormat="1" applyFont="1" applyBorder="1"/>
    <xf numFmtId="10" fontId="0" fillId="0" borderId="11" xfId="92" applyNumberFormat="1" applyFont="1" applyFill="1" applyBorder="1"/>
    <xf numFmtId="0" fontId="0" fillId="0" borderId="0" xfId="0" applyAlignment="1">
      <alignment horizontal="right" vertical="center"/>
    </xf>
    <xf numFmtId="0" fontId="63" fillId="0" borderId="0" xfId="0" applyFont="1"/>
    <xf numFmtId="0" fontId="48" fillId="24" borderId="17" xfId="0" applyFont="1" applyFill="1" applyBorder="1" applyAlignment="1">
      <alignment horizontal="right"/>
    </xf>
    <xf numFmtId="165" fontId="27" fillId="0" borderId="0" xfId="0" applyNumberFormat="1" applyFont="1"/>
    <xf numFmtId="166" fontId="0" fillId="39" borderId="11" xfId="56" applyNumberFormat="1" applyFont="1" applyFill="1" applyBorder="1" applyAlignment="1">
      <alignment horizontal="right"/>
    </xf>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6" fillId="39" borderId="11" xfId="0" applyFont="1" applyFill="1" applyBorder="1" applyAlignment="1">
      <alignment horizontal="center" vertical="center" wrapText="1"/>
    </xf>
    <xf numFmtId="0" fontId="66" fillId="0" borderId="0" xfId="0" applyFont="1" applyAlignment="1">
      <alignment horizontal="center" vertical="center"/>
    </xf>
    <xf numFmtId="0" fontId="67" fillId="43" borderId="11" xfId="0" applyFont="1" applyFill="1" applyBorder="1" applyAlignment="1">
      <alignment horizontal="center" vertical="center" wrapText="1"/>
    </xf>
    <xf numFmtId="0" fontId="40" fillId="37" borderId="11" xfId="0" applyFont="1" applyFill="1" applyBorder="1" applyAlignment="1">
      <alignment vertical="center" wrapText="1"/>
    </xf>
    <xf numFmtId="0" fontId="27" fillId="24" borderId="12" xfId="0" applyFont="1" applyFill="1" applyBorder="1"/>
    <xf numFmtId="0" fontId="40" fillId="37" borderId="12" xfId="0" applyFont="1" applyFill="1" applyBorder="1" applyAlignment="1">
      <alignment vertical="center" wrapText="1"/>
    </xf>
    <xf numFmtId="0" fontId="0" fillId="39" borderId="11" xfId="0" applyFill="1" applyBorder="1" applyAlignment="1">
      <alignment horizontal="right"/>
    </xf>
    <xf numFmtId="0" fontId="39" fillId="37" borderId="20" xfId="0" applyFont="1" applyFill="1" applyBorder="1"/>
    <xf numFmtId="0" fontId="39" fillId="37" borderId="17" xfId="0" applyFont="1" applyFill="1" applyBorder="1"/>
    <xf numFmtId="0" fontId="68" fillId="37" borderId="20" xfId="0" applyFont="1" applyFill="1" applyBorder="1" applyAlignment="1">
      <alignment horizontal="left"/>
    </xf>
    <xf numFmtId="0" fontId="44" fillId="40" borderId="20" xfId="0" applyFont="1" applyFill="1" applyBorder="1" applyAlignment="1">
      <alignment horizontal="left"/>
    </xf>
    <xf numFmtId="0" fontId="39" fillId="40" borderId="20" xfId="0" applyFont="1" applyFill="1" applyBorder="1"/>
    <xf numFmtId="0" fontId="39" fillId="4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2"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3" fontId="0" fillId="40" borderId="17" xfId="0" applyNumberFormat="1" applyFill="1" applyBorder="1"/>
    <xf numFmtId="0" fontId="39" fillId="37" borderId="32" xfId="0" applyFont="1" applyFill="1" applyBorder="1" applyAlignment="1">
      <alignment horizontal="center" wrapText="1"/>
    </xf>
    <xf numFmtId="0" fontId="39" fillId="40" borderId="14" xfId="0" applyFont="1" applyFill="1" applyBorder="1"/>
    <xf numFmtId="0" fontId="0" fillId="40" borderId="17" xfId="0" applyFill="1" applyBorder="1"/>
    <xf numFmtId="0" fontId="48" fillId="0" borderId="0" xfId="82" applyFont="1" applyAlignment="1">
      <alignment horizontal="left"/>
    </xf>
    <xf numFmtId="0" fontId="48" fillId="0" borderId="11" xfId="0" applyFont="1" applyBorder="1" applyAlignment="1">
      <alignment horizontal="left"/>
    </xf>
    <xf numFmtId="0" fontId="66" fillId="39" borderId="11" xfId="0" applyFont="1" applyFill="1" applyBorder="1" applyAlignment="1">
      <alignment horizontal="center" vertical="center"/>
    </xf>
    <xf numFmtId="0" fontId="0" fillId="0" borderId="33"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6" fillId="24" borderId="0" xfId="0" applyFont="1" applyFill="1" applyAlignment="1">
      <alignment horizontal="center" vertical="center"/>
    </xf>
    <xf numFmtId="0" fontId="66"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6" fillId="24" borderId="14" xfId="0" applyFont="1" applyFill="1" applyBorder="1" applyAlignment="1">
      <alignment horizontal="center" vertical="center"/>
    </xf>
    <xf numFmtId="0" fontId="27" fillId="24" borderId="14" xfId="0" applyFont="1" applyFill="1" applyBorder="1"/>
    <xf numFmtId="0" fontId="0" fillId="24" borderId="33"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0" fillId="0" borderId="20" xfId="0" applyBorder="1" applyAlignment="1">
      <alignment horizontal="center" wrapText="1"/>
    </xf>
    <xf numFmtId="0" fontId="0" fillId="0" borderId="24" xfId="0" applyBorder="1" applyAlignment="1">
      <alignment horizontal="center"/>
    </xf>
    <xf numFmtId="0" fontId="0" fillId="0" borderId="28" xfId="0" applyBorder="1" applyAlignment="1">
      <alignment horizontal="center"/>
    </xf>
    <xf numFmtId="0" fontId="70"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3" fontId="0" fillId="0" borderId="17" xfId="0" applyNumberFormat="1" applyBorder="1"/>
    <xf numFmtId="0" fontId="29" fillId="44" borderId="11" xfId="0" applyFont="1" applyFill="1" applyBorder="1" applyAlignment="1">
      <alignment horizontal="left"/>
    </xf>
    <xf numFmtId="10" fontId="29" fillId="44"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165" fontId="44" fillId="24" borderId="17" xfId="0" applyNumberFormat="1" applyFont="1" applyFill="1" applyBorder="1" applyAlignment="1">
      <alignment horizontal="center" wrapText="1"/>
    </xf>
    <xf numFmtId="0" fontId="0" fillId="0" borderId="17" xfId="0" applyBorder="1" applyAlignment="1">
      <alignment horizontal="center" vertical="center"/>
    </xf>
    <xf numFmtId="10" fontId="29" fillId="44" borderId="11" xfId="0" applyNumberFormat="1" applyFont="1" applyFill="1" applyBorder="1"/>
    <xf numFmtId="171" fontId="29" fillId="44" borderId="11" xfId="0" applyNumberFormat="1" applyFont="1" applyFill="1" applyBorder="1" applyAlignment="1">
      <alignment horizontal="center"/>
    </xf>
    <xf numFmtId="0" fontId="29" fillId="44" borderId="0" xfId="0" applyFont="1" applyFill="1" applyAlignment="1">
      <alignment horizontal="left"/>
    </xf>
    <xf numFmtId="0" fontId="29" fillId="26" borderId="32" xfId="0" applyFont="1" applyFill="1" applyBorder="1" applyAlignment="1">
      <alignment horizontal="left"/>
    </xf>
    <xf numFmtId="0" fontId="29" fillId="26" borderId="32" xfId="0" applyFont="1" applyFill="1" applyBorder="1"/>
    <xf numFmtId="0" fontId="32" fillId="30" borderId="32" xfId="0" applyFont="1" applyFill="1" applyBorder="1" applyAlignment="1">
      <alignment vertical="center" wrapText="1"/>
    </xf>
    <xf numFmtId="0" fontId="32" fillId="27" borderId="32" xfId="0" applyFont="1" applyFill="1" applyBorder="1"/>
    <xf numFmtId="0" fontId="29" fillId="0" borderId="32" xfId="0" applyFont="1" applyBorder="1"/>
    <xf numFmtId="3" fontId="32" fillId="0" borderId="32" xfId="0" applyNumberFormat="1" applyFont="1" applyBorder="1"/>
    <xf numFmtId="3" fontId="7" fillId="0" borderId="32" xfId="0" applyNumberFormat="1" applyFont="1" applyBorder="1"/>
    <xf numFmtId="3" fontId="29" fillId="0" borderId="32" xfId="0" applyNumberFormat="1" applyFont="1" applyBorder="1"/>
    <xf numFmtId="3" fontId="6" fillId="0" borderId="32" xfId="0" applyNumberFormat="1" applyFont="1" applyBorder="1"/>
    <xf numFmtId="0" fontId="6" fillId="0" borderId="32" xfId="0" applyFont="1" applyBorder="1"/>
    <xf numFmtId="0" fontId="44" fillId="0" borderId="32" xfId="0" applyFont="1" applyBorder="1" applyAlignment="1">
      <alignment horizontal="right"/>
    </xf>
    <xf numFmtId="165" fontId="0" fillId="0" borderId="32" xfId="0" applyNumberFormat="1" applyBorder="1"/>
    <xf numFmtId="170" fontId="48" fillId="0" borderId="14" xfId="82" applyNumberFormat="1" applyFont="1" applyBorder="1"/>
    <xf numFmtId="170" fontId="46" fillId="0" borderId="14" xfId="82" applyNumberFormat="1" applyFont="1" applyBorder="1"/>
    <xf numFmtId="9" fontId="0" fillId="0" borderId="0" xfId="0" applyNumberFormat="1"/>
    <xf numFmtId="0" fontId="4" fillId="0" borderId="10" xfId="0" applyFont="1" applyBorder="1" applyAlignment="1">
      <alignment vertical="center"/>
    </xf>
    <xf numFmtId="170" fontId="46" fillId="0" borderId="15" xfId="82" applyNumberFormat="1" applyFont="1" applyBorder="1"/>
    <xf numFmtId="0" fontId="0" fillId="0" borderId="0" xfId="0" applyAlignment="1">
      <alignment horizontal="center"/>
    </xf>
    <xf numFmtId="0" fontId="0" fillId="0" borderId="0" xfId="0" applyAlignment="1">
      <alignment horizontal="center" wrapText="1"/>
    </xf>
    <xf numFmtId="0" fontId="60"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4"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4"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2" borderId="11" xfId="0" applyNumberFormat="1" applyFont="1" applyFill="1" applyBorder="1" applyAlignment="1">
      <alignment horizontal="center"/>
    </xf>
    <xf numFmtId="0" fontId="29" fillId="42" borderId="0" xfId="0" applyFont="1" applyFill="1" applyAlignment="1">
      <alignment horizontal="center"/>
    </xf>
    <xf numFmtId="0" fontId="29" fillId="24" borderId="11" xfId="0" applyFont="1" applyFill="1" applyBorder="1" applyAlignment="1">
      <alignment horizontal="center" wrapText="1"/>
    </xf>
    <xf numFmtId="0" fontId="29" fillId="42" borderId="11" xfId="0" applyFont="1" applyFill="1" applyBorder="1" applyAlignment="1">
      <alignment horizontal="center" wrapText="1"/>
    </xf>
    <xf numFmtId="0" fontId="0" fillId="0" borderId="20" xfId="0" applyBorder="1" applyAlignment="1">
      <alignment horizontal="center" vertical="center" wrapText="1"/>
    </xf>
    <xf numFmtId="0" fontId="72" fillId="0" borderId="0" xfId="0" applyFont="1" applyAlignment="1">
      <alignment vertical="center"/>
    </xf>
    <xf numFmtId="0" fontId="40" fillId="37" borderId="32" xfId="0" applyFont="1" applyFill="1" applyBorder="1" applyAlignment="1">
      <alignment horizontal="center" vertical="center"/>
    </xf>
    <xf numFmtId="0" fontId="28" fillId="0" borderId="0" xfId="72" applyFill="1" applyAlignment="1" applyProtection="1"/>
    <xf numFmtId="10" fontId="27" fillId="0" borderId="17" xfId="92" applyNumberFormat="1" applyFont="1" applyFill="1" applyBorder="1"/>
    <xf numFmtId="166" fontId="27" fillId="39" borderId="11" xfId="56" applyNumberFormat="1" applyFont="1" applyFill="1" applyBorder="1" applyAlignment="1" applyProtection="1">
      <alignment horizontal="right"/>
      <protection locked="0"/>
    </xf>
    <xf numFmtId="166" fontId="61" fillId="0" borderId="32" xfId="56" applyNumberFormat="1" applyFont="1" applyFill="1" applyBorder="1" applyAlignment="1">
      <alignment horizontal="left"/>
    </xf>
    <xf numFmtId="10" fontId="0" fillId="0" borderId="0" xfId="92" applyNumberFormat="1" applyFont="1"/>
    <xf numFmtId="166" fontId="0" fillId="0" borderId="10" xfId="56" applyNumberFormat="1" applyFont="1" applyBorder="1"/>
    <xf numFmtId="0" fontId="44" fillId="0" borderId="0" xfId="0" applyFont="1" applyAlignment="1">
      <alignment horizontal="left"/>
    </xf>
    <xf numFmtId="0" fontId="0" fillId="0" borderId="0" xfId="0" quotePrefix="1" applyAlignment="1">
      <alignment horizontal="left"/>
    </xf>
    <xf numFmtId="0" fontId="39" fillId="0" borderId="10" xfId="0" applyFont="1" applyBorder="1" applyAlignment="1">
      <alignment horizontal="center" wrapText="1"/>
    </xf>
    <xf numFmtId="0" fontId="0" fillId="0" borderId="10" xfId="0" applyBorder="1" applyAlignment="1">
      <alignment horizontal="center" wrapText="1"/>
    </xf>
    <xf numFmtId="9" fontId="0" fillId="39" borderId="11" xfId="92" applyFont="1" applyFill="1" applyBorder="1" applyAlignment="1" applyProtection="1">
      <alignment horizontal="right"/>
      <protection locked="0"/>
    </xf>
    <xf numFmtId="9" fontId="0" fillId="0" borderId="10" xfId="92" applyFont="1" applyFill="1" applyBorder="1" applyAlignment="1" applyProtection="1">
      <alignment horizontal="right"/>
      <protection locked="0"/>
    </xf>
    <xf numFmtId="0" fontId="44" fillId="0" borderId="18" xfId="0" applyFont="1" applyBorder="1"/>
    <xf numFmtId="9" fontId="0" fillId="39" borderId="37" xfId="92" applyFont="1" applyFill="1" applyBorder="1" applyAlignment="1" applyProtection="1">
      <alignment horizontal="right"/>
      <protection locked="0"/>
    </xf>
    <xf numFmtId="0" fontId="44" fillId="0" borderId="0" xfId="0" applyFont="1" applyAlignment="1">
      <alignment horizontal="right" vertical="center"/>
    </xf>
    <xf numFmtId="9" fontId="0" fillId="0" borderId="0" xfId="92" applyFont="1" applyFill="1" applyBorder="1" applyAlignment="1" applyProtection="1">
      <alignment horizontal="right"/>
      <protection locked="0"/>
    </xf>
    <xf numFmtId="9" fontId="44" fillId="0" borderId="0" xfId="92" applyFont="1" applyFill="1" applyBorder="1" applyAlignment="1" applyProtection="1">
      <alignment horizontal="right"/>
      <protection locked="0"/>
    </xf>
    <xf numFmtId="9" fontId="0" fillId="39" borderId="39" xfId="92" applyFont="1" applyFill="1" applyBorder="1" applyAlignment="1" applyProtection="1">
      <alignment horizontal="right"/>
      <protection locked="0"/>
    </xf>
    <xf numFmtId="3" fontId="44" fillId="0" borderId="0" xfId="92" applyNumberFormat="1" applyFont="1" applyFill="1" applyBorder="1" applyAlignment="1" applyProtection="1">
      <alignment horizontal="left"/>
      <protection locked="0"/>
    </xf>
    <xf numFmtId="3" fontId="0" fillId="0" borderId="0" xfId="92" applyNumberFormat="1" applyFont="1" applyFill="1" applyBorder="1" applyAlignment="1" applyProtection="1">
      <alignment horizontal="right"/>
      <protection locked="0"/>
    </xf>
    <xf numFmtId="0" fontId="44" fillId="24" borderId="11" xfId="0" applyFont="1" applyFill="1" applyBorder="1" applyAlignment="1">
      <alignment horizontal="right" wrapText="1"/>
    </xf>
    <xf numFmtId="0" fontId="44" fillId="24" borderId="12" xfId="0" applyFont="1" applyFill="1" applyBorder="1" applyAlignment="1">
      <alignment horizontal="center" wrapText="1"/>
    </xf>
    <xf numFmtId="0" fontId="44" fillId="0" borderId="0" xfId="0" applyFont="1" applyAlignment="1">
      <alignment horizontal="center" wrapText="1"/>
    </xf>
    <xf numFmtId="0" fontId="44" fillId="0" borderId="0" xfId="0" applyFont="1" applyAlignment="1">
      <alignment horizontal="right" wrapText="1"/>
    </xf>
    <xf numFmtId="0" fontId="44" fillId="0" borderId="20" xfId="0" applyFont="1" applyBorder="1" applyAlignment="1">
      <alignment horizontal="left"/>
    </xf>
    <xf numFmtId="0" fontId="0" fillId="0" borderId="20" xfId="0" applyBorder="1" applyAlignment="1" applyProtection="1">
      <alignment horizontal="right" wrapText="1"/>
      <protection locked="0"/>
    </xf>
    <xf numFmtId="165" fontId="0" fillId="0" borderId="20" xfId="0" applyNumberFormat="1" applyBorder="1" applyAlignment="1" applyProtection="1">
      <alignment horizontal="right"/>
      <protection locked="0"/>
    </xf>
    <xf numFmtId="3" fontId="0" fillId="0" borderId="20" xfId="0" applyNumberFormat="1" applyBorder="1" applyAlignment="1" applyProtection="1">
      <alignment horizontal="right"/>
      <protection locked="0"/>
    </xf>
    <xf numFmtId="0" fontId="0" fillId="39" borderId="11" xfId="0" applyFill="1" applyBorder="1" applyAlignment="1" applyProtection="1">
      <alignment horizontal="right" wrapText="1"/>
      <protection locked="0"/>
    </xf>
    <xf numFmtId="3" fontId="0" fillId="39" borderId="12" xfId="0" applyNumberFormat="1" applyFill="1" applyBorder="1" applyAlignment="1" applyProtection="1">
      <alignment horizontal="right"/>
      <protection locked="0"/>
    </xf>
    <xf numFmtId="0" fontId="0" fillId="0" borderId="0" xfId="0" applyAlignment="1" applyProtection="1">
      <alignment horizontal="right"/>
      <protection locked="0"/>
    </xf>
    <xf numFmtId="165" fontId="0" fillId="0" borderId="0" xfId="0" applyNumberFormat="1" applyAlignment="1" applyProtection="1">
      <alignment horizontal="right"/>
      <protection locked="0"/>
    </xf>
    <xf numFmtId="3" fontId="0" fillId="0" borderId="0" xfId="0" applyNumberFormat="1" applyAlignment="1" applyProtection="1">
      <alignment horizontal="right"/>
      <protection locked="0"/>
    </xf>
    <xf numFmtId="175" fontId="0" fillId="0" borderId="0" xfId="92" applyNumberFormat="1" applyFont="1"/>
    <xf numFmtId="0" fontId="0" fillId="41" borderId="11" xfId="0" applyFill="1" applyBorder="1" applyAlignment="1">
      <alignment horizontal="left"/>
    </xf>
    <xf numFmtId="3" fontId="0" fillId="39" borderId="11" xfId="92" applyNumberFormat="1" applyFont="1" applyFill="1" applyBorder="1" applyAlignment="1" applyProtection="1">
      <alignment horizontal="right" wrapText="1"/>
      <protection locked="0"/>
    </xf>
    <xf numFmtId="3" fontId="0" fillId="0" borderId="0" xfId="92" applyNumberFormat="1" applyFont="1" applyFill="1" applyBorder="1" applyAlignment="1" applyProtection="1">
      <alignment horizontal="right" wrapText="1"/>
      <protection locked="0"/>
    </xf>
    <xf numFmtId="0" fontId="0" fillId="24" borderId="32" xfId="0" applyFill="1" applyBorder="1" applyAlignment="1">
      <alignment horizontal="center" wrapText="1"/>
    </xf>
    <xf numFmtId="0" fontId="0" fillId="0" borderId="32" xfId="0" applyBorder="1" applyAlignment="1">
      <alignment horizontal="center" wrapText="1"/>
    </xf>
    <xf numFmtId="0" fontId="0" fillId="0" borderId="0" xfId="0" applyAlignment="1" applyProtection="1">
      <alignment horizontal="right" wrapText="1"/>
      <protection locked="0"/>
    </xf>
    <xf numFmtId="0" fontId="46" fillId="24" borderId="20" xfId="82" applyFont="1" applyFill="1" applyBorder="1"/>
    <xf numFmtId="166" fontId="46" fillId="0" borderId="0" xfId="112" applyNumberFormat="1" applyFont="1" applyFill="1" applyBorder="1" applyAlignment="1">
      <alignment horizontal="center"/>
    </xf>
    <xf numFmtId="0" fontId="46" fillId="0" borderId="0" xfId="82" applyFont="1" applyAlignment="1">
      <alignment horizontal="right"/>
    </xf>
    <xf numFmtId="166" fontId="46" fillId="0" borderId="0" xfId="112" applyNumberFormat="1" applyFont="1" applyFill="1" applyBorder="1"/>
    <xf numFmtId="0" fontId="46" fillId="0" borderId="0" xfId="82" applyFont="1" applyAlignment="1">
      <alignment horizontal="center"/>
    </xf>
    <xf numFmtId="168" fontId="46" fillId="0" borderId="0" xfId="82" applyNumberFormat="1" applyFont="1"/>
    <xf numFmtId="44" fontId="46" fillId="0" borderId="0" xfId="82" applyNumberFormat="1" applyFont="1"/>
    <xf numFmtId="0" fontId="56" fillId="25" borderId="0" xfId="113" applyFont="1" applyFill="1" applyAlignment="1" applyProtection="1">
      <alignment horizontal="left"/>
    </xf>
    <xf numFmtId="168" fontId="46" fillId="0" borderId="0" xfId="82" applyNumberFormat="1" applyFont="1" applyAlignment="1">
      <alignment horizontal="right"/>
    </xf>
    <xf numFmtId="0" fontId="46" fillId="0" borderId="0" xfId="82" applyFont="1" applyAlignment="1">
      <alignment horizontal="left"/>
    </xf>
    <xf numFmtId="165" fontId="46" fillId="0" borderId="0" xfId="82" applyNumberFormat="1" applyFont="1" applyAlignment="1" applyProtection="1">
      <alignment horizontal="right"/>
      <protection locked="0"/>
    </xf>
    <xf numFmtId="0" fontId="46" fillId="24" borderId="20" xfId="82" applyFont="1" applyFill="1" applyBorder="1" applyAlignment="1">
      <alignment horizontal="right"/>
    </xf>
    <xf numFmtId="166" fontId="46" fillId="24" borderId="20" xfId="112" applyNumberFormat="1" applyFont="1" applyFill="1" applyBorder="1"/>
    <xf numFmtId="0" fontId="69" fillId="0" borderId="11" xfId="0" applyFont="1" applyBorder="1" applyAlignment="1">
      <alignment horizontal="left"/>
    </xf>
    <xf numFmtId="0" fontId="46" fillId="0" borderId="10" xfId="82" applyFont="1" applyBorder="1" applyAlignment="1">
      <alignment horizontal="left"/>
    </xf>
    <xf numFmtId="0" fontId="46" fillId="0" borderId="10" xfId="82" applyFont="1" applyBorder="1" applyAlignment="1">
      <alignment horizontal="right"/>
    </xf>
    <xf numFmtId="166" fontId="46" fillId="0" borderId="10" xfId="112" applyNumberFormat="1" applyFont="1" applyFill="1" applyBorder="1"/>
    <xf numFmtId="0" fontId="46" fillId="0" borderId="10" xfId="82" applyFont="1" applyBorder="1"/>
    <xf numFmtId="165" fontId="46" fillId="39" borderId="11" xfId="82" applyNumberFormat="1" applyFont="1" applyFill="1" applyBorder="1" applyAlignment="1">
      <alignment horizontal="right"/>
    </xf>
    <xf numFmtId="0" fontId="46" fillId="0" borderId="20" xfId="82" applyFont="1" applyBorder="1" applyAlignment="1">
      <alignment horizontal="right"/>
    </xf>
    <xf numFmtId="166" fontId="46" fillId="0" borderId="20" xfId="112" applyNumberFormat="1" applyFont="1" applyFill="1" applyBorder="1"/>
    <xf numFmtId="3" fontId="48" fillId="0" borderId="11" xfId="112" applyNumberFormat="1" applyFont="1" applyFill="1" applyBorder="1"/>
    <xf numFmtId="0" fontId="48" fillId="0" borderId="20" xfId="82" applyFont="1" applyBorder="1" applyAlignment="1">
      <alignment horizontal="right"/>
    </xf>
    <xf numFmtId="0" fontId="48" fillId="24" borderId="20" xfId="82" applyFont="1" applyFill="1" applyBorder="1" applyAlignment="1">
      <alignment wrapText="1"/>
    </xf>
    <xf numFmtId="166" fontId="48" fillId="24" borderId="20" xfId="112" applyNumberFormat="1" applyFont="1" applyFill="1" applyBorder="1" applyAlignment="1">
      <alignment horizontal="center" wrapText="1"/>
    </xf>
    <xf numFmtId="0" fontId="48" fillId="24" borderId="20" xfId="82" applyFont="1" applyFill="1" applyBorder="1" applyAlignment="1">
      <alignment horizontal="right" wrapText="1"/>
    </xf>
    <xf numFmtId="0" fontId="48" fillId="24" borderId="20" xfId="82" applyFont="1" applyFill="1" applyBorder="1" applyAlignment="1">
      <alignment horizontal="center" wrapText="1"/>
    </xf>
    <xf numFmtId="166" fontId="48" fillId="24" borderId="20" xfId="112" applyNumberFormat="1" applyFont="1" applyFill="1" applyBorder="1" applyAlignment="1">
      <alignment wrapText="1"/>
    </xf>
    <xf numFmtId="166" fontId="48" fillId="24" borderId="11" xfId="112" applyNumberFormat="1" applyFont="1" applyFill="1" applyBorder="1" applyAlignment="1">
      <alignment horizontal="center" wrapText="1"/>
    </xf>
    <xf numFmtId="0" fontId="46" fillId="25" borderId="12" xfId="0" applyFont="1" applyFill="1" applyBorder="1"/>
    <xf numFmtId="166" fontId="46" fillId="0" borderId="10" xfId="112" applyNumberFormat="1" applyFont="1" applyFill="1" applyBorder="1" applyAlignment="1">
      <alignment horizontal="center"/>
    </xf>
    <xf numFmtId="166" fontId="46" fillId="0" borderId="11" xfId="112" applyNumberFormat="1" applyFont="1" applyFill="1" applyBorder="1"/>
    <xf numFmtId="0" fontId="46" fillId="0" borderId="10" xfId="82" applyFont="1" applyBorder="1" applyAlignment="1">
      <alignment horizontal="center"/>
    </xf>
    <xf numFmtId="0" fontId="46" fillId="25" borderId="13" xfId="0" applyFont="1" applyFill="1" applyBorder="1"/>
    <xf numFmtId="166" fontId="46" fillId="0" borderId="32" xfId="112" applyNumberFormat="1" applyFont="1" applyFill="1" applyBorder="1" applyAlignment="1">
      <alignment horizontal="center"/>
    </xf>
    <xf numFmtId="166" fontId="46" fillId="0" borderId="15" xfId="112" applyNumberFormat="1" applyFont="1" applyFill="1" applyBorder="1"/>
    <xf numFmtId="0" fontId="46" fillId="25" borderId="0" xfId="0" applyFont="1" applyFill="1"/>
    <xf numFmtId="165" fontId="46" fillId="0" borderId="0" xfId="82" applyNumberFormat="1" applyFont="1" applyAlignment="1">
      <alignment horizontal="right"/>
    </xf>
    <xf numFmtId="166" fontId="46" fillId="0" borderId="20" xfId="112" applyNumberFormat="1" applyFont="1" applyFill="1" applyBorder="1" applyAlignment="1">
      <alignment horizontal="center"/>
    </xf>
    <xf numFmtId="0" fontId="46" fillId="0" borderId="20" xfId="82" applyFont="1" applyBorder="1" applyAlignment="1">
      <alignment horizontal="center"/>
    </xf>
    <xf numFmtId="0" fontId="46" fillId="0" borderId="0" xfId="0" applyFont="1"/>
    <xf numFmtId="0" fontId="0" fillId="0" borderId="0" xfId="0" applyAlignment="1">
      <alignment vertical="top"/>
    </xf>
    <xf numFmtId="0" fontId="44" fillId="0" borderId="17" xfId="0" applyFont="1" applyBorder="1" applyAlignment="1">
      <alignment wrapText="1"/>
    </xf>
    <xf numFmtId="9" fontId="0" fillId="0" borderId="11" xfId="92" applyFont="1" applyBorder="1"/>
    <xf numFmtId="0" fontId="46" fillId="0" borderId="23" xfId="0" applyFont="1" applyBorder="1" applyAlignment="1">
      <alignment horizontal="left"/>
    </xf>
    <xf numFmtId="3" fontId="46" fillId="0" borderId="11" xfId="0" applyNumberFormat="1" applyFont="1" applyBorder="1" applyAlignment="1">
      <alignment horizontal="right"/>
    </xf>
    <xf numFmtId="0" fontId="0" fillId="0" borderId="13" xfId="0" applyBorder="1" applyAlignment="1">
      <alignment wrapText="1"/>
    </xf>
    <xf numFmtId="9" fontId="27" fillId="0" borderId="11" xfId="92" applyFont="1" applyBorder="1"/>
    <xf numFmtId="165" fontId="0" fillId="0" borderId="17" xfId="0" applyNumberFormat="1" applyBorder="1"/>
    <xf numFmtId="165" fontId="44" fillId="0" borderId="0" xfId="0" applyNumberFormat="1" applyFont="1"/>
    <xf numFmtId="0" fontId="48" fillId="0" borderId="0" xfId="0" applyFont="1" applyAlignment="1">
      <alignment horizontal="left" vertical="center" wrapText="1"/>
    </xf>
    <xf numFmtId="0" fontId="44" fillId="24" borderId="17" xfId="0" applyFont="1" applyFill="1" applyBorder="1" applyAlignment="1">
      <alignment horizontal="center"/>
    </xf>
    <xf numFmtId="0" fontId="0" fillId="40" borderId="12" xfId="0" applyFill="1" applyBorder="1"/>
    <xf numFmtId="0" fontId="39" fillId="40" borderId="17" xfId="0" applyFont="1" applyFill="1" applyBorder="1"/>
    <xf numFmtId="165" fontId="44" fillId="0" borderId="17" xfId="0" applyNumberFormat="1" applyFont="1" applyBorder="1" applyAlignment="1">
      <alignment horizontal="center" wrapText="1"/>
    </xf>
    <xf numFmtId="3" fontId="46" fillId="0" borderId="11" xfId="0" applyNumberFormat="1" applyFont="1" applyBorder="1" applyAlignment="1">
      <alignment horizontal="right" wrapText="1"/>
    </xf>
    <xf numFmtId="164" fontId="27" fillId="0" borderId="11" xfId="0" quotePrefix="1" applyNumberFormat="1" applyFont="1" applyBorder="1" applyAlignment="1">
      <alignment horizontal="right"/>
    </xf>
    <xf numFmtId="0" fontId="39" fillId="40" borderId="21" xfId="0" applyFont="1" applyFill="1" applyBorder="1"/>
    <xf numFmtId="0" fontId="44" fillId="40" borderId="32" xfId="0" applyFont="1" applyFill="1" applyBorder="1" applyAlignment="1">
      <alignment horizontal="left"/>
    </xf>
    <xf numFmtId="0" fontId="39" fillId="40" borderId="32" xfId="0" applyFont="1" applyFill="1" applyBorder="1"/>
    <xf numFmtId="3" fontId="46" fillId="0" borderId="17" xfId="0" applyNumberFormat="1" applyFont="1" applyBorder="1" applyAlignment="1">
      <alignment horizontal="right" wrapText="1"/>
    </xf>
    <xf numFmtId="3" fontId="44" fillId="24" borderId="17" xfId="0" applyNumberFormat="1" applyFont="1" applyFill="1" applyBorder="1"/>
    <xf numFmtId="0" fontId="39" fillId="45" borderId="0" xfId="0" applyFont="1" applyFill="1"/>
    <xf numFmtId="0" fontId="0" fillId="45" borderId="18" xfId="0" applyFill="1" applyBorder="1"/>
    <xf numFmtId="0" fontId="44" fillId="45" borderId="32" xfId="0" applyFont="1" applyFill="1" applyBorder="1" applyAlignment="1">
      <alignment horizontal="left"/>
    </xf>
    <xf numFmtId="0" fontId="39" fillId="45" borderId="32" xfId="0" applyFont="1" applyFill="1" applyBorder="1"/>
    <xf numFmtId="0" fontId="39" fillId="45" borderId="20" xfId="0" applyFont="1" applyFill="1" applyBorder="1"/>
    <xf numFmtId="0" fontId="39" fillId="45" borderId="17" xfId="0" applyFont="1" applyFill="1" applyBorder="1"/>
    <xf numFmtId="0" fontId="0" fillId="46" borderId="0" xfId="0" applyFill="1"/>
    <xf numFmtId="0" fontId="39" fillId="45" borderId="14" xfId="0" applyFont="1" applyFill="1" applyBorder="1"/>
    <xf numFmtId="164" fontId="46" fillId="0" borderId="19" xfId="0" applyNumberFormat="1" applyFont="1" applyBorder="1"/>
    <xf numFmtId="165" fontId="0" fillId="0" borderId="19" xfId="0" applyNumberFormat="1" applyBorder="1"/>
    <xf numFmtId="0" fontId="0" fillId="24" borderId="23" xfId="0" applyFill="1" applyBorder="1" applyAlignment="1">
      <alignment horizontal="left" vertical="center"/>
    </xf>
    <xf numFmtId="0" fontId="48" fillId="24" borderId="22" xfId="0" applyFont="1" applyFill="1" applyBorder="1" applyAlignment="1">
      <alignment horizontal="left" vertical="center" wrapText="1"/>
    </xf>
    <xf numFmtId="0" fontId="44" fillId="46" borderId="0" xfId="0" applyFont="1" applyFill="1"/>
    <xf numFmtId="0" fontId="0" fillId="45" borderId="0" xfId="0" applyFill="1"/>
    <xf numFmtId="0" fontId="29" fillId="46" borderId="0" xfId="0" applyFont="1" applyFill="1"/>
    <xf numFmtId="0" fontId="29" fillId="41" borderId="0" xfId="0" applyFont="1" applyFill="1"/>
    <xf numFmtId="0" fontId="0" fillId="41" borderId="18" xfId="0" applyFill="1" applyBorder="1"/>
    <xf numFmtId="0" fontId="44" fillId="41" borderId="32" xfId="0" applyFont="1" applyFill="1" applyBorder="1" applyAlignment="1">
      <alignment horizontal="left"/>
    </xf>
    <xf numFmtId="0" fontId="39" fillId="41" borderId="32" xfId="0" applyFont="1" applyFill="1" applyBorder="1"/>
    <xf numFmtId="0" fontId="39" fillId="41" borderId="14" xfId="0" applyFont="1" applyFill="1" applyBorder="1"/>
    <xf numFmtId="0" fontId="0" fillId="0" borderId="23" xfId="0" applyBorder="1" applyAlignment="1">
      <alignment horizontal="left"/>
    </xf>
    <xf numFmtId="0" fontId="4" fillId="25" borderId="0" xfId="0" quotePrefix="1" applyFont="1" applyFill="1" applyAlignment="1">
      <alignment vertical="center" wrapText="1"/>
    </xf>
    <xf numFmtId="165" fontId="0" fillId="24" borderId="11" xfId="0" applyNumberFormat="1" applyFill="1" applyBorder="1"/>
    <xf numFmtId="165" fontId="39" fillId="0" borderId="0" xfId="0" applyNumberFormat="1" applyFont="1"/>
    <xf numFmtId="0" fontId="48" fillId="24" borderId="23" xfId="0" applyFont="1" applyFill="1" applyBorder="1" applyAlignment="1">
      <alignment horizontal="left" vertical="center" wrapText="1"/>
    </xf>
    <xf numFmtId="0" fontId="44" fillId="45" borderId="20" xfId="0" applyFont="1" applyFill="1" applyBorder="1" applyAlignment="1">
      <alignment horizontal="left"/>
    </xf>
    <xf numFmtId="0" fontId="64" fillId="46" borderId="0" xfId="0" applyFont="1" applyFill="1"/>
    <xf numFmtId="166" fontId="46" fillId="0" borderId="0" xfId="56" applyNumberFormat="1" applyFont="1" applyFill="1" applyBorder="1" applyAlignment="1">
      <alignment horizontal="center"/>
    </xf>
    <xf numFmtId="0" fontId="59" fillId="0" borderId="0" xfId="82" applyFont="1"/>
    <xf numFmtId="165" fontId="46" fillId="0" borderId="0" xfId="82" applyNumberFormat="1" applyFont="1"/>
    <xf numFmtId="0" fontId="28" fillId="0" borderId="0" xfId="113" applyFill="1" applyAlignment="1" applyProtection="1"/>
    <xf numFmtId="0" fontId="73" fillId="24" borderId="11" xfId="113" applyFont="1" applyFill="1" applyBorder="1" applyAlignment="1" applyProtection="1">
      <alignment wrapText="1"/>
    </xf>
    <xf numFmtId="0" fontId="59" fillId="0" borderId="19" xfId="113" applyFont="1" applyFill="1" applyBorder="1" applyAlignment="1" applyProtection="1"/>
    <xf numFmtId="0" fontId="59" fillId="0" borderId="16" xfId="113" applyFont="1" applyFill="1" applyBorder="1" applyAlignment="1" applyProtection="1"/>
    <xf numFmtId="0" fontId="59" fillId="0" borderId="0" xfId="113" applyFont="1" applyFill="1" applyBorder="1" applyAlignment="1" applyProtection="1"/>
    <xf numFmtId="0" fontId="59" fillId="0" borderId="12" xfId="113" applyFont="1" applyFill="1" applyBorder="1" applyAlignment="1" applyProtection="1"/>
    <xf numFmtId="10" fontId="48" fillId="0" borderId="11" xfId="92" applyNumberFormat="1" applyFont="1" applyBorder="1"/>
    <xf numFmtId="0" fontId="74" fillId="47" borderId="0" xfId="0" applyFont="1" applyFill="1" applyAlignment="1">
      <alignment vertical="center"/>
    </xf>
    <xf numFmtId="0" fontId="55" fillId="39" borderId="0" xfId="0" applyFont="1" applyFill="1"/>
    <xf numFmtId="0" fontId="0" fillId="39" borderId="0" xfId="0" applyFill="1"/>
    <xf numFmtId="0" fontId="0" fillId="39" borderId="18" xfId="0" applyFill="1" applyBorder="1"/>
    <xf numFmtId="0" fontId="40" fillId="37" borderId="0" xfId="0" applyFont="1" applyFill="1" applyAlignment="1">
      <alignment vertical="center"/>
    </xf>
    <xf numFmtId="0" fontId="75" fillId="24" borderId="42" xfId="0" applyFont="1" applyFill="1" applyBorder="1" applyAlignment="1">
      <alignment horizontal="center" vertical="center"/>
    </xf>
    <xf numFmtId="0" fontId="40" fillId="24" borderId="43" xfId="0" applyFont="1" applyFill="1" applyBorder="1" applyAlignment="1">
      <alignment vertical="center"/>
    </xf>
    <xf numFmtId="170" fontId="46" fillId="0" borderId="24" xfId="57" applyNumberFormat="1" applyFont="1" applyFill="1" applyBorder="1" applyProtection="1"/>
    <xf numFmtId="170" fontId="46" fillId="39" borderId="34" xfId="57" applyNumberFormat="1" applyFont="1" applyFill="1" applyBorder="1" applyAlignment="1" applyProtection="1">
      <alignment horizontal="right"/>
    </xf>
    <xf numFmtId="0" fontId="76" fillId="0" borderId="0" xfId="0" applyFont="1" applyAlignment="1">
      <alignment vertical="center"/>
    </xf>
    <xf numFmtId="170" fontId="46" fillId="39" borderId="34" xfId="57" applyNumberFormat="1" applyFont="1" applyFill="1" applyBorder="1" applyProtection="1"/>
    <xf numFmtId="10" fontId="46" fillId="39" borderId="34" xfId="92" applyNumberFormat="1" applyFont="1" applyFill="1" applyBorder="1" applyProtection="1"/>
    <xf numFmtId="170" fontId="46" fillId="0" borderId="28" xfId="57" applyNumberFormat="1" applyFont="1" applyFill="1" applyBorder="1" applyProtection="1"/>
    <xf numFmtId="10" fontId="46" fillId="39" borderId="27" xfId="92" applyNumberFormat="1" applyFont="1" applyFill="1" applyBorder="1" applyProtection="1"/>
    <xf numFmtId="170" fontId="0" fillId="0" borderId="0" xfId="0" applyNumberFormat="1"/>
    <xf numFmtId="43" fontId="0" fillId="0" borderId="0" xfId="0" applyNumberFormat="1"/>
    <xf numFmtId="0" fontId="44" fillId="24" borderId="44" xfId="0" applyFont="1" applyFill="1" applyBorder="1" applyAlignment="1">
      <alignment horizontal="center"/>
    </xf>
    <xf numFmtId="0" fontId="44" fillId="24" borderId="45" xfId="82" applyFont="1" applyFill="1" applyBorder="1" applyAlignment="1">
      <alignment horizontal="center"/>
    </xf>
    <xf numFmtId="0" fontId="44" fillId="24" borderId="45" xfId="110" applyFont="1" applyFill="1" applyBorder="1" applyAlignment="1">
      <alignment horizontal="center" wrapText="1"/>
    </xf>
    <xf numFmtId="3" fontId="44" fillId="24" borderId="45" xfId="110" applyNumberFormat="1" applyFont="1" applyFill="1" applyBorder="1" applyAlignment="1">
      <alignment horizontal="center" wrapText="1"/>
    </xf>
    <xf numFmtId="0" fontId="44" fillId="24" borderId="46" xfId="110" applyFont="1" applyFill="1" applyBorder="1" applyAlignment="1">
      <alignment horizontal="center" wrapText="1"/>
    </xf>
    <xf numFmtId="0" fontId="44" fillId="24" borderId="44" xfId="0" applyFont="1" applyFill="1" applyBorder="1" applyAlignment="1">
      <alignment horizontal="center" wrapText="1"/>
    </xf>
    <xf numFmtId="0" fontId="44" fillId="44" borderId="45" xfId="0" applyFont="1" applyFill="1" applyBorder="1" applyAlignment="1">
      <alignment horizontal="center" wrapText="1"/>
    </xf>
    <xf numFmtId="0" fontId="44" fillId="24" borderId="45" xfId="0" applyFont="1" applyFill="1" applyBorder="1" applyAlignment="1">
      <alignment horizontal="center" wrapText="1"/>
    </xf>
    <xf numFmtId="0" fontId="44" fillId="24" borderId="46" xfId="0" applyFont="1" applyFill="1" applyBorder="1" applyAlignment="1">
      <alignment horizontal="center" wrapText="1"/>
    </xf>
    <xf numFmtId="0" fontId="0" fillId="0" borderId="47"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3" fontId="0" fillId="0" borderId="19" xfId="0" applyNumberForma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9" fontId="0" fillId="0" borderId="34" xfId="0" applyNumberFormat="1" applyBorder="1"/>
    <xf numFmtId="9" fontId="27" fillId="0" borderId="34" xfId="92" applyFont="1" applyFill="1" applyBorder="1" applyAlignment="1" applyProtection="1">
      <alignment horizontal="right" vertical="center"/>
      <protection locked="0"/>
    </xf>
    <xf numFmtId="0" fontId="0" fillId="0" borderId="48" xfId="0" applyBorder="1" applyAlignment="1">
      <alignment horizontal="center"/>
    </xf>
    <xf numFmtId="0" fontId="0" fillId="0" borderId="15" xfId="0" applyBorder="1"/>
    <xf numFmtId="3" fontId="46" fillId="0" borderId="29" xfId="82" applyNumberFormat="1" applyFont="1" applyBorder="1" applyAlignment="1">
      <alignment horizontal="right"/>
    </xf>
    <xf numFmtId="3" fontId="0" fillId="0" borderId="29" xfId="0" applyNumberFormat="1" applyBorder="1"/>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3" fontId="0" fillId="39" borderId="11" xfId="0" applyNumberFormat="1" applyFill="1" applyBorder="1" applyAlignment="1" applyProtection="1">
      <alignment horizontal="right"/>
      <protection locked="0"/>
    </xf>
    <xf numFmtId="0" fontId="48" fillId="24" borderId="0" xfId="87" applyFont="1" applyFill="1" applyAlignment="1">
      <alignment horizontal="left"/>
    </xf>
    <xf numFmtId="0" fontId="28" fillId="24" borderId="0" xfId="72" quotePrefix="1" applyFill="1" applyBorder="1" applyAlignment="1" applyProtection="1"/>
    <xf numFmtId="0" fontId="44" fillId="24" borderId="0" xfId="0" applyFont="1" applyFill="1"/>
    <xf numFmtId="166" fontId="0" fillId="0" borderId="36" xfId="56" applyNumberFormat="1" applyFont="1" applyFill="1" applyBorder="1" applyAlignment="1" applyProtection="1">
      <alignment horizontal="right"/>
    </xf>
    <xf numFmtId="9" fontId="0" fillId="0" borderId="10" xfId="92" applyFont="1" applyFill="1" applyBorder="1" applyAlignment="1" applyProtection="1">
      <alignment horizontal="right"/>
    </xf>
    <xf numFmtId="166" fontId="0" fillId="0" borderId="35" xfId="56" applyNumberFormat="1" applyFont="1" applyFill="1" applyBorder="1" applyAlignment="1" applyProtection="1">
      <alignment horizontal="right"/>
    </xf>
    <xf numFmtId="166" fontId="27" fillId="0" borderId="37" xfId="56" applyNumberFormat="1" applyFont="1" applyFill="1" applyBorder="1" applyAlignment="1" applyProtection="1">
      <alignment horizontal="right"/>
    </xf>
    <xf numFmtId="166" fontId="44" fillId="0" borderId="11" xfId="56" applyNumberFormat="1" applyFont="1" applyFill="1" applyBorder="1" applyAlignment="1" applyProtection="1">
      <alignment horizontal="right"/>
    </xf>
    <xf numFmtId="166" fontId="0" fillId="0" borderId="37" xfId="56" applyNumberFormat="1" applyFont="1" applyFill="1" applyBorder="1" applyAlignment="1" applyProtection="1">
      <alignment horizontal="right"/>
    </xf>
    <xf numFmtId="166" fontId="0" fillId="0" borderId="11" xfId="56" applyNumberFormat="1" applyFont="1" applyFill="1" applyBorder="1" applyAlignment="1" applyProtection="1">
      <alignment horizontal="right"/>
    </xf>
    <xf numFmtId="166" fontId="0" fillId="0" borderId="0" xfId="56" applyNumberFormat="1" applyFont="1" applyFill="1" applyBorder="1" applyAlignment="1" applyProtection="1">
      <alignment horizontal="right"/>
    </xf>
    <xf numFmtId="166" fontId="44" fillId="0" borderId="0" xfId="56" applyNumberFormat="1" applyFont="1" applyFill="1" applyBorder="1" applyAlignment="1" applyProtection="1">
      <alignment horizontal="right"/>
    </xf>
    <xf numFmtId="166" fontId="44" fillId="0" borderId="37" xfId="56" applyNumberFormat="1" applyFont="1" applyFill="1" applyBorder="1" applyAlignment="1" applyProtection="1">
      <alignment horizontal="right"/>
    </xf>
    <xf numFmtId="166" fontId="44" fillId="0" borderId="40" xfId="56" applyNumberFormat="1" applyFont="1" applyFill="1" applyBorder="1" applyAlignment="1" applyProtection="1">
      <alignment horizontal="right"/>
    </xf>
    <xf numFmtId="166" fontId="44" fillId="0" borderId="41" xfId="56" applyNumberFormat="1" applyFont="1" applyFill="1" applyBorder="1" applyAlignment="1" applyProtection="1">
      <alignment horizontal="right"/>
    </xf>
    <xf numFmtId="9" fontId="44" fillId="0" borderId="11" xfId="92" applyFont="1" applyFill="1" applyBorder="1" applyAlignment="1" applyProtection="1">
      <alignment horizontal="right"/>
    </xf>
    <xf numFmtId="10" fontId="0" fillId="39" borderId="11" xfId="92" applyNumberFormat="1" applyFont="1" applyFill="1" applyBorder="1" applyProtection="1">
      <protection locked="0"/>
    </xf>
    <xf numFmtId="3" fontId="0" fillId="39" borderId="11" xfId="0" applyNumberFormat="1" applyFill="1" applyBorder="1" applyProtection="1">
      <protection locked="0"/>
    </xf>
    <xf numFmtId="3" fontId="44" fillId="39" borderId="11" xfId="0" applyNumberFormat="1" applyFont="1" applyFill="1" applyBorder="1" applyProtection="1">
      <protection locked="0"/>
    </xf>
    <xf numFmtId="0" fontId="0" fillId="39" borderId="31" xfId="0" applyFill="1" applyBorder="1" applyAlignment="1" applyProtection="1">
      <alignment horizontal="center"/>
      <protection locked="0"/>
    </xf>
    <xf numFmtId="0" fontId="0" fillId="39" borderId="36" xfId="0" applyFill="1" applyBorder="1" applyAlignment="1" applyProtection="1">
      <alignment horizontal="center"/>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77" fontId="46" fillId="39" borderId="11" xfId="56" applyNumberFormat="1" applyFont="1" applyFill="1" applyBorder="1" applyProtection="1">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4" fontId="46" fillId="39" borderId="11" xfId="82" applyNumberFormat="1" applyFont="1" applyFill="1" applyBorder="1" applyProtection="1">
      <protection locked="0"/>
    </xf>
    <xf numFmtId="9" fontId="46" fillId="39" borderId="11" xfId="92" applyFont="1" applyFill="1" applyBorder="1" applyProtection="1">
      <protection locked="0"/>
    </xf>
    <xf numFmtId="1" fontId="46" fillId="39" borderId="11" xfId="82" applyNumberFormat="1" applyFont="1" applyFill="1" applyBorder="1" applyProtection="1">
      <protection locked="0"/>
    </xf>
    <xf numFmtId="169" fontId="46" fillId="39" borderId="11" xfId="82" applyNumberFormat="1" applyFont="1" applyFill="1" applyBorder="1" applyProtection="1">
      <protection locked="0"/>
    </xf>
    <xf numFmtId="164" fontId="48" fillId="0" borderId="11" xfId="82" applyNumberFormat="1" applyFont="1" applyBorder="1"/>
    <xf numFmtId="9" fontId="48" fillId="0" borderId="17" xfId="82" applyNumberFormat="1" applyFont="1" applyBorder="1"/>
    <xf numFmtId="3" fontId="46" fillId="39" borderId="11" xfId="82" applyNumberFormat="1" applyFont="1" applyFill="1" applyBorder="1" applyAlignment="1" applyProtection="1">
      <alignment horizontal="right"/>
      <protection locked="0"/>
    </xf>
    <xf numFmtId="176" fontId="46" fillId="39" borderId="11" xfId="92" applyNumberFormat="1" applyFont="1" applyFill="1" applyBorder="1" applyProtection="1">
      <protection locked="0"/>
    </xf>
    <xf numFmtId="165" fontId="46" fillId="39" borderId="17" xfId="82" applyNumberFormat="1" applyFont="1" applyFill="1" applyBorder="1" applyAlignment="1" applyProtection="1">
      <alignment horizontal="right"/>
      <protection locked="0"/>
    </xf>
    <xf numFmtId="165" fontId="46" fillId="39" borderId="11" xfId="82" applyNumberFormat="1" applyFont="1" applyFill="1" applyBorder="1" applyAlignment="1" applyProtection="1">
      <alignment horizontal="right"/>
      <protection locked="0"/>
    </xf>
    <xf numFmtId="165" fontId="48" fillId="39" borderId="11" xfId="82" applyNumberFormat="1" applyFont="1" applyFill="1" applyBorder="1" applyAlignment="1" applyProtection="1">
      <alignment horizontal="right"/>
      <protection locked="0"/>
    </xf>
    <xf numFmtId="5" fontId="46" fillId="39" borderId="11" xfId="112" applyNumberFormat="1" applyFont="1" applyFill="1" applyBorder="1" applyProtection="1">
      <protection locked="0"/>
    </xf>
    <xf numFmtId="0" fontId="56" fillId="25" borderId="0" xfId="114" applyFill="1" applyBorder="1" applyAlignment="1">
      <alignment horizontal="left"/>
    </xf>
    <xf numFmtId="0" fontId="56" fillId="0" borderId="30" xfId="72" applyFont="1" applyFill="1" applyBorder="1" applyAlignment="1" applyProtection="1"/>
    <xf numFmtId="0" fontId="6" fillId="0" borderId="30" xfId="82" applyFont="1" applyBorder="1"/>
    <xf numFmtId="166" fontId="6" fillId="0" borderId="30" xfId="56" applyNumberFormat="1" applyFont="1" applyFill="1" applyBorder="1" applyAlignment="1">
      <alignment horizontal="center"/>
    </xf>
    <xf numFmtId="0" fontId="6" fillId="0" borderId="30" xfId="82" applyFont="1" applyBorder="1" applyAlignment="1">
      <alignment horizontal="left"/>
    </xf>
    <xf numFmtId="0" fontId="6" fillId="0" borderId="30" xfId="82" applyFont="1" applyBorder="1" applyAlignment="1">
      <alignment horizontal="right"/>
    </xf>
    <xf numFmtId="166" fontId="6" fillId="0" borderId="30" xfId="56" applyNumberFormat="1" applyFont="1" applyFill="1" applyBorder="1"/>
    <xf numFmtId="0" fontId="6" fillId="0" borderId="30" xfId="82" applyFont="1" applyBorder="1" applyAlignment="1">
      <alignment horizontal="center"/>
    </xf>
    <xf numFmtId="0" fontId="28" fillId="0" borderId="30" xfId="113" applyFill="1" applyBorder="1" applyAlignment="1" applyProtection="1"/>
    <xf numFmtId="0" fontId="46" fillId="0" borderId="30" xfId="82" applyFont="1" applyBorder="1"/>
    <xf numFmtId="166" fontId="46" fillId="0" borderId="30" xfId="112" applyNumberFormat="1" applyFont="1" applyFill="1" applyBorder="1" applyAlignment="1">
      <alignment horizontal="center"/>
    </xf>
    <xf numFmtId="0" fontId="46" fillId="0" borderId="30" xfId="82" applyFont="1" applyBorder="1" applyAlignment="1">
      <alignment horizontal="right"/>
    </xf>
    <xf numFmtId="166" fontId="46" fillId="0" borderId="30" xfId="112" applyNumberFormat="1" applyFont="1" applyFill="1" applyBorder="1"/>
    <xf numFmtId="0" fontId="46" fillId="0" borderId="30" xfId="82" applyFont="1" applyBorder="1" applyAlignment="1">
      <alignment horizontal="center"/>
    </xf>
    <xf numFmtId="0" fontId="46" fillId="0" borderId="30" xfId="82" applyFont="1" applyBorder="1" applyAlignment="1">
      <alignment vertical="top"/>
    </xf>
    <xf numFmtId="9" fontId="44" fillId="0" borderId="37" xfId="92" applyFont="1" applyFill="1" applyBorder="1" applyAlignment="1" applyProtection="1">
      <alignment horizontal="right" wrapText="1"/>
    </xf>
    <xf numFmtId="9" fontId="0" fillId="39" borderId="49" xfId="92" applyFont="1" applyFill="1" applyBorder="1" applyAlignment="1" applyProtection="1">
      <alignment horizontal="right"/>
      <protection locked="0"/>
    </xf>
    <xf numFmtId="178" fontId="2" fillId="24" borderId="0" xfId="82" applyNumberFormat="1" applyFill="1"/>
    <xf numFmtId="166" fontId="46" fillId="25" borderId="20" xfId="112" applyNumberFormat="1" applyFont="1" applyFill="1" applyBorder="1" applyAlignment="1">
      <alignment horizontal="center"/>
    </xf>
    <xf numFmtId="0" fontId="46" fillId="25" borderId="20" xfId="82" applyFont="1" applyFill="1" applyBorder="1" applyAlignment="1">
      <alignment horizontal="right"/>
    </xf>
    <xf numFmtId="166" fontId="46" fillId="25" borderId="20" xfId="112" applyNumberFormat="1" applyFont="1" applyFill="1" applyBorder="1"/>
    <xf numFmtId="0" fontId="46" fillId="25" borderId="20" xfId="82" applyFont="1" applyFill="1" applyBorder="1"/>
    <xf numFmtId="0" fontId="46" fillId="25" borderId="20" xfId="82" applyFont="1" applyFill="1" applyBorder="1" applyAlignment="1">
      <alignment horizontal="center"/>
    </xf>
    <xf numFmtId="0" fontId="46" fillId="25" borderId="12" xfId="82" applyFont="1" applyFill="1" applyBorder="1" applyAlignment="1">
      <alignment vertical="top"/>
    </xf>
    <xf numFmtId="0" fontId="46" fillId="25" borderId="0" xfId="82" applyFont="1" applyFill="1"/>
    <xf numFmtId="0" fontId="6" fillId="25" borderId="0" xfId="82" applyFont="1" applyFill="1"/>
    <xf numFmtId="0" fontId="77" fillId="0" borderId="30" xfId="82" applyFont="1" applyBorder="1"/>
    <xf numFmtId="0" fontId="78" fillId="0" borderId="0" xfId="82" applyFont="1"/>
    <xf numFmtId="0" fontId="77" fillId="0" borderId="0" xfId="82" applyFont="1"/>
    <xf numFmtId="0" fontId="0" fillId="40" borderId="11" xfId="0" applyFill="1" applyBorder="1" applyAlignment="1">
      <alignment horizontal="left" wrapText="1"/>
    </xf>
    <xf numFmtId="0" fontId="44" fillId="0" borderId="20" xfId="0" applyFont="1" applyBorder="1" applyAlignment="1">
      <alignment horizontal="left" wrapText="1"/>
    </xf>
    <xf numFmtId="0" fontId="0" fillId="45" borderId="11" xfId="0" applyFill="1" applyBorder="1" applyAlignment="1">
      <alignment horizontal="left" wrapText="1"/>
    </xf>
    <xf numFmtId="43" fontId="46" fillId="39" borderId="11" xfId="56" applyFont="1" applyFill="1" applyBorder="1" applyProtection="1">
      <protection locked="0"/>
    </xf>
    <xf numFmtId="0" fontId="79" fillId="26" borderId="17" xfId="0" applyFont="1" applyFill="1" applyBorder="1" applyAlignment="1">
      <alignment horizontal="center" vertical="center" wrapText="1"/>
    </xf>
    <xf numFmtId="166" fontId="48" fillId="24" borderId="12" xfId="112" applyNumberFormat="1" applyFont="1" applyFill="1" applyBorder="1" applyAlignment="1">
      <alignment wrapText="1"/>
    </xf>
    <xf numFmtId="0" fontId="48" fillId="0" borderId="0" xfId="82" applyFont="1" applyAlignment="1">
      <alignment horizontal="center" wrapText="1"/>
    </xf>
    <xf numFmtId="10" fontId="0" fillId="0" borderId="0" xfId="92" applyNumberFormat="1" applyFont="1" applyFill="1" applyBorder="1"/>
    <xf numFmtId="0" fontId="59" fillId="0" borderId="11" xfId="113" applyFont="1" applyFill="1" applyBorder="1" applyAlignment="1" applyProtection="1"/>
    <xf numFmtId="0" fontId="46" fillId="0" borderId="17" xfId="82" applyFont="1" applyBorder="1" applyAlignment="1">
      <alignment horizontal="right"/>
    </xf>
    <xf numFmtId="0" fontId="44" fillId="0" borderId="12" xfId="0" applyFont="1" applyBorder="1"/>
    <xf numFmtId="9" fontId="44" fillId="0" borderId="11" xfId="92" applyFont="1" applyFill="1" applyBorder="1" applyAlignment="1" applyProtection="1">
      <alignment horizontal="right"/>
      <protection locked="0"/>
    </xf>
    <xf numFmtId="9" fontId="0" fillId="0" borderId="0" xfId="0" applyNumberFormat="1" applyAlignment="1">
      <alignment horizontal="right"/>
    </xf>
    <xf numFmtId="9" fontId="27" fillId="39" borderId="11" xfId="92" applyFont="1" applyFill="1" applyBorder="1" applyAlignment="1">
      <alignment horizontal="right" vertical="center"/>
    </xf>
    <xf numFmtId="166" fontId="0" fillId="0" borderId="11" xfId="0" applyNumberFormat="1" applyBorder="1" applyAlignment="1">
      <alignment horizontal="right" vertical="center"/>
    </xf>
    <xf numFmtId="164" fontId="46" fillId="0" borderId="0" xfId="82" applyNumberFormat="1" applyFont="1" applyProtection="1">
      <protection locked="0"/>
    </xf>
    <xf numFmtId="9" fontId="27" fillId="0" borderId="11" xfId="92" applyFont="1" applyFill="1" applyBorder="1" applyAlignment="1" applyProtection="1">
      <alignment horizontal="right"/>
      <protection locked="0"/>
    </xf>
    <xf numFmtId="9" fontId="0" fillId="24" borderId="11" xfId="92" applyFont="1" applyFill="1" applyBorder="1" applyAlignment="1">
      <alignment horizontal="right" wrapText="1"/>
    </xf>
    <xf numFmtId="0" fontId="44" fillId="0" borderId="32" xfId="0" applyFont="1" applyBorder="1" applyAlignment="1">
      <alignment horizontal="left"/>
    </xf>
    <xf numFmtId="2" fontId="0" fillId="35" borderId="11" xfId="0" applyNumberFormat="1" applyFill="1" applyBorder="1" applyAlignment="1">
      <alignment horizontal="left" wrapText="1"/>
    </xf>
    <xf numFmtId="0" fontId="0" fillId="35" borderId="11" xfId="0" applyFill="1" applyBorder="1" applyAlignment="1">
      <alignment horizontal="left"/>
    </xf>
    <xf numFmtId="0" fontId="0" fillId="35" borderId="11" xfId="0" applyFill="1" applyBorder="1" applyAlignment="1">
      <alignment horizontal="left" wrapText="1"/>
    </xf>
    <xf numFmtId="0" fontId="0" fillId="24" borderId="11" xfId="0" applyFill="1" applyBorder="1" applyProtection="1">
      <protection locked="0"/>
    </xf>
    <xf numFmtId="9" fontId="0" fillId="39" borderId="11" xfId="92" applyFont="1" applyFill="1" applyBorder="1" applyAlignment="1" applyProtection="1">
      <alignment horizontal="right" wrapText="1"/>
      <protection locked="0"/>
    </xf>
    <xf numFmtId="0" fontId="29" fillId="35" borderId="0" xfId="0" applyFont="1" applyFill="1"/>
    <xf numFmtId="0" fontId="0" fillId="35" borderId="0" xfId="0" applyFill="1"/>
    <xf numFmtId="0" fontId="44" fillId="35" borderId="32" xfId="0" applyFont="1" applyFill="1" applyBorder="1" applyAlignment="1">
      <alignment horizontal="left"/>
    </xf>
    <xf numFmtId="0" fontId="39" fillId="35" borderId="32" xfId="0" applyFont="1" applyFill="1" applyBorder="1"/>
    <xf numFmtId="0" fontId="39" fillId="35" borderId="20" xfId="0" applyFont="1" applyFill="1" applyBorder="1"/>
    <xf numFmtId="0" fontId="39" fillId="35" borderId="17" xfId="0" applyFont="1" applyFill="1" applyBorder="1"/>
    <xf numFmtId="0" fontId="39" fillId="35" borderId="0" xfId="0" applyFont="1" applyFill="1"/>
    <xf numFmtId="0" fontId="0" fillId="35" borderId="18" xfId="0" applyFill="1" applyBorder="1"/>
    <xf numFmtId="0" fontId="39" fillId="35" borderId="14" xfId="0" applyFont="1" applyFill="1" applyBorder="1"/>
    <xf numFmtId="0" fontId="44" fillId="41" borderId="0" xfId="0" applyFont="1" applyFill="1" applyAlignment="1">
      <alignment horizontal="left"/>
    </xf>
    <xf numFmtId="0" fontId="44" fillId="41" borderId="12" xfId="0" applyFont="1" applyFill="1" applyBorder="1" applyAlignment="1">
      <alignment horizontal="left"/>
    </xf>
    <xf numFmtId="0" fontId="44" fillId="0" borderId="10" xfId="82" applyFont="1" applyBorder="1"/>
    <xf numFmtId="3" fontId="46" fillId="0" borderId="10" xfId="0" applyNumberFormat="1" applyFont="1" applyBorder="1" applyAlignment="1">
      <alignment horizontal="right"/>
    </xf>
    <xf numFmtId="0" fontId="39" fillId="0" borderId="0" xfId="0" applyFont="1" applyAlignment="1">
      <alignment horizontal="center" wrapText="1"/>
    </xf>
    <xf numFmtId="165" fontId="0" fillId="0" borderId="0" xfId="0" applyNumberFormat="1"/>
    <xf numFmtId="0" fontId="39" fillId="0" borderId="20" xfId="0" applyFont="1" applyBorder="1"/>
    <xf numFmtId="0" fontId="39" fillId="0" borderId="17" xfId="0" applyFont="1" applyBorder="1"/>
    <xf numFmtId="0" fontId="27" fillId="0" borderId="12" xfId="82" applyFont="1" applyBorder="1"/>
    <xf numFmtId="0" fontId="44" fillId="0" borderId="20" xfId="82" applyFont="1" applyBorder="1"/>
    <xf numFmtId="3" fontId="46" fillId="0" borderId="11" xfId="0" applyNumberFormat="1" applyFont="1" applyBorder="1"/>
    <xf numFmtId="166" fontId="46" fillId="0" borderId="0" xfId="112" applyNumberFormat="1" applyFont="1" applyFill="1" applyBorder="1" applyProtection="1">
      <protection locked="0"/>
    </xf>
    <xf numFmtId="9" fontId="46" fillId="0" borderId="0" xfId="92" applyFont="1" applyFill="1" applyBorder="1" applyProtection="1">
      <protection locked="0"/>
    </xf>
    <xf numFmtId="0" fontId="0" fillId="0" borderId="19" xfId="0" applyBorder="1"/>
    <xf numFmtId="166" fontId="46" fillId="0" borderId="20" xfId="112" applyNumberFormat="1" applyFont="1" applyFill="1" applyBorder="1" applyProtection="1">
      <protection locked="0"/>
    </xf>
    <xf numFmtId="9" fontId="46" fillId="0" borderId="20" xfId="92" applyFont="1" applyFill="1" applyBorder="1" applyProtection="1">
      <protection locked="0"/>
    </xf>
    <xf numFmtId="9" fontId="46" fillId="0" borderId="17" xfId="92" applyFont="1" applyFill="1" applyBorder="1" applyProtection="1">
      <protection locked="0"/>
    </xf>
    <xf numFmtId="166" fontId="46" fillId="0" borderId="0" xfId="112" applyNumberFormat="1" applyFont="1" applyFill="1" applyBorder="1" applyAlignment="1">
      <alignment horizontal="left"/>
    </xf>
    <xf numFmtId="0" fontId="0" fillId="0" borderId="14" xfId="0" applyBorder="1" applyAlignment="1">
      <alignment horizontal="left"/>
    </xf>
    <xf numFmtId="0" fontId="0" fillId="45" borderId="12" xfId="0" applyFill="1" applyBorder="1"/>
    <xf numFmtId="0" fontId="0" fillId="45" borderId="17" xfId="0" applyFill="1" applyBorder="1"/>
    <xf numFmtId="3" fontId="0" fillId="45" borderId="17" xfId="0" applyNumberFormat="1" applyFill="1" applyBorder="1"/>
    <xf numFmtId="0" fontId="0" fillId="41" borderId="12" xfId="0" applyFill="1" applyBorder="1"/>
    <xf numFmtId="0" fontId="0" fillId="41" borderId="17" xfId="0" applyFill="1" applyBorder="1"/>
    <xf numFmtId="3" fontId="0" fillId="41" borderId="17" xfId="0" applyNumberFormat="1" applyFill="1" applyBorder="1"/>
    <xf numFmtId="0" fontId="0" fillId="35" borderId="12" xfId="0" applyFill="1" applyBorder="1"/>
    <xf numFmtId="0" fontId="0" fillId="35" borderId="17" xfId="0" applyFill="1" applyBorder="1"/>
    <xf numFmtId="3" fontId="0" fillId="35" borderId="17" xfId="0" applyNumberFormat="1" applyFill="1" applyBorder="1"/>
    <xf numFmtId="0" fontId="0" fillId="45" borderId="12" xfId="0" applyFill="1" applyBorder="1" applyAlignment="1">
      <alignment wrapText="1"/>
    </xf>
    <xf numFmtId="0" fontId="0" fillId="41" borderId="12" xfId="0" applyFill="1" applyBorder="1" applyAlignment="1">
      <alignment wrapText="1"/>
    </xf>
    <xf numFmtId="9" fontId="0" fillId="0" borderId="11" xfId="92" applyFont="1" applyFill="1" applyBorder="1" applyAlignment="1" applyProtection="1">
      <alignment horizontal="right"/>
    </xf>
    <xf numFmtId="166" fontId="27" fillId="0" borderId="38" xfId="56" applyNumberFormat="1" applyFont="1" applyFill="1" applyBorder="1" applyAlignment="1" applyProtection="1">
      <alignment horizontal="right"/>
    </xf>
    <xf numFmtId="166" fontId="44" fillId="0" borderId="11" xfId="0" applyNumberFormat="1" applyFont="1" applyBorder="1" applyAlignment="1">
      <alignment horizontal="right" vertical="center"/>
    </xf>
    <xf numFmtId="165" fontId="0" fillId="0" borderId="11" xfId="0" applyNumberFormat="1" applyBorder="1" applyAlignment="1" applyProtection="1">
      <alignment horizontal="right"/>
      <protection locked="0"/>
    </xf>
    <xf numFmtId="0" fontId="0" fillId="39" borderId="11" xfId="0" applyFill="1" applyBorder="1" applyAlignment="1">
      <alignment horizontal="center" wrapText="1"/>
    </xf>
    <xf numFmtId="0" fontId="46" fillId="39" borderId="11" xfId="82" applyFont="1" applyFill="1" applyBorder="1" applyAlignment="1">
      <alignment wrapText="1"/>
    </xf>
    <xf numFmtId="166" fontId="48" fillId="24" borderId="17" xfId="112" applyNumberFormat="1" applyFont="1" applyFill="1" applyBorder="1" applyAlignment="1">
      <alignment horizontal="center" wrapText="1"/>
    </xf>
    <xf numFmtId="0" fontId="39" fillId="37" borderId="20" xfId="0" applyFont="1" applyFill="1" applyBorder="1" applyAlignment="1">
      <alignment horizontal="center" wrapText="1"/>
    </xf>
    <xf numFmtId="0" fontId="44" fillId="35" borderId="0" xfId="0" applyFont="1" applyFill="1" applyAlignment="1">
      <alignment horizontal="left"/>
    </xf>
    <xf numFmtId="0" fontId="44" fillId="35" borderId="0" xfId="0" applyFont="1" applyFill="1"/>
    <xf numFmtId="0" fontId="29" fillId="41" borderId="32" xfId="0" applyFont="1" applyFill="1" applyBorder="1"/>
    <xf numFmtId="0" fontId="44" fillId="0" borderId="12" xfId="0" applyFont="1" applyBorder="1" applyAlignment="1">
      <alignment horizontal="left"/>
    </xf>
    <xf numFmtId="9" fontId="80" fillId="24" borderId="12" xfId="92" applyFont="1" applyFill="1" applyBorder="1" applyAlignment="1" applyProtection="1">
      <alignment horizontal="right"/>
      <protection locked="0"/>
    </xf>
    <xf numFmtId="9" fontId="80" fillId="24" borderId="17" xfId="92" applyFont="1" applyFill="1" applyBorder="1" applyAlignment="1" applyProtection="1">
      <alignment horizontal="right"/>
      <protection locked="0"/>
    </xf>
    <xf numFmtId="9" fontId="80" fillId="24" borderId="20" xfId="92" applyFont="1" applyFill="1" applyBorder="1" applyAlignment="1" applyProtection="1">
      <alignment horizontal="right"/>
      <protection locked="0"/>
    </xf>
    <xf numFmtId="9" fontId="27" fillId="0" borderId="38" xfId="92" applyFont="1" applyFill="1" applyBorder="1" applyAlignment="1" applyProtection="1">
      <alignment horizontal="right"/>
    </xf>
    <xf numFmtId="9" fontId="27" fillId="39" borderId="37" xfId="92" applyFont="1" applyFill="1" applyBorder="1" applyAlignment="1" applyProtection="1">
      <alignment horizontal="right"/>
      <protection locked="0"/>
    </xf>
    <xf numFmtId="166" fontId="27" fillId="0" borderId="11" xfId="56" applyNumberFormat="1" applyFont="1" applyFill="1" applyBorder="1" applyAlignment="1" applyProtection="1">
      <alignment horizontal="right"/>
    </xf>
    <xf numFmtId="0" fontId="28" fillId="0" borderId="20" xfId="72" applyBorder="1" applyAlignment="1" applyProtection="1">
      <alignment horizontal="left" wrapText="1"/>
    </xf>
    <xf numFmtId="0" fontId="28" fillId="0" borderId="17" xfId="72" applyBorder="1" applyAlignment="1" applyProtection="1">
      <alignment horizontal="left" wrapText="1"/>
    </xf>
    <xf numFmtId="0" fontId="28" fillId="0" borderId="0" xfId="72" quotePrefix="1" applyFill="1" applyBorder="1" applyAlignment="1" applyProtection="1"/>
    <xf numFmtId="0" fontId="28" fillId="0" borderId="20" xfId="72" applyFill="1" applyBorder="1" applyAlignment="1" applyProtection="1">
      <alignment horizontal="left" wrapText="1"/>
    </xf>
    <xf numFmtId="0" fontId="28" fillId="0" borderId="12" xfId="72" applyBorder="1" applyAlignment="1" applyProtection="1">
      <alignment horizontal="left" wrapText="1"/>
    </xf>
    <xf numFmtId="0" fontId="28" fillId="0" borderId="20" xfId="72" applyBorder="1" applyAlignment="1" applyProtection="1">
      <alignment horizontal="left" wrapText="1"/>
    </xf>
    <xf numFmtId="0" fontId="28" fillId="0" borderId="17" xfId="72" applyBorder="1" applyAlignment="1" applyProtection="1">
      <alignment horizontal="left" wrapText="1"/>
    </xf>
    <xf numFmtId="165" fontId="0" fillId="0" borderId="0" xfId="0" applyNumberFormat="1" applyAlignment="1" applyProtection="1">
      <alignment horizontal="left" vertical="top" wrapText="1"/>
      <protection locked="0"/>
    </xf>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44" fillId="0" borderId="11" xfId="0" applyFont="1" applyBorder="1" applyAlignment="1">
      <alignment horizontal="left"/>
    </xf>
  </cellXfs>
  <cellStyles count="115">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2 2" xfId="112" xr:uid="{8083D1AC-F7E1-4168-922B-C455ABD13B3D}"/>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2 3" xfId="113" xr:uid="{ACE69357-BE63-4B4F-A356-DE8D98FAE16E}"/>
    <cellStyle name="Hyperlink 3" xfId="75" xr:uid="{00000000-0005-0000-0000-00004C000000}"/>
    <cellStyle name="Hyperlink 4" xfId="103" xr:uid="{00000000-0005-0000-0000-00004D000000}"/>
    <cellStyle name="Hyperlink 5" xfId="102" xr:uid="{00000000-0005-0000-0000-00004E000000}"/>
    <cellStyle name="Hyperlink 6" xfId="114" xr:uid="{0AD6FA29-7483-4251-BD94-D210AA11934E}"/>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2 2" xfId="111" xr:uid="{0144856E-0851-4FCD-BF71-6D9D62B92016}"/>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ceuk.sharepoint.com/sites/Resource_Impact_Assessment/Shared%20Documents/Guidelines/Guidelines%20in%20development/Menopause/Workings/New%20templates/Book.xlsx" TargetMode="External"/><Relationship Id="rId1" Type="http://schemas.openxmlformats.org/officeDocument/2006/relationships/externalLinkPath" Target="https://niceuk.sharepoint.com/sites/Resource_Impact_Assessment/Shared%20Documents/Guidelines/Guidelines%20in%20development/Menopause/Published/Book.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Contents"/>
      <sheetName val="Population selection"/>
      <sheetName val="Inputs and eligible population"/>
      <sheetName val="Unit costs"/>
      <sheetName val="Summary"/>
      <sheetName val="Financial impact (cash)"/>
      <sheetName val="Capacity (local prices)"/>
      <sheetName val="Capacity (national prices)"/>
      <sheetName val="payscales"/>
    </sheetNames>
    <sheetDataSet>
      <sheetData sheetId="0" refreshError="1"/>
      <sheetData sheetId="1" refreshError="1"/>
      <sheetData sheetId="2">
        <row r="5">
          <cell r="L5" t="str">
            <v>Per 100,000 population</v>
          </cell>
        </row>
        <row r="6">
          <cell r="L6" t="str">
            <v>England ICB</v>
          </cell>
        </row>
        <row r="7">
          <cell r="L7" t="str">
            <v>National</v>
          </cell>
        </row>
        <row r="8">
          <cell r="L8" t="str">
            <v>NHSE regions</v>
          </cell>
        </row>
        <row r="9">
          <cell r="L9" t="str">
            <v>Wales – Health Boards</v>
          </cell>
        </row>
        <row r="10">
          <cell r="L10" t="str">
            <v>NI – Health and Social Care Trusts</v>
          </cell>
        </row>
        <row r="11">
          <cell r="L11" t="str">
            <v>LA Wales</v>
          </cell>
        </row>
        <row r="12">
          <cell r="L12" t="str">
            <v>LA NI</v>
          </cell>
        </row>
        <row r="13">
          <cell r="L13" t="str">
            <v>LA England</v>
          </cell>
        </row>
        <row r="14">
          <cell r="L14" t="str">
            <v>England – CCGs</v>
          </cell>
        </row>
        <row r="521">
          <cell r="B521" t="str">
            <v>Antrim and Newtownabbey</v>
          </cell>
        </row>
        <row r="522">
          <cell r="B522" t="str">
            <v>Ards and North Down</v>
          </cell>
        </row>
        <row r="523">
          <cell r="B523" t="str">
            <v>Armagh City, Banbridge and Craigavon</v>
          </cell>
        </row>
        <row r="524">
          <cell r="B524" t="str">
            <v>Belfast</v>
          </cell>
        </row>
        <row r="525">
          <cell r="B525" t="str">
            <v>Causeway Coast and Glens</v>
          </cell>
        </row>
        <row r="526">
          <cell r="B526" t="str">
            <v>Derry City and Strabane</v>
          </cell>
        </row>
        <row r="527">
          <cell r="B527" t="str">
            <v>Fermanagh and Omagh</v>
          </cell>
        </row>
        <row r="528">
          <cell r="B528" t="str">
            <v>Lisburn and Castlereagh</v>
          </cell>
        </row>
        <row r="529">
          <cell r="B529" t="str">
            <v>Mid and East Antrim</v>
          </cell>
        </row>
        <row r="530">
          <cell r="B530" t="str">
            <v>Mid Ulster</v>
          </cell>
        </row>
        <row r="531">
          <cell r="B531" t="str">
            <v>Newry, Mourne and Down</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nisra.gov.uk/statistics/population/mid-year-population-estimates" TargetMode="External"/><Relationship Id="rId7" Type="http://schemas.openxmlformats.org/officeDocument/2006/relationships/vmlDrawing" Target="../drawings/vmlDrawing2.vml"/><Relationship Id="rId2" Type="http://schemas.openxmlformats.org/officeDocument/2006/relationships/hyperlink" Target="https://www.ons.gov.uk/peoplepopulationandcommunity/populationandmigration/populationestimates" TargetMode="External"/><Relationship Id="rId1" Type="http://schemas.openxmlformats.org/officeDocument/2006/relationships/hyperlink" Target="https://pubmed.ncbi.nlm.nih.gov/35738198/" TargetMode="External"/><Relationship Id="rId6" Type="http://schemas.openxmlformats.org/officeDocument/2006/relationships/printerSettings" Target="../printerSettings/printerSettings3.bin"/><Relationship Id="rId5" Type="http://schemas.openxmlformats.org/officeDocument/2006/relationships/hyperlink" Target="https://www.ons.gov.uk/peoplepopulationandcommunity/populationandmigration/populationestimates" TargetMode="External"/><Relationship Id="rId4" Type="http://schemas.openxmlformats.org/officeDocument/2006/relationships/hyperlink" Target="https://www.ons.gov.uk/peoplepopulationandcommunity/populationandmigration/populationprojections/bulletins/nationalpopulationprojections/2021basedinteri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nhsbsa.nhs.uk/statistical-collections/prescription-cost-analysis-england/prescription-cost-analysis-england-2022-23" TargetMode="External"/><Relationship Id="rId2" Type="http://schemas.openxmlformats.org/officeDocument/2006/relationships/hyperlink" Target="https://www.drugtariff.nhsbsa.nhs.uk/" TargetMode="External"/><Relationship Id="rId1" Type="http://schemas.openxmlformats.org/officeDocument/2006/relationships/hyperlink" Target="https://bnf.nice.org.uk/" TargetMode="External"/><Relationship Id="rId5" Type="http://schemas.openxmlformats.org/officeDocument/2006/relationships/printerSettings" Target="../printerSettings/printerSettings5.bin"/><Relationship Id="rId4" Type="http://schemas.openxmlformats.org/officeDocument/2006/relationships/hyperlink" Target="https://www.england.nhs.uk/publication/2021-22-national-cost-collection-data-publica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E56F4-97E3-423E-8753-7EA8460E068E}">
  <sheetPr>
    <tabColor theme="1" tint="0.14999847407452621"/>
    <pageSetUpPr fitToPage="1"/>
  </sheetPr>
  <dimension ref="B2:O23"/>
  <sheetViews>
    <sheetView showGridLines="0" tabSelected="1" zoomScale="80" zoomScaleNormal="80" zoomScaleSheetLayoutView="80" workbookViewId="0">
      <selection activeCell="B1" sqref="B1"/>
    </sheetView>
  </sheetViews>
  <sheetFormatPr defaultRowHeight="15" x14ac:dyDescent="0.25"/>
  <cols>
    <col min="1" max="1" width="1.42578125" customWidth="1"/>
    <col min="2" max="2" width="1.5703125" customWidth="1"/>
    <col min="14" max="14" width="2" customWidth="1"/>
    <col min="15" max="15" width="4.85546875" customWidth="1"/>
    <col min="16" max="16" width="3.42578125" customWidth="1"/>
    <col min="21" max="21" width="31" customWidth="1"/>
  </cols>
  <sheetData>
    <row r="2" spans="2:15" x14ac:dyDescent="0.25">
      <c r="B2" s="170"/>
      <c r="C2" s="280"/>
      <c r="D2" s="280"/>
      <c r="E2" s="280"/>
      <c r="F2" s="280"/>
      <c r="G2" s="280"/>
      <c r="H2" s="280"/>
      <c r="I2" s="280"/>
      <c r="J2" s="280"/>
      <c r="K2" s="280"/>
      <c r="L2" s="280"/>
      <c r="M2" s="280"/>
      <c r="N2" s="280"/>
      <c r="O2" s="156"/>
    </row>
    <row r="3" spans="2:15" x14ac:dyDescent="0.25">
      <c r="B3" s="159"/>
      <c r="C3" s="171"/>
      <c r="D3" s="171"/>
      <c r="E3" s="171"/>
      <c r="F3" s="171"/>
      <c r="G3" s="171"/>
      <c r="H3" s="171"/>
      <c r="I3" s="171"/>
      <c r="J3" s="171"/>
      <c r="K3" s="171"/>
      <c r="L3" s="171"/>
      <c r="M3" s="171"/>
      <c r="N3" s="171"/>
      <c r="O3" s="158"/>
    </row>
    <row r="4" spans="2:15" ht="31.5" x14ac:dyDescent="0.5">
      <c r="B4" s="159"/>
      <c r="C4" s="172" t="s">
        <v>0</v>
      </c>
      <c r="D4" s="171"/>
      <c r="E4" s="171"/>
      <c r="F4" s="171"/>
      <c r="G4" s="171"/>
      <c r="H4" s="171"/>
      <c r="I4" s="171"/>
      <c r="J4" s="171"/>
      <c r="K4" s="171"/>
      <c r="L4" s="171"/>
      <c r="M4" s="171"/>
      <c r="N4" s="171"/>
      <c r="O4" s="158"/>
    </row>
    <row r="5" spans="2:15" x14ac:dyDescent="0.25">
      <c r="B5" s="159"/>
      <c r="C5" s="171"/>
      <c r="D5" s="171"/>
      <c r="E5" s="171"/>
      <c r="F5" s="171"/>
      <c r="G5" s="171"/>
      <c r="H5" s="171"/>
      <c r="I5" s="171"/>
      <c r="J5" s="171"/>
      <c r="K5" s="171"/>
      <c r="L5" s="171"/>
      <c r="M5" s="171"/>
      <c r="N5" s="171"/>
      <c r="O5" s="158"/>
    </row>
    <row r="6" spans="2:15" x14ac:dyDescent="0.25">
      <c r="B6" s="159"/>
      <c r="O6" s="158"/>
    </row>
    <row r="7" spans="2:15" ht="31.5" x14ac:dyDescent="0.5">
      <c r="B7" s="159"/>
      <c r="C7" s="174" t="s">
        <v>1</v>
      </c>
      <c r="O7" s="158"/>
    </row>
    <row r="8" spans="2:15" ht="31.5" x14ac:dyDescent="0.25">
      <c r="B8" s="159"/>
      <c r="C8" s="289" t="s">
        <v>1046</v>
      </c>
      <c r="O8" s="158"/>
    </row>
    <row r="9" spans="2:15" ht="31.5" x14ac:dyDescent="0.25">
      <c r="B9" s="159"/>
      <c r="C9" s="289"/>
      <c r="O9" s="158"/>
    </row>
    <row r="10" spans="2:15" ht="31.5" x14ac:dyDescent="0.25">
      <c r="B10" s="159"/>
      <c r="C10" s="289"/>
      <c r="O10" s="158"/>
    </row>
    <row r="11" spans="2:15" ht="31.5" x14ac:dyDescent="0.5">
      <c r="B11" s="159"/>
      <c r="C11" s="599" t="s">
        <v>889</v>
      </c>
      <c r="D11" s="600"/>
      <c r="E11" s="601"/>
      <c r="F11" s="601"/>
      <c r="G11" s="601"/>
      <c r="H11" s="601"/>
      <c r="I11" s="601"/>
      <c r="J11" s="601"/>
      <c r="K11" s="601"/>
      <c r="L11" s="601"/>
      <c r="M11" s="601"/>
      <c r="N11" s="601"/>
      <c r="O11" s="602"/>
    </row>
    <row r="12" spans="2:15" ht="31.5" x14ac:dyDescent="0.5">
      <c r="B12" s="159"/>
      <c r="D12" s="175"/>
      <c r="O12" s="158"/>
    </row>
    <row r="13" spans="2:15" ht="31.5" x14ac:dyDescent="0.5">
      <c r="B13" s="159"/>
      <c r="C13" s="173" t="s">
        <v>926</v>
      </c>
      <c r="D13" s="175"/>
      <c r="O13" s="158"/>
    </row>
    <row r="14" spans="2:15" ht="31.5" x14ac:dyDescent="0.5">
      <c r="B14" s="159"/>
      <c r="C14" s="173"/>
      <c r="D14" s="175"/>
      <c r="O14" s="158"/>
    </row>
    <row r="15" spans="2:15" ht="31.5" x14ac:dyDescent="0.5">
      <c r="B15" s="159"/>
      <c r="C15" s="173" t="s">
        <v>1047</v>
      </c>
      <c r="D15" s="175"/>
      <c r="O15" s="158"/>
    </row>
    <row r="16" spans="2:15" ht="31.5" x14ac:dyDescent="0.5">
      <c r="B16" s="159"/>
      <c r="D16" s="175"/>
      <c r="O16" s="158"/>
    </row>
    <row r="17" spans="2:15" x14ac:dyDescent="0.25">
      <c r="B17" s="159"/>
      <c r="C17" s="148" t="s">
        <v>2</v>
      </c>
      <c r="D17" s="191"/>
      <c r="E17" s="166"/>
      <c r="F17" s="219" t="s">
        <v>801</v>
      </c>
      <c r="G17" s="191"/>
      <c r="H17" s="191"/>
      <c r="I17" s="191"/>
      <c r="J17" s="191"/>
      <c r="K17" s="191"/>
      <c r="L17" s="191"/>
      <c r="M17" s="166"/>
      <c r="O17" s="158"/>
    </row>
    <row r="18" spans="2:15" x14ac:dyDescent="0.25">
      <c r="B18" s="159"/>
      <c r="C18" s="148" t="s">
        <v>3</v>
      </c>
      <c r="D18" s="191"/>
      <c r="E18" s="166"/>
      <c r="F18" s="219" t="s">
        <v>927</v>
      </c>
      <c r="G18" s="191"/>
      <c r="H18" s="191"/>
      <c r="I18" s="191"/>
      <c r="J18" s="191"/>
      <c r="K18" s="191"/>
      <c r="L18" s="191"/>
      <c r="M18" s="166"/>
      <c r="O18" s="158"/>
    </row>
    <row r="19" spans="2:15" x14ac:dyDescent="0.25">
      <c r="B19" s="159"/>
      <c r="C19" s="148" t="s">
        <v>4</v>
      </c>
      <c r="D19" s="191"/>
      <c r="E19" s="166"/>
      <c r="F19" s="219" t="s">
        <v>929</v>
      </c>
      <c r="G19" s="191"/>
      <c r="H19" s="191"/>
      <c r="I19" s="191"/>
      <c r="J19" s="191"/>
      <c r="K19" s="191"/>
      <c r="L19" s="191"/>
      <c r="M19" s="166"/>
      <c r="O19" s="158"/>
    </row>
    <row r="20" spans="2:15" x14ac:dyDescent="0.25">
      <c r="B20" s="159"/>
      <c r="C20" s="219" t="s">
        <v>5</v>
      </c>
      <c r="D20" s="191"/>
      <c r="E20" s="166"/>
      <c r="F20" s="219" t="s">
        <v>802</v>
      </c>
      <c r="G20" s="191"/>
      <c r="H20" s="191"/>
      <c r="I20" s="191"/>
      <c r="J20" s="191"/>
      <c r="K20" s="191"/>
      <c r="L20" s="191"/>
      <c r="M20" s="166"/>
      <c r="O20" s="158"/>
    </row>
    <row r="21" spans="2:15" x14ac:dyDescent="0.25">
      <c r="B21" s="159"/>
      <c r="C21" s="148" t="s">
        <v>6</v>
      </c>
      <c r="D21" s="191"/>
      <c r="E21" s="166"/>
      <c r="F21" s="219" t="s">
        <v>803</v>
      </c>
      <c r="G21" s="191"/>
      <c r="H21" s="191"/>
      <c r="I21" s="191"/>
      <c r="J21" s="191"/>
      <c r="K21" s="191"/>
      <c r="L21" s="191"/>
      <c r="M21" s="166"/>
      <c r="O21" s="158"/>
    </row>
    <row r="22" spans="2:15" x14ac:dyDescent="0.25">
      <c r="B22" s="159"/>
      <c r="C22" s="148" t="s">
        <v>7</v>
      </c>
      <c r="D22" s="191"/>
      <c r="E22" s="166"/>
      <c r="F22" s="219" t="s">
        <v>928</v>
      </c>
      <c r="G22" s="191"/>
      <c r="H22" s="191"/>
      <c r="I22" s="191"/>
      <c r="J22" s="191"/>
      <c r="K22" s="191"/>
      <c r="L22" s="191"/>
      <c r="M22" s="166"/>
      <c r="O22" s="158"/>
    </row>
    <row r="23" spans="2:15" x14ac:dyDescent="0.25">
      <c r="B23" s="160"/>
      <c r="C23" s="161"/>
      <c r="D23" s="161"/>
      <c r="E23" s="161"/>
      <c r="F23" s="161"/>
      <c r="G23" s="161"/>
      <c r="H23" s="161"/>
      <c r="I23" s="161"/>
      <c r="J23" s="161"/>
      <c r="K23" s="161"/>
      <c r="L23" s="161"/>
      <c r="M23" s="161"/>
      <c r="N23" s="161"/>
      <c r="O23" s="162"/>
    </row>
  </sheetData>
  <sheetProtection algorithmName="SHA-512" hashValue="Z86UN4I6rSuhLyx+yHRfQ3aLW+HiMzzFxPk5nbvbwi8d9/TMFzdzmu61/Soi3Srzzeq6GnRl1wD/wzYUqJ1Obw==" saltValue="r91vSHXB5YaYApd1ASDGrA==" spinCount="100000" sheet="1" objects="1" scenarios="1"/>
  <pageMargins left="0.23622047244094491" right="0.23622047244094491" top="0.74803149606299213" bottom="0.74803149606299213" header="0.31496062992125984" footer="0.31496062992125984"/>
  <pageSetup paperSize="9" scale="91"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B2632-F762-4AC8-85D8-C18B05BB71B4}">
  <sheetPr>
    <tabColor theme="1"/>
  </sheetPr>
  <dimension ref="A1:X102"/>
  <sheetViews>
    <sheetView showGridLines="0" zoomScale="80" zoomScaleNormal="80" workbookViewId="0"/>
  </sheetViews>
  <sheetFormatPr defaultColWidth="8.5703125" defaultRowHeight="15" x14ac:dyDescent="0.25"/>
  <cols>
    <col min="1" max="1" width="13.5703125" customWidth="1"/>
    <col min="2" max="2" width="32.5703125" customWidth="1"/>
    <col min="3" max="4" width="12.85546875" customWidth="1"/>
    <col min="5" max="6" width="11.85546875" customWidth="1"/>
    <col min="7" max="7" width="10.42578125" style="350"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140625" bestFit="1" customWidth="1"/>
    <col min="23" max="23" width="10" customWidth="1"/>
  </cols>
  <sheetData>
    <row r="1" spans="1:24" ht="21" customHeight="1" x14ac:dyDescent="0.25">
      <c r="A1" s="603" t="s">
        <v>890</v>
      </c>
      <c r="B1" s="603"/>
      <c r="C1" s="603"/>
      <c r="D1" s="603"/>
      <c r="E1" s="603"/>
      <c r="F1" s="603"/>
      <c r="G1" s="603"/>
      <c r="H1" s="603"/>
      <c r="I1" s="603"/>
      <c r="J1" s="603"/>
      <c r="K1" s="603"/>
      <c r="L1" s="603"/>
      <c r="M1" s="603"/>
    </row>
    <row r="2" spans="1:24" ht="14.45" customHeight="1" thickBot="1" x14ac:dyDescent="0.3">
      <c r="A2" s="128"/>
      <c r="B2" s="128"/>
      <c r="C2" s="128"/>
      <c r="D2" s="128"/>
      <c r="E2" s="128"/>
      <c r="F2" s="128"/>
      <c r="G2" s="128"/>
      <c r="H2" s="128"/>
      <c r="I2" s="128"/>
      <c r="J2" s="128"/>
      <c r="K2" s="128"/>
      <c r="L2" s="128"/>
      <c r="M2" s="128"/>
    </row>
    <row r="3" spans="1:24" ht="14.45" customHeight="1" x14ac:dyDescent="0.25">
      <c r="A3" s="128"/>
      <c r="B3" s="604" t="s">
        <v>119</v>
      </c>
      <c r="C3" s="605"/>
      <c r="D3" s="128"/>
      <c r="E3" s="128"/>
      <c r="F3" s="128"/>
      <c r="G3" s="128"/>
      <c r="H3" s="128"/>
      <c r="I3" s="128"/>
      <c r="J3" s="128"/>
      <c r="K3" s="128"/>
      <c r="L3" s="128"/>
      <c r="M3" s="128"/>
    </row>
    <row r="4" spans="1:24" ht="14.45" customHeight="1" x14ac:dyDescent="0.25">
      <c r="A4" s="128"/>
      <c r="B4" s="606" t="s">
        <v>891</v>
      </c>
      <c r="C4" s="607" t="s">
        <v>892</v>
      </c>
      <c r="D4" s="608" t="s">
        <v>893</v>
      </c>
      <c r="E4" s="128"/>
      <c r="F4" s="128"/>
      <c r="G4" s="128"/>
      <c r="H4" s="128"/>
      <c r="I4" s="128"/>
      <c r="J4" s="128"/>
      <c r="K4" s="128"/>
      <c r="L4" s="128"/>
      <c r="M4" s="128"/>
    </row>
    <row r="5" spans="1:24" ht="14.45" customHeight="1" x14ac:dyDescent="0.25">
      <c r="A5" s="128"/>
      <c r="B5" s="606" t="s">
        <v>894</v>
      </c>
      <c r="C5" s="609">
        <v>9100</v>
      </c>
      <c r="D5" s="128"/>
      <c r="E5" s="128"/>
      <c r="F5" s="128"/>
      <c r="G5" s="128"/>
      <c r="H5" s="128"/>
      <c r="I5" s="128"/>
      <c r="J5" s="128"/>
      <c r="K5" s="128"/>
      <c r="L5" s="128"/>
      <c r="M5" s="128"/>
    </row>
    <row r="6" spans="1:24" ht="14.45" customHeight="1" x14ac:dyDescent="0.25">
      <c r="A6" s="128"/>
      <c r="B6" s="606" t="s">
        <v>895</v>
      </c>
      <c r="C6" s="610">
        <v>0.13800000000000001</v>
      </c>
      <c r="D6" s="128"/>
      <c r="E6" s="128"/>
      <c r="F6" s="128"/>
      <c r="G6" s="128"/>
      <c r="H6" s="128"/>
      <c r="I6" s="128"/>
      <c r="J6" s="128"/>
      <c r="K6" s="128"/>
      <c r="L6" s="128"/>
      <c r="M6" s="128"/>
    </row>
    <row r="7" spans="1:24" ht="14.45" customHeight="1" x14ac:dyDescent="0.25">
      <c r="A7" s="128"/>
      <c r="B7" s="606" t="s">
        <v>896</v>
      </c>
      <c r="C7" s="610">
        <v>0.23780000000000001</v>
      </c>
      <c r="D7" s="128"/>
      <c r="E7" s="128"/>
      <c r="F7" s="128"/>
      <c r="G7" s="128"/>
      <c r="H7" s="128"/>
      <c r="I7" s="128"/>
      <c r="J7" s="128"/>
      <c r="K7" s="128"/>
      <c r="L7" s="128"/>
      <c r="M7" s="128"/>
    </row>
    <row r="8" spans="1:24" ht="14.45" customHeight="1" x14ac:dyDescent="0.25">
      <c r="A8" s="128"/>
      <c r="B8" s="606" t="s">
        <v>897</v>
      </c>
      <c r="C8" s="610">
        <v>5.0000000000000001E-3</v>
      </c>
      <c r="D8" s="128"/>
      <c r="E8" s="128"/>
      <c r="F8" s="128"/>
      <c r="G8" s="128"/>
      <c r="H8" s="128"/>
      <c r="I8" s="128"/>
      <c r="J8" s="128"/>
      <c r="K8" s="128"/>
      <c r="L8" s="128"/>
      <c r="M8" s="128"/>
    </row>
    <row r="9" spans="1:24" ht="14.45" customHeight="1" thickBot="1" x14ac:dyDescent="0.3">
      <c r="A9" s="128"/>
      <c r="B9" s="611" t="s">
        <v>898</v>
      </c>
      <c r="C9" s="612">
        <v>0</v>
      </c>
      <c r="D9" s="128"/>
      <c r="E9" s="128"/>
      <c r="F9" s="128"/>
      <c r="G9" s="128"/>
      <c r="H9" s="128"/>
      <c r="I9" s="128"/>
      <c r="J9" s="128"/>
      <c r="K9" s="128"/>
      <c r="L9" s="128"/>
      <c r="M9" s="128"/>
      <c r="R9" s="613"/>
    </row>
    <row r="10" spans="1:24" ht="15.75" thickBot="1" x14ac:dyDescent="0.3">
      <c r="P10" s="614"/>
      <c r="R10" s="614"/>
    </row>
    <row r="11" spans="1:24" ht="109.5" customHeight="1" thickBot="1" x14ac:dyDescent="0.3">
      <c r="A11" s="615" t="s">
        <v>673</v>
      </c>
      <c r="B11" s="616" t="s">
        <v>899</v>
      </c>
      <c r="C11" s="617" t="s">
        <v>900</v>
      </c>
      <c r="D11" s="617" t="s">
        <v>901</v>
      </c>
      <c r="E11" s="617" t="s">
        <v>902</v>
      </c>
      <c r="F11" s="617" t="s">
        <v>903</v>
      </c>
      <c r="G11" s="618" t="s">
        <v>904</v>
      </c>
      <c r="H11" s="617" t="s">
        <v>905</v>
      </c>
      <c r="I11" s="619" t="s">
        <v>906</v>
      </c>
      <c r="J11" s="620" t="s">
        <v>907</v>
      </c>
      <c r="K11" s="621" t="s">
        <v>676</v>
      </c>
      <c r="L11" s="622" t="s">
        <v>674</v>
      </c>
      <c r="M11" s="623" t="s">
        <v>675</v>
      </c>
      <c r="O11" t="s">
        <v>892</v>
      </c>
      <c r="P11" t="s">
        <v>908</v>
      </c>
      <c r="Q11" t="s">
        <v>909</v>
      </c>
      <c r="R11" t="s">
        <v>910</v>
      </c>
    </row>
    <row r="12" spans="1:24" x14ac:dyDescent="0.25">
      <c r="A12" s="624">
        <v>2</v>
      </c>
      <c r="B12" s="625" t="s">
        <v>677</v>
      </c>
      <c r="C12" s="626">
        <f>HLOOKUP($C$4,$O$11:$R$41,2,FALSE)</f>
        <v>23615</v>
      </c>
      <c r="D12" s="626">
        <f>C12*$C$9</f>
        <v>0</v>
      </c>
      <c r="E12" s="626">
        <f>C12*(100%+$C$9)</f>
        <v>23615</v>
      </c>
      <c r="F12" s="626">
        <f>(E12-$C$5)*$C$6</f>
        <v>2003.0700000000002</v>
      </c>
      <c r="G12" s="627">
        <f>E12*$C$8</f>
        <v>118.075</v>
      </c>
      <c r="H12" s="626">
        <f>E12*$C$7</f>
        <v>5615.6469999999999</v>
      </c>
      <c r="I12" s="628">
        <f>SUM(E12:H12)</f>
        <v>31351.792000000001</v>
      </c>
      <c r="J12" s="629">
        <v>1560</v>
      </c>
      <c r="K12" s="630">
        <f>ROUND(I12/J12,2)</f>
        <v>20.100000000000001</v>
      </c>
      <c r="L12" s="631">
        <v>0.41</v>
      </c>
      <c r="M12" s="632">
        <v>0.83</v>
      </c>
      <c r="O12" s="613">
        <v>23615</v>
      </c>
      <c r="P12" s="266">
        <v>29029</v>
      </c>
      <c r="Q12">
        <v>28166</v>
      </c>
      <c r="R12">
        <v>24873</v>
      </c>
      <c r="V12" s="170"/>
      <c r="W12" s="280"/>
      <c r="X12" s="156"/>
    </row>
    <row r="13" spans="1:24" x14ac:dyDescent="0.25">
      <c r="A13" s="360">
        <v>2</v>
      </c>
      <c r="B13" s="354" t="s">
        <v>678</v>
      </c>
      <c r="C13" s="351">
        <v>23615</v>
      </c>
      <c r="D13" s="351">
        <f t="shared" ref="D13:D47" si="0">C13*$C$9</f>
        <v>0</v>
      </c>
      <c r="E13" s="351">
        <f t="shared" ref="E13:E47" si="1">C13*(100%+$C$9)</f>
        <v>23615</v>
      </c>
      <c r="F13" s="351">
        <f t="shared" ref="F13:F47" si="2">(E13-$C$5)*$C$6</f>
        <v>2003.0700000000002</v>
      </c>
      <c r="G13" s="355">
        <f t="shared" ref="G13:G47" si="3">E13*$C$8</f>
        <v>118.075</v>
      </c>
      <c r="H13" s="351">
        <f t="shared" ref="H13:H47" si="4">E13*$C$7</f>
        <v>5615.6469999999999</v>
      </c>
      <c r="I13" s="628">
        <f t="shared" ref="I13:I47" si="5">SUM(E13:H13)</f>
        <v>31351.792000000001</v>
      </c>
      <c r="J13" s="127">
        <v>1560</v>
      </c>
      <c r="K13" s="630">
        <f t="shared" ref="K13:K47" si="6">ROUND(I13/J13,2)</f>
        <v>20.100000000000001</v>
      </c>
      <c r="L13" s="352">
        <v>0.41</v>
      </c>
      <c r="M13" s="633">
        <v>0.83</v>
      </c>
      <c r="O13" s="613">
        <v>23615</v>
      </c>
      <c r="P13" s="266">
        <v>29029</v>
      </c>
      <c r="Q13">
        <v>28166</v>
      </c>
      <c r="R13">
        <v>24873</v>
      </c>
      <c r="V13" s="402" t="s">
        <v>711</v>
      </c>
      <c r="X13" s="158"/>
    </row>
    <row r="14" spans="1:24" x14ac:dyDescent="0.25">
      <c r="A14" s="360">
        <v>3</v>
      </c>
      <c r="B14" s="354" t="s">
        <v>679</v>
      </c>
      <c r="C14" s="351">
        <f>HLOOKUP($C$4,$O$11:$R$41,4,FALSE)</f>
        <v>24071</v>
      </c>
      <c r="D14" s="351">
        <f t="shared" si="0"/>
        <v>0</v>
      </c>
      <c r="E14" s="351">
        <f t="shared" si="1"/>
        <v>24071</v>
      </c>
      <c r="F14" s="351">
        <f t="shared" si="2"/>
        <v>2065.998</v>
      </c>
      <c r="G14" s="355">
        <f t="shared" si="3"/>
        <v>120.355</v>
      </c>
      <c r="H14" s="351">
        <f t="shared" si="4"/>
        <v>5724.0838000000003</v>
      </c>
      <c r="I14" s="628">
        <f t="shared" si="5"/>
        <v>31981.436799999999</v>
      </c>
      <c r="J14" s="127">
        <v>1560</v>
      </c>
      <c r="K14" s="630">
        <f t="shared" si="6"/>
        <v>20.5</v>
      </c>
      <c r="L14" s="352">
        <v>0.35</v>
      </c>
      <c r="M14" s="633">
        <v>0.69</v>
      </c>
      <c r="O14" s="613">
        <v>24071</v>
      </c>
      <c r="P14" s="266">
        <v>29485</v>
      </c>
      <c r="Q14">
        <v>28622</v>
      </c>
      <c r="R14">
        <v>25329</v>
      </c>
      <c r="S14" t="s">
        <v>892</v>
      </c>
      <c r="V14" s="403" t="s">
        <v>712</v>
      </c>
      <c r="W14">
        <v>260</v>
      </c>
      <c r="X14" s="158"/>
    </row>
    <row r="15" spans="1:24" x14ac:dyDescent="0.25">
      <c r="A15" s="360">
        <v>3</v>
      </c>
      <c r="B15" s="354" t="s">
        <v>680</v>
      </c>
      <c r="C15" s="351">
        <f>HLOOKUP($C$4,$O$11:$R$41,5,FALSE)</f>
        <v>25674</v>
      </c>
      <c r="D15" s="351">
        <f t="shared" si="0"/>
        <v>0</v>
      </c>
      <c r="E15" s="351">
        <f t="shared" si="1"/>
        <v>25674</v>
      </c>
      <c r="F15" s="351">
        <f t="shared" si="2"/>
        <v>2287.212</v>
      </c>
      <c r="G15" s="355">
        <f t="shared" si="3"/>
        <v>128.37</v>
      </c>
      <c r="H15" s="351">
        <f t="shared" si="4"/>
        <v>6105.2772000000004</v>
      </c>
      <c r="I15" s="628">
        <f t="shared" si="5"/>
        <v>34194.859199999999</v>
      </c>
      <c r="J15" s="127">
        <v>1560</v>
      </c>
      <c r="K15" s="630">
        <f t="shared" si="6"/>
        <v>21.92</v>
      </c>
      <c r="L15" s="352">
        <v>0.35</v>
      </c>
      <c r="M15" s="633">
        <v>0.69</v>
      </c>
      <c r="O15" s="613">
        <v>25674</v>
      </c>
      <c r="P15" s="266">
        <v>31088</v>
      </c>
      <c r="Q15">
        <v>30225</v>
      </c>
      <c r="R15">
        <v>26958</v>
      </c>
      <c r="S15" t="s">
        <v>911</v>
      </c>
      <c r="V15" s="403" t="s">
        <v>713</v>
      </c>
      <c r="W15">
        <v>-40</v>
      </c>
      <c r="X15" s="158"/>
    </row>
    <row r="16" spans="1:24" x14ac:dyDescent="0.25">
      <c r="A16" s="360">
        <v>4</v>
      </c>
      <c r="B16" s="354" t="s">
        <v>681</v>
      </c>
      <c r="C16" s="351">
        <f>HLOOKUP($C$4,$O$11:$R$41,6,FALSE)</f>
        <v>26530</v>
      </c>
      <c r="D16" s="351">
        <f t="shared" si="0"/>
        <v>0</v>
      </c>
      <c r="E16" s="351">
        <f t="shared" si="1"/>
        <v>26530</v>
      </c>
      <c r="F16" s="351">
        <f t="shared" si="2"/>
        <v>2405.34</v>
      </c>
      <c r="G16" s="355">
        <f t="shared" si="3"/>
        <v>132.65</v>
      </c>
      <c r="H16" s="351">
        <f t="shared" si="4"/>
        <v>6308.8340000000007</v>
      </c>
      <c r="I16" s="628">
        <f t="shared" si="5"/>
        <v>35376.824000000001</v>
      </c>
      <c r="J16" s="127">
        <v>1560</v>
      </c>
      <c r="K16" s="630">
        <f t="shared" si="6"/>
        <v>22.68</v>
      </c>
      <c r="L16" s="352">
        <v>0.3</v>
      </c>
      <c r="M16" s="633">
        <v>0.6</v>
      </c>
      <c r="O16" s="613">
        <v>26530</v>
      </c>
      <c r="P16" s="266">
        <v>31944</v>
      </c>
      <c r="Q16">
        <v>31081</v>
      </c>
      <c r="R16">
        <v>27857</v>
      </c>
      <c r="S16" t="s">
        <v>912</v>
      </c>
      <c r="V16" s="403" t="s">
        <v>714</v>
      </c>
      <c r="W16">
        <v>-2</v>
      </c>
      <c r="X16" s="158"/>
    </row>
    <row r="17" spans="1:24" x14ac:dyDescent="0.25">
      <c r="A17" s="360">
        <v>4</v>
      </c>
      <c r="B17" s="354" t="s">
        <v>682</v>
      </c>
      <c r="C17" s="351">
        <f>HLOOKUP($C$4,$O$11:$R$41,7,FALSE)</f>
        <v>29114</v>
      </c>
      <c r="D17" s="351">
        <f t="shared" si="0"/>
        <v>0</v>
      </c>
      <c r="E17" s="351">
        <f t="shared" si="1"/>
        <v>29114</v>
      </c>
      <c r="F17" s="351">
        <f t="shared" si="2"/>
        <v>2761.9320000000002</v>
      </c>
      <c r="G17" s="355">
        <f t="shared" si="3"/>
        <v>145.57</v>
      </c>
      <c r="H17" s="351">
        <f t="shared" si="4"/>
        <v>6923.3092000000006</v>
      </c>
      <c r="I17" s="628">
        <f t="shared" si="5"/>
        <v>38944.811200000004</v>
      </c>
      <c r="J17" s="127">
        <v>1560</v>
      </c>
      <c r="K17" s="630">
        <f t="shared" si="6"/>
        <v>24.96</v>
      </c>
      <c r="L17" s="352">
        <v>0.3</v>
      </c>
      <c r="M17" s="633">
        <v>0.6</v>
      </c>
      <c r="O17" s="613">
        <v>29114</v>
      </c>
      <c r="P17" s="266">
        <v>34937</v>
      </c>
      <c r="Q17">
        <v>33665</v>
      </c>
      <c r="R17">
        <v>30570</v>
      </c>
      <c r="S17" t="s">
        <v>913</v>
      </c>
      <c r="V17" s="403" t="s">
        <v>715</v>
      </c>
      <c r="W17">
        <v>-10</v>
      </c>
      <c r="X17" s="158"/>
    </row>
    <row r="18" spans="1:24" x14ac:dyDescent="0.25">
      <c r="A18" s="360">
        <v>5</v>
      </c>
      <c r="B18" s="354" t="s">
        <v>683</v>
      </c>
      <c r="C18" s="351">
        <f>HLOOKUP($C$4,$O$11:$R$41,8,FALSE)</f>
        <v>29970</v>
      </c>
      <c r="D18" s="351">
        <f t="shared" si="0"/>
        <v>0</v>
      </c>
      <c r="E18" s="351">
        <f t="shared" si="1"/>
        <v>29970</v>
      </c>
      <c r="F18" s="351">
        <f t="shared" si="2"/>
        <v>2880.0600000000004</v>
      </c>
      <c r="G18" s="355">
        <f t="shared" si="3"/>
        <v>149.85</v>
      </c>
      <c r="H18" s="351">
        <f t="shared" si="4"/>
        <v>7126.866</v>
      </c>
      <c r="I18" s="628">
        <f t="shared" si="5"/>
        <v>40126.775999999998</v>
      </c>
      <c r="J18" s="127">
        <v>1560</v>
      </c>
      <c r="K18" s="630">
        <f t="shared" si="6"/>
        <v>25.72</v>
      </c>
      <c r="L18" s="352">
        <v>0.3</v>
      </c>
      <c r="M18" s="633">
        <v>0.6</v>
      </c>
      <c r="O18" s="613">
        <v>29970</v>
      </c>
      <c r="P18" s="266">
        <v>35964</v>
      </c>
      <c r="Q18">
        <v>34521</v>
      </c>
      <c r="R18">
        <v>31469</v>
      </c>
      <c r="V18" s="403"/>
      <c r="W18" s="280">
        <v>208</v>
      </c>
      <c r="X18" s="158"/>
    </row>
    <row r="19" spans="1:24" x14ac:dyDescent="0.25">
      <c r="A19" s="360">
        <v>5</v>
      </c>
      <c r="B19" s="354" t="s">
        <v>65</v>
      </c>
      <c r="C19" s="351">
        <f>HLOOKUP($C$4,$O$11:$R$41,9,FALSE)</f>
        <v>32324</v>
      </c>
      <c r="D19" s="351">
        <f t="shared" si="0"/>
        <v>0</v>
      </c>
      <c r="E19" s="351">
        <f t="shared" si="1"/>
        <v>32324</v>
      </c>
      <c r="F19" s="351">
        <f t="shared" si="2"/>
        <v>3204.9120000000003</v>
      </c>
      <c r="G19" s="355">
        <f t="shared" si="3"/>
        <v>161.62</v>
      </c>
      <c r="H19" s="351">
        <f t="shared" si="4"/>
        <v>7686.6472000000003</v>
      </c>
      <c r="I19" s="628">
        <f t="shared" si="5"/>
        <v>43377.179199999999</v>
      </c>
      <c r="J19" s="127">
        <v>1560</v>
      </c>
      <c r="K19" s="630">
        <f t="shared" si="6"/>
        <v>27.81</v>
      </c>
      <c r="L19" s="352">
        <v>0.3</v>
      </c>
      <c r="M19" s="633">
        <v>0.6</v>
      </c>
      <c r="O19" s="613">
        <v>32324</v>
      </c>
      <c r="P19" s="266">
        <v>38789</v>
      </c>
      <c r="Q19">
        <v>37173</v>
      </c>
      <c r="R19">
        <v>33941</v>
      </c>
      <c r="V19" s="403" t="s">
        <v>716</v>
      </c>
      <c r="W19" s="301">
        <f>7.5*W18</f>
        <v>1560</v>
      </c>
      <c r="X19" s="158"/>
    </row>
    <row r="20" spans="1:24" x14ac:dyDescent="0.25">
      <c r="A20" s="360">
        <v>5</v>
      </c>
      <c r="B20" s="354" t="s">
        <v>684</v>
      </c>
      <c r="C20" s="351">
        <f>HLOOKUP($C$4,$O$11:$R$41,10,FALSE)</f>
        <v>36483</v>
      </c>
      <c r="D20" s="351">
        <f t="shared" si="0"/>
        <v>0</v>
      </c>
      <c r="E20" s="351">
        <f t="shared" si="1"/>
        <v>36483</v>
      </c>
      <c r="F20" s="351">
        <f t="shared" si="2"/>
        <v>3778.8540000000003</v>
      </c>
      <c r="G20" s="355">
        <f t="shared" si="3"/>
        <v>182.41499999999999</v>
      </c>
      <c r="H20" s="351">
        <f t="shared" si="4"/>
        <v>8675.6574000000001</v>
      </c>
      <c r="I20" s="628">
        <f t="shared" si="5"/>
        <v>49119.926399999997</v>
      </c>
      <c r="J20" s="127">
        <v>1560</v>
      </c>
      <c r="K20" s="630">
        <f t="shared" si="6"/>
        <v>31.49</v>
      </c>
      <c r="L20" s="352">
        <v>0.3</v>
      </c>
      <c r="M20" s="633">
        <v>0.6</v>
      </c>
      <c r="O20" s="613">
        <v>36483</v>
      </c>
      <c r="P20" s="266">
        <v>43780</v>
      </c>
      <c r="Q20">
        <v>41956</v>
      </c>
      <c r="R20">
        <v>38308</v>
      </c>
      <c r="V20" s="159"/>
      <c r="X20" s="158"/>
    </row>
    <row r="21" spans="1:24" x14ac:dyDescent="0.25">
      <c r="A21" s="360">
        <v>6</v>
      </c>
      <c r="B21" s="354" t="s">
        <v>685</v>
      </c>
      <c r="C21" s="351">
        <f>HLOOKUP($C$4,$O$11:$R$41,11,FALSE)</f>
        <v>37338</v>
      </c>
      <c r="D21" s="351">
        <f t="shared" si="0"/>
        <v>0</v>
      </c>
      <c r="E21" s="351">
        <f t="shared" si="1"/>
        <v>37338</v>
      </c>
      <c r="F21" s="351">
        <f t="shared" si="2"/>
        <v>3896.8440000000005</v>
      </c>
      <c r="G21" s="355">
        <f t="shared" si="3"/>
        <v>186.69</v>
      </c>
      <c r="H21" s="351">
        <f t="shared" si="4"/>
        <v>8878.9763999999996</v>
      </c>
      <c r="I21" s="628">
        <f t="shared" si="5"/>
        <v>50300.510399999999</v>
      </c>
      <c r="J21" s="127">
        <v>1560</v>
      </c>
      <c r="K21" s="630">
        <f t="shared" si="6"/>
        <v>32.24</v>
      </c>
      <c r="L21" s="352">
        <v>0.3</v>
      </c>
      <c r="M21" s="633">
        <v>0.6</v>
      </c>
      <c r="O21" s="613">
        <v>37338</v>
      </c>
      <c r="P21" s="266">
        <v>44806</v>
      </c>
      <c r="Q21">
        <v>42939</v>
      </c>
      <c r="R21">
        <v>39205</v>
      </c>
      <c r="V21" s="403"/>
      <c r="X21" s="158"/>
    </row>
    <row r="22" spans="1:24" x14ac:dyDescent="0.25">
      <c r="A22" s="360">
        <v>6</v>
      </c>
      <c r="B22" s="354" t="s">
        <v>68</v>
      </c>
      <c r="C22" s="351">
        <f>HLOOKUP($C$4,$O$11:$R$41,12,FALSE)</f>
        <v>39405</v>
      </c>
      <c r="D22" s="351">
        <f t="shared" si="0"/>
        <v>0</v>
      </c>
      <c r="E22" s="351">
        <f t="shared" si="1"/>
        <v>39405</v>
      </c>
      <c r="F22" s="351">
        <f t="shared" si="2"/>
        <v>4182.09</v>
      </c>
      <c r="G22" s="355">
        <f t="shared" si="3"/>
        <v>197.02500000000001</v>
      </c>
      <c r="H22" s="351">
        <f t="shared" si="4"/>
        <v>9370.509</v>
      </c>
      <c r="I22" s="628">
        <f t="shared" si="5"/>
        <v>53154.623999999996</v>
      </c>
      <c r="J22" s="127">
        <v>1560</v>
      </c>
      <c r="K22" s="630">
        <f t="shared" si="6"/>
        <v>34.07</v>
      </c>
      <c r="L22" s="352">
        <v>0.3</v>
      </c>
      <c r="M22" s="633">
        <v>0.6</v>
      </c>
      <c r="O22" s="613">
        <v>39405</v>
      </c>
      <c r="P22" s="266">
        <v>47286</v>
      </c>
      <c r="Q22">
        <v>45140</v>
      </c>
      <c r="R22">
        <v>41376</v>
      </c>
      <c r="V22" s="402" t="s">
        <v>703</v>
      </c>
      <c r="X22" s="158"/>
    </row>
    <row r="23" spans="1:24" x14ac:dyDescent="0.25">
      <c r="A23" s="360">
        <v>6</v>
      </c>
      <c r="B23" s="354" t="s">
        <v>686</v>
      </c>
      <c r="C23" s="351">
        <f>HLOOKUP($C$4,$O$11:$R$41,13,FALSE)</f>
        <v>44962</v>
      </c>
      <c r="D23" s="351">
        <f t="shared" si="0"/>
        <v>0</v>
      </c>
      <c r="E23" s="351">
        <f t="shared" si="1"/>
        <v>44962</v>
      </c>
      <c r="F23" s="351">
        <f t="shared" si="2"/>
        <v>4948.9560000000001</v>
      </c>
      <c r="G23" s="355">
        <f t="shared" si="3"/>
        <v>224.81</v>
      </c>
      <c r="H23" s="351">
        <f t="shared" si="4"/>
        <v>10691.963600000001</v>
      </c>
      <c r="I23" s="628">
        <f t="shared" si="5"/>
        <v>60827.729599999999</v>
      </c>
      <c r="J23" s="127">
        <v>1560</v>
      </c>
      <c r="K23" s="630">
        <f t="shared" si="6"/>
        <v>38.99</v>
      </c>
      <c r="L23" s="352">
        <v>0.3</v>
      </c>
      <c r="M23" s="633">
        <v>0.6</v>
      </c>
      <c r="O23" s="613">
        <v>44962</v>
      </c>
      <c r="P23" s="266">
        <v>53134</v>
      </c>
      <c r="Q23">
        <v>50697</v>
      </c>
      <c r="R23">
        <v>47084</v>
      </c>
      <c r="V23" s="403" t="s">
        <v>720</v>
      </c>
      <c r="W23">
        <v>43</v>
      </c>
      <c r="X23" s="158"/>
    </row>
    <row r="24" spans="1:24" x14ac:dyDescent="0.25">
      <c r="A24" s="360">
        <v>7</v>
      </c>
      <c r="B24" s="354" t="s">
        <v>687</v>
      </c>
      <c r="C24" s="351">
        <f>HLOOKUP($C$4,$O$11:$R$41,14,FALSE)</f>
        <v>46148</v>
      </c>
      <c r="D24" s="351">
        <f t="shared" si="0"/>
        <v>0</v>
      </c>
      <c r="E24" s="351">
        <f t="shared" si="1"/>
        <v>46148</v>
      </c>
      <c r="F24" s="351">
        <f t="shared" si="2"/>
        <v>5112.6240000000007</v>
      </c>
      <c r="G24" s="355">
        <f t="shared" si="3"/>
        <v>230.74</v>
      </c>
      <c r="H24" s="351">
        <f t="shared" si="4"/>
        <v>10973.994400000001</v>
      </c>
      <c r="I24" s="628">
        <f t="shared" si="5"/>
        <v>62465.358400000005</v>
      </c>
      <c r="J24" s="127">
        <v>1560</v>
      </c>
      <c r="K24" s="630">
        <f t="shared" si="6"/>
        <v>40.04</v>
      </c>
      <c r="L24" s="352">
        <v>0.3</v>
      </c>
      <c r="M24" s="633">
        <v>0.6</v>
      </c>
      <c r="O24" s="613">
        <v>46148</v>
      </c>
      <c r="P24" s="266">
        <v>54320</v>
      </c>
      <c r="Q24">
        <v>51883</v>
      </c>
      <c r="R24">
        <v>48270</v>
      </c>
      <c r="V24" s="403"/>
      <c r="X24" s="158"/>
    </row>
    <row r="25" spans="1:24" x14ac:dyDescent="0.25">
      <c r="A25" s="360">
        <v>7</v>
      </c>
      <c r="B25" s="354" t="s">
        <v>64</v>
      </c>
      <c r="C25" s="351">
        <f>HLOOKUP($C$4,$O$11:$R$41,15,FALSE)</f>
        <v>48526</v>
      </c>
      <c r="D25" s="351">
        <f t="shared" si="0"/>
        <v>0</v>
      </c>
      <c r="E25" s="351">
        <f t="shared" si="1"/>
        <v>48526</v>
      </c>
      <c r="F25" s="351">
        <f t="shared" si="2"/>
        <v>5440.7880000000005</v>
      </c>
      <c r="G25" s="355">
        <f t="shared" si="3"/>
        <v>242.63</v>
      </c>
      <c r="H25" s="351">
        <f t="shared" si="4"/>
        <v>11539.4828</v>
      </c>
      <c r="I25" s="628">
        <f t="shared" si="5"/>
        <v>65748.900800000003</v>
      </c>
      <c r="J25" s="127">
        <v>1560</v>
      </c>
      <c r="K25" s="630">
        <f t="shared" si="6"/>
        <v>42.15</v>
      </c>
      <c r="L25" s="352">
        <v>0.3</v>
      </c>
      <c r="M25" s="633">
        <v>0.6</v>
      </c>
      <c r="O25" s="613">
        <v>48526</v>
      </c>
      <c r="P25" s="266">
        <v>56698</v>
      </c>
      <c r="Q25">
        <v>54261</v>
      </c>
      <c r="R25">
        <v>50648</v>
      </c>
      <c r="V25" s="403" t="s">
        <v>717</v>
      </c>
      <c r="W25">
        <v>10</v>
      </c>
      <c r="X25" s="158"/>
    </row>
    <row r="26" spans="1:24" x14ac:dyDescent="0.25">
      <c r="A26" s="360">
        <v>7</v>
      </c>
      <c r="B26" s="354" t="s">
        <v>688</v>
      </c>
      <c r="C26" s="351">
        <f>HLOOKUP($C$4,$O$11:$R$41,16,FALSE)</f>
        <v>52809</v>
      </c>
      <c r="D26" s="351">
        <f t="shared" si="0"/>
        <v>0</v>
      </c>
      <c r="E26" s="351">
        <f t="shared" si="1"/>
        <v>52809</v>
      </c>
      <c r="F26" s="351">
        <f t="shared" si="2"/>
        <v>6031.8420000000006</v>
      </c>
      <c r="G26" s="355">
        <f t="shared" si="3"/>
        <v>264.04500000000002</v>
      </c>
      <c r="H26" s="351">
        <f t="shared" si="4"/>
        <v>12557.9802</v>
      </c>
      <c r="I26" s="628">
        <f t="shared" si="5"/>
        <v>71662.867200000008</v>
      </c>
      <c r="J26" s="127">
        <v>1560</v>
      </c>
      <c r="K26" s="630">
        <f t="shared" si="6"/>
        <v>45.94</v>
      </c>
      <c r="L26" s="352">
        <v>0.3</v>
      </c>
      <c r="M26" s="633">
        <v>0.6</v>
      </c>
      <c r="O26" s="613">
        <v>52809</v>
      </c>
      <c r="P26" s="266">
        <v>60981</v>
      </c>
      <c r="Q26">
        <v>58544</v>
      </c>
      <c r="R26">
        <v>54931</v>
      </c>
      <c r="V26" s="403" t="s">
        <v>718</v>
      </c>
      <c r="W26">
        <v>-2</v>
      </c>
      <c r="X26" s="158"/>
    </row>
    <row r="27" spans="1:24" x14ac:dyDescent="0.25">
      <c r="A27" s="360" t="s">
        <v>707</v>
      </c>
      <c r="B27" s="354" t="s">
        <v>689</v>
      </c>
      <c r="C27" s="351">
        <f>HLOOKUP($C$4,$O$11:$R$41,17,FALSE)</f>
        <v>53754.676500000001</v>
      </c>
      <c r="D27" s="351">
        <f t="shared" si="0"/>
        <v>0</v>
      </c>
      <c r="E27" s="351">
        <f t="shared" si="1"/>
        <v>53754.676500000001</v>
      </c>
      <c r="F27" s="351">
        <f t="shared" si="2"/>
        <v>6162.3453570000011</v>
      </c>
      <c r="G27" s="355">
        <f t="shared" si="3"/>
        <v>268.77338250000003</v>
      </c>
      <c r="H27" s="351">
        <f t="shared" si="4"/>
        <v>12782.862071700001</v>
      </c>
      <c r="I27" s="628">
        <f t="shared" si="5"/>
        <v>72968.657311200004</v>
      </c>
      <c r="J27" s="127">
        <v>1560</v>
      </c>
      <c r="K27" s="630">
        <f t="shared" si="6"/>
        <v>46.77</v>
      </c>
      <c r="L27" s="352">
        <v>0.3</v>
      </c>
      <c r="M27" s="633">
        <v>0.6</v>
      </c>
      <c r="O27" s="613">
        <v>53754.676500000001</v>
      </c>
      <c r="P27" s="266">
        <v>61927</v>
      </c>
      <c r="Q27">
        <v>59490</v>
      </c>
      <c r="R27">
        <v>55877</v>
      </c>
      <c r="V27" s="403"/>
      <c r="W27" s="280">
        <v>8</v>
      </c>
      <c r="X27" s="158"/>
    </row>
    <row r="28" spans="1:24" x14ac:dyDescent="0.25">
      <c r="A28" s="360" t="s">
        <v>707</v>
      </c>
      <c r="B28" s="354" t="s">
        <v>66</v>
      </c>
      <c r="C28" s="351">
        <f>HLOOKUP($C$4,$O$11:$R$41,18,FALSE)</f>
        <v>56454</v>
      </c>
      <c r="D28" s="351">
        <f t="shared" si="0"/>
        <v>0</v>
      </c>
      <c r="E28" s="351">
        <f t="shared" si="1"/>
        <v>56454</v>
      </c>
      <c r="F28" s="351">
        <f t="shared" si="2"/>
        <v>6534.8520000000008</v>
      </c>
      <c r="G28" s="355">
        <f t="shared" si="3"/>
        <v>282.27</v>
      </c>
      <c r="H28" s="351">
        <f t="shared" si="4"/>
        <v>13424.761200000001</v>
      </c>
      <c r="I28" s="628">
        <f t="shared" si="5"/>
        <v>76695.883199999997</v>
      </c>
      <c r="J28" s="127">
        <v>1560</v>
      </c>
      <c r="K28" s="630">
        <f t="shared" si="6"/>
        <v>49.16</v>
      </c>
      <c r="L28" s="352">
        <v>0.3</v>
      </c>
      <c r="M28" s="633">
        <v>0.6</v>
      </c>
      <c r="O28" s="613">
        <v>56454</v>
      </c>
      <c r="P28" s="266">
        <v>64626</v>
      </c>
      <c r="Q28">
        <v>62189</v>
      </c>
      <c r="R28">
        <v>58576</v>
      </c>
      <c r="V28" s="403" t="s">
        <v>719</v>
      </c>
      <c r="W28" s="301">
        <f>W27*4*W23</f>
        <v>1376</v>
      </c>
      <c r="X28" s="158"/>
    </row>
    <row r="29" spans="1:24" x14ac:dyDescent="0.25">
      <c r="A29" s="360" t="s">
        <v>707</v>
      </c>
      <c r="B29" s="354" t="s">
        <v>690</v>
      </c>
      <c r="C29" s="351">
        <f>HLOOKUP($C$4,$O$11:$R$41,19,FALSE)</f>
        <v>60504</v>
      </c>
      <c r="D29" s="351">
        <f t="shared" si="0"/>
        <v>0</v>
      </c>
      <c r="E29" s="351">
        <f t="shared" si="1"/>
        <v>60504</v>
      </c>
      <c r="F29" s="351">
        <f t="shared" si="2"/>
        <v>7093.7520000000004</v>
      </c>
      <c r="G29" s="355">
        <f t="shared" si="3"/>
        <v>302.52</v>
      </c>
      <c r="H29" s="351">
        <f t="shared" si="4"/>
        <v>14387.851200000001</v>
      </c>
      <c r="I29" s="628">
        <f t="shared" si="5"/>
        <v>82288.123200000016</v>
      </c>
      <c r="J29" s="127">
        <v>1560</v>
      </c>
      <c r="K29" s="630">
        <f t="shared" si="6"/>
        <v>52.75</v>
      </c>
      <c r="L29" s="352">
        <v>0.3</v>
      </c>
      <c r="M29" s="633">
        <v>0.6</v>
      </c>
      <c r="O29" s="613">
        <v>60504</v>
      </c>
      <c r="P29" s="266">
        <v>68676</v>
      </c>
      <c r="Q29">
        <v>66239</v>
      </c>
      <c r="R29">
        <v>62626</v>
      </c>
      <c r="V29" s="159"/>
      <c r="X29" s="158"/>
    </row>
    <row r="30" spans="1:24" x14ac:dyDescent="0.25">
      <c r="A30" s="360" t="s">
        <v>708</v>
      </c>
      <c r="B30" s="354" t="s">
        <v>691</v>
      </c>
      <c r="C30" s="351">
        <f>HLOOKUP($C$4,$O$11:$R$41,20,FALSE)</f>
        <v>62215</v>
      </c>
      <c r="D30" s="351">
        <f t="shared" si="0"/>
        <v>0</v>
      </c>
      <c r="E30" s="351">
        <f t="shared" si="1"/>
        <v>62215</v>
      </c>
      <c r="F30" s="351">
        <f t="shared" si="2"/>
        <v>7329.8700000000008</v>
      </c>
      <c r="G30" s="355">
        <f t="shared" si="3"/>
        <v>311.07499999999999</v>
      </c>
      <c r="H30" s="351">
        <f t="shared" si="4"/>
        <v>14794.727000000001</v>
      </c>
      <c r="I30" s="628">
        <f t="shared" si="5"/>
        <v>84650.671999999991</v>
      </c>
      <c r="J30" s="127">
        <v>1560</v>
      </c>
      <c r="K30" s="630">
        <f t="shared" si="6"/>
        <v>54.26</v>
      </c>
      <c r="L30" s="352">
        <v>0.3</v>
      </c>
      <c r="M30" s="633">
        <v>0.6</v>
      </c>
      <c r="O30" s="613">
        <v>62215</v>
      </c>
      <c r="P30" s="266">
        <v>70387</v>
      </c>
      <c r="Q30">
        <v>67950</v>
      </c>
      <c r="R30">
        <v>64337</v>
      </c>
      <c r="V30" s="403"/>
      <c r="X30" s="158"/>
    </row>
    <row r="31" spans="1:24" x14ac:dyDescent="0.25">
      <c r="A31" s="360" t="s">
        <v>708</v>
      </c>
      <c r="B31" s="354" t="s">
        <v>692</v>
      </c>
      <c r="C31" s="351">
        <f>HLOOKUP($C$4,$O$11:$R$41,21,FALSE)</f>
        <v>66246</v>
      </c>
      <c r="D31" s="351">
        <f t="shared" si="0"/>
        <v>0</v>
      </c>
      <c r="E31" s="351">
        <f t="shared" si="1"/>
        <v>66246</v>
      </c>
      <c r="F31" s="351">
        <f t="shared" si="2"/>
        <v>7886.148000000001</v>
      </c>
      <c r="G31" s="355">
        <f t="shared" si="3"/>
        <v>331.23</v>
      </c>
      <c r="H31" s="351">
        <f t="shared" si="4"/>
        <v>15753.2988</v>
      </c>
      <c r="I31" s="628">
        <f t="shared" si="5"/>
        <v>90216.676800000001</v>
      </c>
      <c r="J31" s="127">
        <v>1560</v>
      </c>
      <c r="K31" s="630">
        <f t="shared" si="6"/>
        <v>57.83</v>
      </c>
      <c r="L31" s="352">
        <v>0.3</v>
      </c>
      <c r="M31" s="633">
        <v>0.6</v>
      </c>
      <c r="O31" s="613">
        <v>66246</v>
      </c>
      <c r="P31" s="266">
        <v>74418</v>
      </c>
      <c r="Q31">
        <v>71981</v>
      </c>
      <c r="R31">
        <v>68368</v>
      </c>
      <c r="V31" s="402" t="s">
        <v>706</v>
      </c>
      <c r="X31" s="158"/>
    </row>
    <row r="32" spans="1:24" x14ac:dyDescent="0.25">
      <c r="A32" s="360" t="s">
        <v>708</v>
      </c>
      <c r="B32" s="354" t="s">
        <v>693</v>
      </c>
      <c r="C32" s="351">
        <f>HLOOKUP($C$4,$O$11:$R$41,22,FALSE)</f>
        <v>72293</v>
      </c>
      <c r="D32" s="351">
        <f t="shared" si="0"/>
        <v>0</v>
      </c>
      <c r="E32" s="351">
        <f t="shared" si="1"/>
        <v>72293</v>
      </c>
      <c r="F32" s="351">
        <f t="shared" si="2"/>
        <v>8720.634</v>
      </c>
      <c r="G32" s="355">
        <f t="shared" si="3"/>
        <v>361.46500000000003</v>
      </c>
      <c r="H32" s="351">
        <f t="shared" si="4"/>
        <v>17191.275400000002</v>
      </c>
      <c r="I32" s="628">
        <f t="shared" si="5"/>
        <v>98566.374400000001</v>
      </c>
      <c r="J32" s="127">
        <v>1560</v>
      </c>
      <c r="K32" s="630">
        <f t="shared" si="6"/>
        <v>63.18</v>
      </c>
      <c r="L32" s="352">
        <v>0.3</v>
      </c>
      <c r="M32" s="633">
        <v>0.6</v>
      </c>
      <c r="O32" s="613">
        <v>72293</v>
      </c>
      <c r="P32" s="266">
        <v>80465</v>
      </c>
      <c r="Q32">
        <v>78028</v>
      </c>
      <c r="R32">
        <v>74415</v>
      </c>
      <c r="V32" s="403" t="s">
        <v>721</v>
      </c>
      <c r="W32">
        <v>44.7</v>
      </c>
      <c r="X32" s="158"/>
    </row>
    <row r="33" spans="1:24" x14ac:dyDescent="0.25">
      <c r="A33" s="360" t="s">
        <v>709</v>
      </c>
      <c r="B33" s="354" t="s">
        <v>694</v>
      </c>
      <c r="C33" s="351">
        <f>HLOOKUP($C$4,$O$11:$R$41,23,FALSE)</f>
        <v>74290</v>
      </c>
      <c r="D33" s="351">
        <f t="shared" si="0"/>
        <v>0</v>
      </c>
      <c r="E33" s="351">
        <f t="shared" si="1"/>
        <v>74290</v>
      </c>
      <c r="F33" s="351">
        <f t="shared" si="2"/>
        <v>8996.2200000000012</v>
      </c>
      <c r="G33" s="355">
        <f t="shared" si="3"/>
        <v>371.45</v>
      </c>
      <c r="H33" s="351">
        <f t="shared" si="4"/>
        <v>17666.162</v>
      </c>
      <c r="I33" s="628">
        <f t="shared" si="5"/>
        <v>101323.83199999999</v>
      </c>
      <c r="J33" s="127">
        <v>1560</v>
      </c>
      <c r="K33" s="630">
        <f t="shared" si="6"/>
        <v>64.95</v>
      </c>
      <c r="L33" s="352">
        <v>0.3</v>
      </c>
      <c r="M33" s="633">
        <v>0.6</v>
      </c>
      <c r="O33" s="613">
        <v>74290</v>
      </c>
      <c r="P33" s="266">
        <v>82462</v>
      </c>
      <c r="Q33">
        <v>80025</v>
      </c>
      <c r="R33">
        <v>76412</v>
      </c>
      <c r="V33" s="403" t="s">
        <v>722</v>
      </c>
      <c r="W33">
        <v>48</v>
      </c>
      <c r="X33" s="158"/>
    </row>
    <row r="34" spans="1:24" x14ac:dyDescent="0.25">
      <c r="A34" s="360" t="s">
        <v>709</v>
      </c>
      <c r="B34" s="354" t="s">
        <v>695</v>
      </c>
      <c r="C34" s="351">
        <f>HLOOKUP($C$4,$O$11:$R$41,24,FALSE)</f>
        <v>78814</v>
      </c>
      <c r="D34" s="351">
        <f t="shared" si="0"/>
        <v>0</v>
      </c>
      <c r="E34" s="351">
        <f t="shared" si="1"/>
        <v>78814</v>
      </c>
      <c r="F34" s="351">
        <f t="shared" si="2"/>
        <v>9620.5320000000011</v>
      </c>
      <c r="G34" s="355">
        <f t="shared" si="3"/>
        <v>394.07</v>
      </c>
      <c r="H34" s="351">
        <f t="shared" si="4"/>
        <v>18741.9692</v>
      </c>
      <c r="I34" s="628">
        <f t="shared" si="5"/>
        <v>107570.57120000001</v>
      </c>
      <c r="J34" s="127">
        <v>1560</v>
      </c>
      <c r="K34" s="630">
        <f t="shared" si="6"/>
        <v>68.959999999999994</v>
      </c>
      <c r="L34" s="352">
        <v>0.3</v>
      </c>
      <c r="M34" s="633">
        <v>0.6</v>
      </c>
      <c r="O34" s="613">
        <v>78814</v>
      </c>
      <c r="P34" s="266">
        <v>86986</v>
      </c>
      <c r="Q34">
        <v>84549</v>
      </c>
      <c r="R34">
        <v>80936</v>
      </c>
      <c r="V34" s="403" t="s">
        <v>723</v>
      </c>
      <c r="W34">
        <v>2145.6</v>
      </c>
      <c r="X34" s="158"/>
    </row>
    <row r="35" spans="1:24" x14ac:dyDescent="0.25">
      <c r="A35" s="360" t="s">
        <v>709</v>
      </c>
      <c r="B35" s="354" t="s">
        <v>696</v>
      </c>
      <c r="C35" s="351">
        <f>HLOOKUP($C$4,$O$11:$R$41,25,FALSE)</f>
        <v>85601</v>
      </c>
      <c r="D35" s="351">
        <f t="shared" si="0"/>
        <v>0</v>
      </c>
      <c r="E35" s="351">
        <f t="shared" si="1"/>
        <v>85601</v>
      </c>
      <c r="F35" s="351">
        <f t="shared" si="2"/>
        <v>10557.138000000001</v>
      </c>
      <c r="G35" s="355">
        <f t="shared" si="3"/>
        <v>428.005</v>
      </c>
      <c r="H35" s="351">
        <f t="shared" si="4"/>
        <v>20355.917799999999</v>
      </c>
      <c r="I35" s="628">
        <f t="shared" si="5"/>
        <v>116942.06080000001</v>
      </c>
      <c r="J35" s="127">
        <v>1560</v>
      </c>
      <c r="K35" s="630">
        <f t="shared" si="6"/>
        <v>74.959999999999994</v>
      </c>
      <c r="L35" s="352">
        <v>0.3</v>
      </c>
      <c r="M35" s="633">
        <v>0.6</v>
      </c>
      <c r="O35" s="613">
        <v>85601</v>
      </c>
      <c r="P35" s="266">
        <v>93773</v>
      </c>
      <c r="Q35">
        <v>91336</v>
      </c>
      <c r="R35">
        <v>87723</v>
      </c>
      <c r="V35" s="403" t="s">
        <v>724</v>
      </c>
      <c r="W35" s="404">
        <v>0.6</v>
      </c>
      <c r="X35" s="158"/>
    </row>
    <row r="36" spans="1:24" x14ac:dyDescent="0.25">
      <c r="A36" s="360" t="s">
        <v>710</v>
      </c>
      <c r="B36" s="354" t="s">
        <v>697</v>
      </c>
      <c r="C36" s="351">
        <f>HLOOKUP($C$4,$O$11:$R$41,26,FALSE)</f>
        <v>88168</v>
      </c>
      <c r="D36" s="351">
        <f t="shared" si="0"/>
        <v>0</v>
      </c>
      <c r="E36" s="351">
        <f t="shared" si="1"/>
        <v>88168</v>
      </c>
      <c r="F36" s="351">
        <f t="shared" si="2"/>
        <v>10911.384</v>
      </c>
      <c r="G36" s="355">
        <f t="shared" si="3"/>
        <v>440.84000000000003</v>
      </c>
      <c r="H36" s="351">
        <f t="shared" si="4"/>
        <v>20966.350399999999</v>
      </c>
      <c r="I36" s="628">
        <f t="shared" si="5"/>
        <v>120486.5744</v>
      </c>
      <c r="J36" s="127">
        <v>1560</v>
      </c>
      <c r="K36" s="630">
        <f t="shared" si="6"/>
        <v>77.23</v>
      </c>
      <c r="L36" s="352">
        <v>0.3</v>
      </c>
      <c r="M36" s="633">
        <v>0.6</v>
      </c>
      <c r="O36" s="613">
        <v>88168</v>
      </c>
      <c r="P36" s="266">
        <v>96340</v>
      </c>
      <c r="Q36">
        <v>93903</v>
      </c>
      <c r="R36">
        <v>90290</v>
      </c>
      <c r="V36" s="403" t="s">
        <v>725</v>
      </c>
      <c r="W36" s="400">
        <f>ROUND(W35*W34,0)</f>
        <v>1287</v>
      </c>
      <c r="X36" s="158"/>
    </row>
    <row r="37" spans="1:24" x14ac:dyDescent="0.25">
      <c r="A37" s="360" t="s">
        <v>710</v>
      </c>
      <c r="B37" s="354" t="s">
        <v>698</v>
      </c>
      <c r="C37" s="351">
        <f>HLOOKUP($C$4,$O$11:$R$41,27,FALSE)</f>
        <v>93572</v>
      </c>
      <c r="D37" s="351">
        <f t="shared" si="0"/>
        <v>0</v>
      </c>
      <c r="E37" s="351">
        <f t="shared" si="1"/>
        <v>93572</v>
      </c>
      <c r="F37" s="351">
        <f t="shared" si="2"/>
        <v>11657.136</v>
      </c>
      <c r="G37" s="355">
        <f t="shared" si="3"/>
        <v>467.86</v>
      </c>
      <c r="H37" s="351">
        <f t="shared" si="4"/>
        <v>22251.421600000001</v>
      </c>
      <c r="I37" s="628">
        <f t="shared" si="5"/>
        <v>127948.4176</v>
      </c>
      <c r="J37" s="127">
        <v>1560</v>
      </c>
      <c r="K37" s="630">
        <f t="shared" si="6"/>
        <v>82.02</v>
      </c>
      <c r="L37" s="352">
        <v>0.3</v>
      </c>
      <c r="M37" s="633">
        <v>0.6</v>
      </c>
      <c r="O37" s="613">
        <v>93572</v>
      </c>
      <c r="P37" s="266">
        <v>101744</v>
      </c>
      <c r="Q37">
        <v>99307</v>
      </c>
      <c r="R37">
        <v>95694</v>
      </c>
      <c r="V37" s="160"/>
      <c r="W37" s="161"/>
      <c r="X37" s="162"/>
    </row>
    <row r="38" spans="1:24" x14ac:dyDescent="0.25">
      <c r="A38" s="360" t="s">
        <v>710</v>
      </c>
      <c r="B38" s="354" t="s">
        <v>699</v>
      </c>
      <c r="C38" s="351">
        <f>HLOOKUP($C$4,$O$11:$R$41,28,FALSE)</f>
        <v>101677</v>
      </c>
      <c r="D38" s="351">
        <f t="shared" si="0"/>
        <v>0</v>
      </c>
      <c r="E38" s="351">
        <f t="shared" si="1"/>
        <v>101677</v>
      </c>
      <c r="F38" s="351">
        <f t="shared" si="2"/>
        <v>12775.626</v>
      </c>
      <c r="G38" s="355">
        <f t="shared" si="3"/>
        <v>508.38499999999999</v>
      </c>
      <c r="H38" s="351">
        <f t="shared" si="4"/>
        <v>24178.7906</v>
      </c>
      <c r="I38" s="628">
        <f t="shared" si="5"/>
        <v>139139.80160000001</v>
      </c>
      <c r="J38" s="127">
        <v>1560</v>
      </c>
      <c r="K38" s="630">
        <f t="shared" si="6"/>
        <v>89.19</v>
      </c>
      <c r="L38" s="352">
        <v>0.3</v>
      </c>
      <c r="M38" s="633">
        <v>0.6</v>
      </c>
      <c r="O38" s="613">
        <v>101677</v>
      </c>
      <c r="P38" s="266">
        <v>109849</v>
      </c>
      <c r="Q38">
        <v>107412</v>
      </c>
      <c r="R38">
        <v>103799</v>
      </c>
    </row>
    <row r="39" spans="1:24" x14ac:dyDescent="0.25">
      <c r="A39" s="360">
        <v>9</v>
      </c>
      <c r="B39" s="354" t="s">
        <v>700</v>
      </c>
      <c r="C39" s="351">
        <f>HLOOKUP($C$4,$O$11:$R$41,29,FALSE)</f>
        <v>105385</v>
      </c>
      <c r="D39" s="351">
        <f t="shared" si="0"/>
        <v>0</v>
      </c>
      <c r="E39" s="351">
        <f t="shared" si="1"/>
        <v>105385</v>
      </c>
      <c r="F39" s="351">
        <f t="shared" si="2"/>
        <v>13287.330000000002</v>
      </c>
      <c r="G39" s="355">
        <f t="shared" si="3"/>
        <v>526.92499999999995</v>
      </c>
      <c r="H39" s="351">
        <f t="shared" si="4"/>
        <v>25060.553</v>
      </c>
      <c r="I39" s="628">
        <f t="shared" si="5"/>
        <v>144259.80800000002</v>
      </c>
      <c r="J39" s="127">
        <v>1560</v>
      </c>
      <c r="K39" s="630">
        <f t="shared" si="6"/>
        <v>92.47</v>
      </c>
      <c r="L39" s="352">
        <v>0.3</v>
      </c>
      <c r="M39" s="633">
        <v>0.6</v>
      </c>
      <c r="O39" s="613">
        <v>105385</v>
      </c>
      <c r="P39" s="266">
        <v>113557</v>
      </c>
      <c r="Q39">
        <v>111120</v>
      </c>
      <c r="R39">
        <v>107507</v>
      </c>
    </row>
    <row r="40" spans="1:24" x14ac:dyDescent="0.25">
      <c r="A40" s="360">
        <v>9</v>
      </c>
      <c r="B40" s="354" t="s">
        <v>701</v>
      </c>
      <c r="C40" s="351">
        <f>HLOOKUP($C$4,$O$11:$R$41,30,FALSE)</f>
        <v>111740</v>
      </c>
      <c r="D40" s="351">
        <f t="shared" si="0"/>
        <v>0</v>
      </c>
      <c r="E40" s="351">
        <f t="shared" si="1"/>
        <v>111740</v>
      </c>
      <c r="F40" s="351">
        <f t="shared" si="2"/>
        <v>14164.320000000002</v>
      </c>
      <c r="G40" s="355">
        <f t="shared" si="3"/>
        <v>558.70000000000005</v>
      </c>
      <c r="H40" s="351">
        <f t="shared" si="4"/>
        <v>26571.772000000001</v>
      </c>
      <c r="I40" s="628">
        <f t="shared" si="5"/>
        <v>153034.79200000002</v>
      </c>
      <c r="J40" s="127">
        <v>1560</v>
      </c>
      <c r="K40" s="630">
        <f t="shared" si="6"/>
        <v>98.1</v>
      </c>
      <c r="L40" s="352">
        <v>0.3</v>
      </c>
      <c r="M40" s="633">
        <v>0.6</v>
      </c>
      <c r="O40" s="613">
        <v>111740</v>
      </c>
      <c r="P40" s="266">
        <v>119912</v>
      </c>
      <c r="Q40">
        <v>117475</v>
      </c>
      <c r="R40">
        <v>113862</v>
      </c>
    </row>
    <row r="41" spans="1:24" x14ac:dyDescent="0.25">
      <c r="A41" s="360">
        <v>9</v>
      </c>
      <c r="B41" s="354" t="s">
        <v>702</v>
      </c>
      <c r="C41" s="351">
        <f>HLOOKUP($C$4,$O$11:$R$41,31,FALSE)</f>
        <v>121271</v>
      </c>
      <c r="D41" s="351">
        <f t="shared" si="0"/>
        <v>0</v>
      </c>
      <c r="E41" s="351">
        <f t="shared" si="1"/>
        <v>121271</v>
      </c>
      <c r="F41" s="351">
        <f t="shared" si="2"/>
        <v>15479.598000000002</v>
      </c>
      <c r="G41" s="355">
        <f t="shared" si="3"/>
        <v>606.35500000000002</v>
      </c>
      <c r="H41" s="351">
        <f t="shared" si="4"/>
        <v>28838.2438</v>
      </c>
      <c r="I41" s="628">
        <f t="shared" si="5"/>
        <v>166195.19680000001</v>
      </c>
      <c r="J41" s="127">
        <v>1560</v>
      </c>
      <c r="K41" s="630">
        <f t="shared" si="6"/>
        <v>106.54</v>
      </c>
      <c r="L41" s="352">
        <v>0.3</v>
      </c>
      <c r="M41" s="633">
        <v>0.6</v>
      </c>
      <c r="O41" s="613">
        <v>121271</v>
      </c>
      <c r="P41" s="266">
        <v>129443</v>
      </c>
      <c r="Q41">
        <v>127006</v>
      </c>
      <c r="R41">
        <v>123393</v>
      </c>
    </row>
    <row r="42" spans="1:24" x14ac:dyDescent="0.25">
      <c r="A42" s="360" t="s">
        <v>706</v>
      </c>
      <c r="B42" s="148" t="s">
        <v>914</v>
      </c>
      <c r="C42" s="351">
        <v>73113</v>
      </c>
      <c r="D42" s="351">
        <f t="shared" si="0"/>
        <v>0</v>
      </c>
      <c r="E42" s="351">
        <f t="shared" si="1"/>
        <v>73113</v>
      </c>
      <c r="F42" s="351">
        <f t="shared" si="2"/>
        <v>8833.7939999999999</v>
      </c>
      <c r="G42" s="355">
        <f t="shared" si="3"/>
        <v>365.565</v>
      </c>
      <c r="H42" s="351">
        <f>C42*0.2068</f>
        <v>15119.768400000001</v>
      </c>
      <c r="I42" s="628">
        <f t="shared" si="5"/>
        <v>97432.127399999998</v>
      </c>
      <c r="J42" s="127">
        <f>W36</f>
        <v>1287</v>
      </c>
      <c r="K42" s="630">
        <f t="shared" si="6"/>
        <v>75.7</v>
      </c>
      <c r="L42" s="353">
        <v>0</v>
      </c>
      <c r="M42" s="634">
        <v>0</v>
      </c>
    </row>
    <row r="43" spans="1:24" x14ac:dyDescent="0.25">
      <c r="A43" s="360" t="s">
        <v>706</v>
      </c>
      <c r="B43" s="148" t="s">
        <v>915</v>
      </c>
      <c r="C43" s="351">
        <f>(C42+C44)/2</f>
        <v>91721.5</v>
      </c>
      <c r="D43" s="351">
        <f t="shared" si="0"/>
        <v>0</v>
      </c>
      <c r="E43" s="351">
        <f t="shared" si="1"/>
        <v>91721.5</v>
      </c>
      <c r="F43" s="351">
        <f t="shared" si="2"/>
        <v>11401.767000000002</v>
      </c>
      <c r="G43" s="355">
        <f t="shared" si="3"/>
        <v>458.60750000000002</v>
      </c>
      <c r="H43" s="351">
        <f>C43*0.2068</f>
        <v>18968.0062</v>
      </c>
      <c r="I43" s="628">
        <f t="shared" si="5"/>
        <v>122549.88070000001</v>
      </c>
      <c r="J43" s="127">
        <f>W36</f>
        <v>1287</v>
      </c>
      <c r="K43" s="630">
        <f t="shared" si="6"/>
        <v>95.22</v>
      </c>
      <c r="L43" s="353">
        <v>0</v>
      </c>
      <c r="M43" s="634">
        <v>0</v>
      </c>
    </row>
    <row r="44" spans="1:24" x14ac:dyDescent="0.25">
      <c r="A44" s="635" t="s">
        <v>706</v>
      </c>
      <c r="B44" s="636" t="s">
        <v>941</v>
      </c>
      <c r="C44" s="406">
        <v>110330</v>
      </c>
      <c r="D44" s="406">
        <f t="shared" si="0"/>
        <v>0</v>
      </c>
      <c r="E44" s="351">
        <f t="shared" si="1"/>
        <v>110330</v>
      </c>
      <c r="F44" s="351">
        <f t="shared" si="2"/>
        <v>13969.740000000002</v>
      </c>
      <c r="G44" s="355">
        <f t="shared" si="3"/>
        <v>551.65</v>
      </c>
      <c r="H44" s="406">
        <f>C44*0.2068</f>
        <v>22816.244000000002</v>
      </c>
      <c r="I44" s="628">
        <f t="shared" si="5"/>
        <v>147667.63399999999</v>
      </c>
      <c r="J44" s="127">
        <f>W36</f>
        <v>1287</v>
      </c>
      <c r="K44" s="630">
        <f t="shared" si="6"/>
        <v>114.74</v>
      </c>
      <c r="L44" s="353">
        <v>0</v>
      </c>
      <c r="M44" s="634">
        <v>0</v>
      </c>
    </row>
    <row r="45" spans="1:24" x14ac:dyDescent="0.25">
      <c r="A45" s="360" t="s">
        <v>703</v>
      </c>
      <c r="B45" s="148" t="s">
        <v>704</v>
      </c>
      <c r="C45" s="351">
        <v>105504</v>
      </c>
      <c r="D45" s="351">
        <f t="shared" si="0"/>
        <v>0</v>
      </c>
      <c r="E45" s="351">
        <f t="shared" si="1"/>
        <v>105504</v>
      </c>
      <c r="F45" s="351">
        <f t="shared" si="2"/>
        <v>13303.752</v>
      </c>
      <c r="G45" s="355">
        <f t="shared" si="3"/>
        <v>527.52</v>
      </c>
      <c r="H45" s="351">
        <f t="shared" si="4"/>
        <v>25088.851200000001</v>
      </c>
      <c r="I45" s="628">
        <f t="shared" si="5"/>
        <v>144424.1232</v>
      </c>
      <c r="J45" s="127">
        <v>1376</v>
      </c>
      <c r="K45" s="630">
        <f t="shared" si="6"/>
        <v>104.96</v>
      </c>
      <c r="L45" s="353">
        <v>0</v>
      </c>
      <c r="M45" s="634">
        <v>0</v>
      </c>
    </row>
    <row r="46" spans="1:24" x14ac:dyDescent="0.25">
      <c r="A46" s="360" t="s">
        <v>703</v>
      </c>
      <c r="B46" s="148" t="s">
        <v>67</v>
      </c>
      <c r="C46" s="351">
        <f>(4*114894+6*126018)/10</f>
        <v>121568.4</v>
      </c>
      <c r="D46" s="351">
        <f t="shared" si="0"/>
        <v>0</v>
      </c>
      <c r="E46" s="351">
        <f t="shared" si="1"/>
        <v>121568.4</v>
      </c>
      <c r="F46" s="351">
        <f t="shared" si="2"/>
        <v>15520.6392</v>
      </c>
      <c r="G46" s="355">
        <f t="shared" si="3"/>
        <v>607.84199999999998</v>
      </c>
      <c r="H46" s="351">
        <f t="shared" si="4"/>
        <v>28908.965520000002</v>
      </c>
      <c r="I46" s="628">
        <f t="shared" si="5"/>
        <v>166605.84672</v>
      </c>
      <c r="J46" s="127">
        <v>1376</v>
      </c>
      <c r="K46" s="630">
        <f t="shared" si="6"/>
        <v>121.08</v>
      </c>
      <c r="L46" s="353">
        <v>0</v>
      </c>
      <c r="M46" s="634">
        <v>0</v>
      </c>
    </row>
    <row r="47" spans="1:24" ht="15.75" thickBot="1" x14ac:dyDescent="0.3">
      <c r="A47" s="361" t="s">
        <v>703</v>
      </c>
      <c r="B47" s="356" t="s">
        <v>705</v>
      </c>
      <c r="C47" s="357">
        <v>139882</v>
      </c>
      <c r="D47" s="357">
        <f t="shared" si="0"/>
        <v>0</v>
      </c>
      <c r="E47" s="357">
        <f t="shared" si="1"/>
        <v>139882</v>
      </c>
      <c r="F47" s="357">
        <f t="shared" si="2"/>
        <v>18047.916000000001</v>
      </c>
      <c r="G47" s="637">
        <f t="shared" si="3"/>
        <v>699.41</v>
      </c>
      <c r="H47" s="357">
        <f t="shared" si="4"/>
        <v>33263.939600000005</v>
      </c>
      <c r="I47" s="358">
        <f t="shared" si="5"/>
        <v>191893.26560000001</v>
      </c>
      <c r="J47" s="638">
        <v>1376</v>
      </c>
      <c r="K47" s="639">
        <f t="shared" si="6"/>
        <v>139.46</v>
      </c>
      <c r="L47" s="640">
        <v>0</v>
      </c>
      <c r="M47" s="641">
        <v>0</v>
      </c>
    </row>
    <row r="96" ht="23.45" customHeight="1" x14ac:dyDescent="0.25"/>
    <row r="97" ht="55.5" customHeight="1" x14ac:dyDescent="0.25"/>
    <row r="98" ht="23.45" customHeight="1" x14ac:dyDescent="0.25"/>
    <row r="99" ht="23.45" customHeight="1" x14ac:dyDescent="0.25"/>
    <row r="100" ht="23.45" customHeight="1" x14ac:dyDescent="0.25"/>
    <row r="101" ht="23.45" customHeight="1" x14ac:dyDescent="0.25"/>
    <row r="102" ht="23.45" customHeight="1" x14ac:dyDescent="0.25"/>
  </sheetData>
  <sheetProtection algorithmName="SHA-512" hashValue="dwJXgzZU1kVEnNEBkCvAZj1daZUOho6ShAsvR2l6KkEpQzIkM3/3wfncgQwBVD5QTZLllCMScno4rYbyPfnsxQ==" saltValue="419qdJJjrO6ENh9M5W0MzQ==" spinCount="100000" sheet="1" objects="1" scenarios="1"/>
  <dataValidations count="1">
    <dataValidation type="list" allowBlank="1" showInputMessage="1" showErrorMessage="1" sqref="C4" xr:uid="{02572CA7-D9FC-4DE1-8C32-388A11DE5746}">
      <formula1>$S$14:$S$17</formula1>
    </dataValidation>
  </dataValidations>
  <pageMargins left="0.7" right="0.7" top="0.75" bottom="0.75" header="0.3" footer="0.3"/>
  <pageSetup paperSize="9" scale="36" orientation="portrait" r:id="rId1"/>
  <ignoredErrors>
    <ignoredError sqref="K12:K47"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3D8F-18FC-4242-9E63-1B27CA25CDBB}">
  <sheetPr>
    <tabColor theme="1" tint="0.14999847407452621"/>
    <pageSetUpPr fitToPage="1"/>
  </sheetPr>
  <dimension ref="B2:Q28"/>
  <sheetViews>
    <sheetView showGridLines="0" zoomScale="80" zoomScaleNormal="80" workbookViewId="0"/>
  </sheetViews>
  <sheetFormatPr defaultRowHeight="15" x14ac:dyDescent="0.2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x14ac:dyDescent="0.4">
      <c r="B2" s="316" t="s">
        <v>8</v>
      </c>
      <c r="C2" s="314"/>
      <c r="D2" s="314"/>
      <c r="E2" s="314"/>
      <c r="F2" s="314"/>
      <c r="G2" s="314"/>
      <c r="H2" s="314"/>
      <c r="I2" s="314"/>
      <c r="J2" s="314"/>
      <c r="K2" s="314"/>
      <c r="L2" s="314"/>
      <c r="M2" s="314"/>
      <c r="N2" s="314"/>
      <c r="O2" s="314"/>
      <c r="P2" s="315"/>
    </row>
    <row r="5" spans="2:17" x14ac:dyDescent="0.25">
      <c r="B5" s="209" t="s">
        <v>727</v>
      </c>
      <c r="C5" s="323"/>
      <c r="D5" s="323"/>
      <c r="E5" s="323"/>
      <c r="F5" s="323"/>
      <c r="G5" s="323"/>
      <c r="H5" s="323"/>
      <c r="I5" s="323"/>
      <c r="J5" s="323"/>
      <c r="K5" s="323"/>
      <c r="L5" s="323"/>
      <c r="M5" s="323"/>
      <c r="N5" s="323"/>
      <c r="O5" s="323"/>
      <c r="P5" s="210"/>
    </row>
    <row r="6" spans="2:17" x14ac:dyDescent="0.25">
      <c r="B6" s="214" t="s">
        <v>728</v>
      </c>
      <c r="C6" s="207"/>
      <c r="D6" s="207"/>
      <c r="E6" s="207"/>
      <c r="F6" s="207"/>
      <c r="G6" s="207"/>
      <c r="H6" s="207"/>
      <c r="I6" s="207"/>
      <c r="J6" s="207"/>
      <c r="K6" s="207"/>
      <c r="L6" s="207"/>
      <c r="M6" s="207"/>
      <c r="N6" s="207"/>
      <c r="O6" s="207"/>
      <c r="P6" s="215"/>
    </row>
    <row r="7" spans="2:17" x14ac:dyDescent="0.25">
      <c r="B7" s="212" t="s">
        <v>726</v>
      </c>
      <c r="C7" s="211"/>
      <c r="D7" s="211"/>
      <c r="E7" s="211"/>
      <c r="F7" s="211"/>
      <c r="G7" s="211"/>
      <c r="H7" s="211"/>
      <c r="I7" s="211"/>
      <c r="J7" s="211"/>
      <c r="K7" s="211"/>
      <c r="L7" s="211"/>
      <c r="M7" s="211"/>
      <c r="N7" s="211"/>
      <c r="O7" s="211"/>
      <c r="P7" s="213"/>
    </row>
    <row r="9" spans="2:17" x14ac:dyDescent="0.25">
      <c r="N9" s="336"/>
      <c r="O9" s="336"/>
      <c r="P9" s="336"/>
    </row>
    <row r="10" spans="2:17" x14ac:dyDescent="0.25">
      <c r="B10" s="209"/>
      <c r="C10" s="323"/>
      <c r="D10" s="323"/>
      <c r="E10" s="323"/>
      <c r="F10" s="323"/>
      <c r="G10" s="323"/>
      <c r="H10" s="210"/>
      <c r="J10" s="209"/>
      <c r="K10" s="323"/>
      <c r="L10" s="323"/>
      <c r="M10" s="323"/>
      <c r="N10" s="207"/>
      <c r="O10" s="207"/>
      <c r="P10" s="207"/>
      <c r="Q10" s="159"/>
    </row>
    <row r="11" spans="2:17" ht="47.25" x14ac:dyDescent="0.25">
      <c r="B11" s="214"/>
      <c r="C11" s="307" t="s">
        <v>9</v>
      </c>
      <c r="D11" s="339"/>
      <c r="E11" s="307" t="s">
        <v>10</v>
      </c>
      <c r="F11" s="339"/>
      <c r="G11" s="335" t="s">
        <v>11</v>
      </c>
      <c r="H11" s="340"/>
      <c r="I11" s="308"/>
      <c r="J11" s="343"/>
      <c r="K11" s="309" t="s">
        <v>12</v>
      </c>
      <c r="L11" s="343"/>
      <c r="M11" s="309" t="s">
        <v>13</v>
      </c>
      <c r="N11" s="339"/>
      <c r="O11" s="309" t="s">
        <v>14</v>
      </c>
      <c r="P11" s="339"/>
      <c r="Q11" s="159"/>
    </row>
    <row r="12" spans="2:17" x14ac:dyDescent="0.25">
      <c r="B12" s="214"/>
      <c r="C12" s="207"/>
      <c r="D12" s="207"/>
      <c r="E12" s="207"/>
      <c r="F12" s="207"/>
      <c r="G12" s="207"/>
      <c r="H12" s="215"/>
      <c r="J12" s="214"/>
      <c r="K12" s="207"/>
      <c r="L12" s="207"/>
      <c r="M12" s="207"/>
      <c r="N12" s="207"/>
      <c r="O12" s="207"/>
      <c r="P12" s="207"/>
      <c r="Q12" s="159"/>
    </row>
    <row r="13" spans="2:17" ht="40.35" customHeight="1" x14ac:dyDescent="0.25">
      <c r="B13" s="214"/>
      <c r="C13" s="337"/>
      <c r="D13" s="191"/>
      <c r="E13" s="386" t="s">
        <v>15</v>
      </c>
      <c r="F13" s="191"/>
      <c r="G13" s="338"/>
      <c r="H13" s="215"/>
      <c r="J13" s="214"/>
      <c r="K13" s="337"/>
      <c r="L13" s="191"/>
      <c r="M13" s="457" t="s">
        <v>16</v>
      </c>
      <c r="N13" s="191"/>
      <c r="O13" s="338"/>
      <c r="P13" s="207"/>
      <c r="Q13" s="159"/>
    </row>
    <row r="14" spans="2:17" x14ac:dyDescent="0.25">
      <c r="B14" s="214"/>
      <c r="C14" s="207"/>
      <c r="D14" s="207"/>
      <c r="E14" s="207"/>
      <c r="F14" s="207"/>
      <c r="G14" s="207"/>
      <c r="H14" s="215"/>
      <c r="J14" s="214"/>
      <c r="K14" s="207"/>
      <c r="L14" s="207"/>
      <c r="M14" s="207"/>
      <c r="N14" s="207"/>
      <c r="O14" s="207"/>
      <c r="P14" s="207"/>
      <c r="Q14" s="159"/>
    </row>
    <row r="15" spans="2:17" ht="213.75" customHeight="1" x14ac:dyDescent="0.25">
      <c r="B15" s="214"/>
      <c r="C15" s="304" t="s">
        <v>17</v>
      </c>
      <c r="D15" s="341"/>
      <c r="E15" s="305" t="s">
        <v>18</v>
      </c>
      <c r="F15" s="341"/>
      <c r="G15" s="303" t="s">
        <v>19</v>
      </c>
      <c r="H15" s="342"/>
      <c r="I15" s="225"/>
      <c r="J15" s="344"/>
      <c r="K15" s="306" t="s">
        <v>20</v>
      </c>
      <c r="L15" s="344"/>
      <c r="M15" s="326" t="s">
        <v>21</v>
      </c>
      <c r="N15" s="341"/>
      <c r="O15" s="326" t="s">
        <v>22</v>
      </c>
      <c r="P15" s="341"/>
      <c r="Q15" s="159"/>
    </row>
    <row r="16" spans="2:17" x14ac:dyDescent="0.25">
      <c r="B16" s="212"/>
      <c r="C16" s="211"/>
      <c r="D16" s="211"/>
      <c r="E16" s="211"/>
      <c r="F16" s="211"/>
      <c r="G16" s="211"/>
      <c r="H16" s="213"/>
      <c r="J16" s="212"/>
      <c r="K16" s="211"/>
      <c r="L16" s="345"/>
      <c r="M16" s="345"/>
      <c r="N16" s="345"/>
      <c r="O16" s="345"/>
      <c r="P16" s="345"/>
      <c r="Q16" s="159"/>
    </row>
    <row r="19" spans="2:16" x14ac:dyDescent="0.25">
      <c r="B19" s="209"/>
      <c r="C19" s="323"/>
      <c r="D19" s="323"/>
      <c r="E19" s="323"/>
      <c r="F19" s="323"/>
      <c r="G19" s="323"/>
      <c r="H19" s="323"/>
      <c r="I19" s="323"/>
      <c r="J19" s="323"/>
      <c r="K19" s="323"/>
      <c r="L19" s="323"/>
      <c r="M19" s="323"/>
      <c r="N19" s="323"/>
      <c r="O19" s="323"/>
      <c r="P19" s="210"/>
    </row>
    <row r="20" spans="2:16" x14ac:dyDescent="0.25">
      <c r="B20" s="214" t="s">
        <v>23</v>
      </c>
      <c r="C20" s="207"/>
      <c r="D20" s="207"/>
      <c r="E20" s="207"/>
      <c r="F20" s="207"/>
      <c r="G20" s="207"/>
      <c r="H20" s="207"/>
      <c r="I20" s="207"/>
      <c r="J20" s="207"/>
      <c r="K20" s="207"/>
      <c r="L20" s="207"/>
      <c r="M20" s="207"/>
      <c r="N20" s="207"/>
      <c r="O20" s="207"/>
      <c r="P20" s="215"/>
    </row>
    <row r="21" spans="2:16" x14ac:dyDescent="0.25">
      <c r="B21" s="346" t="s">
        <v>24</v>
      </c>
      <c r="C21" s="207"/>
      <c r="D21" s="207"/>
      <c r="E21" s="207"/>
      <c r="F21" s="207"/>
      <c r="G21" s="207"/>
      <c r="H21" s="207"/>
      <c r="I21" s="207"/>
      <c r="J21" s="207"/>
      <c r="K21" s="207"/>
      <c r="L21" s="207"/>
      <c r="M21" s="207"/>
      <c r="N21" s="207"/>
      <c r="O21" s="207"/>
      <c r="P21" s="215"/>
    </row>
    <row r="22" spans="2:16" x14ac:dyDescent="0.25">
      <c r="B22" s="347" t="s">
        <v>25</v>
      </c>
      <c r="C22" s="207"/>
      <c r="D22" s="207"/>
      <c r="E22" s="207"/>
      <c r="F22" s="207"/>
      <c r="G22" s="207"/>
      <c r="H22" s="207"/>
      <c r="I22" s="207"/>
      <c r="J22" s="207"/>
      <c r="K22" s="207"/>
      <c r="L22" s="207"/>
      <c r="M22" s="207"/>
      <c r="N22" s="207"/>
      <c r="O22" s="207"/>
      <c r="P22" s="215"/>
    </row>
    <row r="23" spans="2:16" x14ac:dyDescent="0.25">
      <c r="B23" s="348" t="s">
        <v>26</v>
      </c>
      <c r="C23" s="207"/>
      <c r="D23" s="207"/>
      <c r="E23" s="207"/>
      <c r="F23" s="207"/>
      <c r="G23" s="207"/>
      <c r="H23" s="207"/>
      <c r="I23" s="207"/>
      <c r="J23" s="207"/>
      <c r="K23" s="207"/>
      <c r="L23" s="207"/>
      <c r="M23" s="207"/>
      <c r="N23" s="207"/>
      <c r="O23" s="207"/>
      <c r="P23" s="215"/>
    </row>
    <row r="24" spans="2:16" x14ac:dyDescent="0.25">
      <c r="B24" s="347" t="s">
        <v>27</v>
      </c>
      <c r="C24" s="207"/>
      <c r="D24" s="207"/>
      <c r="E24" s="207"/>
      <c r="F24" s="207"/>
      <c r="G24" s="207"/>
      <c r="H24" s="207"/>
      <c r="I24" s="207"/>
      <c r="J24" s="207"/>
      <c r="K24" s="207"/>
      <c r="L24" s="207"/>
      <c r="M24" s="207"/>
      <c r="N24" s="207"/>
      <c r="O24" s="207"/>
      <c r="P24" s="215"/>
    </row>
    <row r="25" spans="2:16" x14ac:dyDescent="0.25">
      <c r="B25" s="347" t="s">
        <v>28</v>
      </c>
      <c r="C25" s="207"/>
      <c r="D25" s="207"/>
      <c r="E25" s="207"/>
      <c r="F25" s="207"/>
      <c r="G25" s="207"/>
      <c r="H25" s="207"/>
      <c r="I25" s="207"/>
      <c r="J25" s="207"/>
      <c r="K25" s="207"/>
      <c r="L25" s="207"/>
      <c r="M25" s="207"/>
      <c r="N25" s="207"/>
      <c r="O25" s="207"/>
      <c r="P25" s="215"/>
    </row>
    <row r="26" spans="2:16" x14ac:dyDescent="0.25">
      <c r="B26" s="214"/>
      <c r="C26" s="207"/>
      <c r="D26" s="207"/>
      <c r="E26" s="207"/>
      <c r="F26" s="207"/>
      <c r="G26" s="207"/>
      <c r="H26" s="207"/>
      <c r="I26" s="207"/>
      <c r="J26" s="207"/>
      <c r="K26" s="207"/>
      <c r="L26" s="207"/>
      <c r="M26" s="207"/>
      <c r="N26" s="207"/>
      <c r="O26" s="207"/>
      <c r="P26" s="215"/>
    </row>
    <row r="27" spans="2:16" x14ac:dyDescent="0.25">
      <c r="B27" s="349" t="s">
        <v>29</v>
      </c>
      <c r="C27" s="207"/>
      <c r="D27" s="207"/>
      <c r="E27" s="207"/>
      <c r="F27" s="207"/>
      <c r="G27" s="207"/>
      <c r="H27" s="207"/>
      <c r="I27" s="207"/>
      <c r="J27" s="207"/>
      <c r="K27" s="207"/>
      <c r="L27" s="207"/>
      <c r="M27" s="207"/>
      <c r="N27" s="207"/>
      <c r="O27" s="207"/>
      <c r="P27" s="215"/>
    </row>
    <row r="28" spans="2:16" x14ac:dyDescent="0.25">
      <c r="B28" s="212"/>
      <c r="C28" s="211"/>
      <c r="D28" s="211"/>
      <c r="E28" s="211"/>
      <c r="F28" s="211"/>
      <c r="G28" s="211"/>
      <c r="H28" s="211"/>
      <c r="I28" s="211"/>
      <c r="J28" s="211"/>
      <c r="K28" s="211"/>
      <c r="L28" s="211"/>
      <c r="M28" s="211"/>
      <c r="N28" s="211"/>
      <c r="O28" s="211"/>
      <c r="P28" s="213"/>
    </row>
  </sheetData>
  <sheetProtection algorithmName="SHA-512" hashValue="rehs96By2OeSajIVOpybMqnc9VsDYWZH8yBqPMJxeLBiOzVYq6rrWvIeCBNMfyX4lPYRVrcyXbxecoUXiRU2oA==" saltValue="2wbjNgH5mmMIfdGtmlHTlA==" spinCount="100000" sheet="1" objects="1" scenarios="1"/>
  <pageMargins left="0.7" right="0.7" top="0.75" bottom="0.75" header="0.3" footer="0.3"/>
  <pageSetup paperSize="9" scale="54"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74CBB-4CF4-449B-936C-7D098ED7C2B4}">
  <sheetPr>
    <tabColor theme="8" tint="0.59999389629810485"/>
  </sheetPr>
  <dimension ref="B1:U137"/>
  <sheetViews>
    <sheetView zoomScale="80" zoomScaleNormal="80" workbookViewId="0"/>
  </sheetViews>
  <sheetFormatPr defaultRowHeight="15" x14ac:dyDescent="0.25"/>
  <cols>
    <col min="1" max="1" width="2.42578125" customWidth="1"/>
    <col min="2" max="2" width="9.140625" customWidth="1"/>
    <col min="3" max="3" width="39.85546875" customWidth="1"/>
    <col min="4" max="4" width="31.5703125" customWidth="1"/>
    <col min="5" max="5" width="13.5703125" customWidth="1"/>
    <col min="6" max="17" width="12.85546875" customWidth="1"/>
    <col min="20" max="20" width="28.140625" customWidth="1"/>
    <col min="21" max="21" width="2.5703125" customWidth="1"/>
  </cols>
  <sheetData>
    <row r="1" spans="2:20" ht="24.6" customHeight="1" x14ac:dyDescent="0.25">
      <c r="B1" s="458" t="s">
        <v>1007</v>
      </c>
      <c r="C1" s="140"/>
    </row>
    <row r="2" spans="2:20" ht="20.25" x14ac:dyDescent="0.25">
      <c r="B2" s="154" t="s">
        <v>30</v>
      </c>
      <c r="C2" s="154"/>
      <c r="D2" s="153"/>
      <c r="E2" s="169"/>
      <c r="F2" s="153"/>
      <c r="G2" s="153"/>
      <c r="H2" s="153"/>
      <c r="I2" s="153"/>
      <c r="J2" s="153"/>
      <c r="K2" s="153"/>
      <c r="L2" s="153"/>
      <c r="M2" s="153"/>
      <c r="N2" s="153"/>
      <c r="O2" s="153"/>
      <c r="P2" s="153"/>
      <c r="Q2" s="153"/>
      <c r="R2" s="459"/>
      <c r="S2" s="153"/>
      <c r="T2" s="153"/>
    </row>
    <row r="4" spans="2:20" x14ac:dyDescent="0.25">
      <c r="B4" s="155" t="s">
        <v>31</v>
      </c>
      <c r="C4" s="280"/>
      <c r="D4" s="280"/>
      <c r="E4" s="280"/>
      <c r="F4" s="280"/>
      <c r="G4" s="280"/>
      <c r="H4" s="280"/>
      <c r="I4" s="280"/>
      <c r="J4" s="280"/>
      <c r="K4" s="280"/>
      <c r="L4" s="280"/>
      <c r="M4" s="280"/>
      <c r="N4" s="280"/>
      <c r="O4" s="280"/>
      <c r="P4" s="280"/>
      <c r="Q4" s="280"/>
      <c r="R4" s="280"/>
      <c r="S4" s="280"/>
      <c r="T4" s="156"/>
    </row>
    <row r="5" spans="2:20" x14ac:dyDescent="0.25">
      <c r="B5" s="159"/>
      <c r="C5" t="s">
        <v>32</v>
      </c>
      <c r="T5" s="158"/>
    </row>
    <row r="6" spans="2:20" x14ac:dyDescent="0.25">
      <c r="B6" s="159"/>
      <c r="C6" t="s">
        <v>33</v>
      </c>
      <c r="T6" s="158"/>
    </row>
    <row r="7" spans="2:20" x14ac:dyDescent="0.25">
      <c r="B7" s="159"/>
      <c r="C7" t="s">
        <v>34</v>
      </c>
      <c r="T7" s="158"/>
    </row>
    <row r="8" spans="2:20" x14ac:dyDescent="0.25">
      <c r="B8" s="160"/>
      <c r="C8" s="161"/>
      <c r="D8" s="161"/>
      <c r="E8" s="161"/>
      <c r="F8" s="161"/>
      <c r="G8" s="161"/>
      <c r="H8" s="161"/>
      <c r="I8" s="161"/>
      <c r="J8" s="161"/>
      <c r="K8" s="161"/>
      <c r="L8" s="161"/>
      <c r="T8" s="162"/>
    </row>
    <row r="9" spans="2:20" x14ac:dyDescent="0.25">
      <c r="M9" s="191"/>
      <c r="N9" s="191"/>
      <c r="O9" s="191"/>
      <c r="P9" s="191"/>
      <c r="Q9" s="191"/>
      <c r="R9" s="191"/>
      <c r="S9" s="191"/>
      <c r="T9" s="191"/>
    </row>
    <row r="10" spans="2:20" x14ac:dyDescent="0.25">
      <c r="B10" s="155" t="s">
        <v>35</v>
      </c>
      <c r="C10" s="280"/>
      <c r="D10" s="280"/>
      <c r="E10" s="280"/>
      <c r="F10" s="280"/>
      <c r="G10" s="280"/>
      <c r="H10" s="280"/>
      <c r="I10" s="280"/>
      <c r="J10" s="280"/>
      <c r="K10" s="280"/>
      <c r="L10" s="280"/>
      <c r="T10" s="156"/>
    </row>
    <row r="11" spans="2:20" x14ac:dyDescent="0.25">
      <c r="B11" s="157"/>
      <c r="C11" t="s">
        <v>36</v>
      </c>
      <c r="E11" s="149" t="s">
        <v>37</v>
      </c>
      <c r="T11" s="158"/>
    </row>
    <row r="12" spans="2:20" x14ac:dyDescent="0.25">
      <c r="B12" s="157"/>
      <c r="C12" t="s">
        <v>38</v>
      </c>
      <c r="E12" s="149" t="s">
        <v>39</v>
      </c>
      <c r="G12" s="127">
        <f>'Population selection'!F14</f>
        <v>9607832</v>
      </c>
      <c r="H12" t="str">
        <f>C25&amp;" population based on selection on left"</f>
        <v>Women aged 40-65 years old population based on selection on left</v>
      </c>
      <c r="T12" s="158"/>
    </row>
    <row r="13" spans="2:20" x14ac:dyDescent="0.25">
      <c r="B13" s="157"/>
      <c r="C13" s="147"/>
      <c r="G13" s="152">
        <f>2.05533586601874%</f>
        <v>2.0553358660187402E-2</v>
      </c>
      <c r="H13" t="s">
        <v>799</v>
      </c>
      <c r="T13" s="158"/>
    </row>
    <row r="14" spans="2:20" x14ac:dyDescent="0.25">
      <c r="B14" s="157"/>
      <c r="C14" s="147"/>
      <c r="G14" s="127">
        <f>(100%+G13)*G12</f>
        <v>9805305.2170428261</v>
      </c>
      <c r="H14" t="s">
        <v>800</v>
      </c>
      <c r="T14" s="158"/>
    </row>
    <row r="15" spans="2:20" x14ac:dyDescent="0.25">
      <c r="B15" s="159"/>
      <c r="C15" t="s">
        <v>40</v>
      </c>
      <c r="E15" s="663" t="s">
        <v>41</v>
      </c>
      <c r="F15" s="295" t="str">
        <f>IF(E15="yes","","If no, enter current locality population below")</f>
        <v/>
      </c>
      <c r="T15" s="158"/>
    </row>
    <row r="16" spans="2:20" x14ac:dyDescent="0.25">
      <c r="B16" s="159"/>
      <c r="C16" s="147"/>
      <c r="T16" s="158"/>
    </row>
    <row r="17" spans="2:21" x14ac:dyDescent="0.25">
      <c r="B17" s="159"/>
      <c r="C17" t="str">
        <f>"Manually entered current locality population "&amp;IF(E15="no","","(n/a)")</f>
        <v>Manually entered current locality population (n/a)</v>
      </c>
      <c r="E17" s="298"/>
      <c r="F17" s="168" t="str">
        <f>IF(E15="yes","Leave blue cell on left blank if NICE estimate is used","")</f>
        <v>Leave blue cell on left blank if NICE estimate is used</v>
      </c>
      <c r="T17" s="158"/>
    </row>
    <row r="18" spans="2:21" x14ac:dyDescent="0.25">
      <c r="B18" s="159"/>
      <c r="T18" s="158"/>
    </row>
    <row r="19" spans="2:21" x14ac:dyDescent="0.25">
      <c r="B19" s="159"/>
      <c r="C19" t="s">
        <v>804</v>
      </c>
      <c r="D19" s="150"/>
      <c r="E19" s="152">
        <v>1.37272056214497E-2</v>
      </c>
      <c r="F19" t="str">
        <f>IF(E19=0.0037272056214497,"Enter local value or delete the NICE assumption if required","Local value")</f>
        <v>Local value</v>
      </c>
      <c r="T19" s="158"/>
    </row>
    <row r="20" spans="2:21" x14ac:dyDescent="0.25">
      <c r="B20" s="159"/>
      <c r="C20" t="s">
        <v>805</v>
      </c>
      <c r="D20" s="150"/>
      <c r="E20" s="152"/>
      <c r="F20" t="str">
        <f>IF(E20=0,"Enter local value or delete the NICE assumption if required","Local value")</f>
        <v>Enter local value or delete the NICE assumption if required</v>
      </c>
      <c r="T20" s="158"/>
    </row>
    <row r="21" spans="2:21" x14ac:dyDescent="0.25">
      <c r="B21" s="160"/>
      <c r="C21" s="161"/>
      <c r="D21" s="161"/>
      <c r="E21" s="161"/>
      <c r="F21" s="161"/>
      <c r="G21" s="161"/>
      <c r="H21" s="161"/>
      <c r="I21" s="161"/>
      <c r="J21" s="161"/>
      <c r="K21" s="161"/>
      <c r="L21" s="161"/>
      <c r="M21" s="161"/>
      <c r="N21" s="161"/>
      <c r="O21" s="161"/>
      <c r="P21" s="161"/>
      <c r="Q21" s="161"/>
      <c r="R21" s="161"/>
      <c r="S21" s="161"/>
      <c r="T21" s="162"/>
    </row>
    <row r="23" spans="2:21" x14ac:dyDescent="0.25">
      <c r="B23" s="155" t="s">
        <v>42</v>
      </c>
      <c r="C23" s="280"/>
      <c r="D23" s="280"/>
      <c r="E23" s="280"/>
      <c r="F23" s="280"/>
      <c r="G23" s="280"/>
      <c r="H23" s="280"/>
      <c r="I23" s="280"/>
      <c r="J23" s="280"/>
      <c r="K23" s="280"/>
      <c r="L23" s="280"/>
      <c r="M23" s="280"/>
      <c r="N23" s="280"/>
      <c r="O23" s="280"/>
      <c r="P23" s="280"/>
      <c r="Q23" s="280"/>
      <c r="R23" s="280"/>
      <c r="S23" s="280"/>
      <c r="T23" s="156"/>
    </row>
    <row r="24" spans="2:21" ht="85.35" customHeight="1" x14ac:dyDescent="0.25">
      <c r="B24" s="157"/>
      <c r="F24" s="221" t="s">
        <v>43</v>
      </c>
      <c r="G24" s="164" t="s">
        <v>44</v>
      </c>
      <c r="H24" s="209" t="s">
        <v>45</v>
      </c>
      <c r="I24" s="323"/>
      <c r="J24" s="323"/>
      <c r="K24" s="323"/>
      <c r="L24" s="323"/>
      <c r="M24" s="323"/>
      <c r="N24" s="323"/>
      <c r="O24" s="323"/>
      <c r="P24" s="323"/>
      <c r="Q24" s="323"/>
      <c r="R24" s="323"/>
      <c r="S24" s="323"/>
      <c r="T24" s="210"/>
      <c r="U24" s="460"/>
    </row>
    <row r="25" spans="2:21" x14ac:dyDescent="0.25">
      <c r="B25" s="157"/>
      <c r="C25" s="220" t="s">
        <v>1049</v>
      </c>
      <c r="D25" s="223"/>
      <c r="E25" s="166"/>
      <c r="F25" s="127">
        <f>IF(ISBLANK(E17),G14,E17)</f>
        <v>9805305.2170428261</v>
      </c>
      <c r="G25" s="222"/>
      <c r="H25" s="219" t="s">
        <v>936</v>
      </c>
      <c r="I25" s="191"/>
      <c r="J25" s="191"/>
      <c r="K25" s="191"/>
      <c r="L25" s="191"/>
      <c r="M25" s="191"/>
      <c r="N25" s="191"/>
      <c r="O25" s="191"/>
      <c r="P25" s="191"/>
      <c r="Q25" s="191"/>
      <c r="R25" s="191"/>
      <c r="S25" s="191"/>
      <c r="T25" s="166"/>
    </row>
    <row r="26" spans="2:21" x14ac:dyDescent="0.25">
      <c r="B26" s="157"/>
      <c r="C26" s="321" t="s">
        <v>1048</v>
      </c>
      <c r="D26" s="224"/>
      <c r="E26" s="166"/>
      <c r="F26" s="222"/>
      <c r="G26" s="127">
        <f>K38</f>
        <v>10497034.543196518</v>
      </c>
      <c r="H26" s="160"/>
      <c r="I26" s="161"/>
      <c r="J26" s="161"/>
      <c r="K26" s="161"/>
      <c r="L26" s="161"/>
      <c r="M26" s="161"/>
      <c r="N26" s="161"/>
      <c r="O26" s="161"/>
      <c r="P26" s="161"/>
      <c r="Q26" s="161"/>
      <c r="R26" s="161"/>
      <c r="S26" s="161"/>
      <c r="T26" s="162"/>
    </row>
    <row r="27" spans="2:21" ht="33" customHeight="1" x14ac:dyDescent="0.25">
      <c r="B27" s="157"/>
      <c r="C27" s="321" t="s">
        <v>942</v>
      </c>
      <c r="D27" s="224"/>
      <c r="E27" s="659">
        <v>0.21099999999999999</v>
      </c>
      <c r="F27" s="660">
        <f>E27*F25</f>
        <v>2068919.4007960362</v>
      </c>
      <c r="G27" s="660">
        <f>E27*G26</f>
        <v>2214874.2886144654</v>
      </c>
      <c r="H27" s="797" t="s">
        <v>806</v>
      </c>
      <c r="I27" s="798"/>
      <c r="J27" s="798"/>
      <c r="K27" s="798"/>
      <c r="L27" s="798"/>
      <c r="M27" s="798"/>
      <c r="N27" s="798"/>
      <c r="O27" s="798"/>
      <c r="P27" s="798"/>
      <c r="Q27" s="798"/>
      <c r="R27" s="798"/>
      <c r="S27" s="798"/>
      <c r="T27" s="799"/>
    </row>
    <row r="28" spans="2:21" ht="33" customHeight="1" x14ac:dyDescent="0.25">
      <c r="B28" s="157"/>
      <c r="C28" s="321" t="s">
        <v>1051</v>
      </c>
      <c r="D28" s="224"/>
      <c r="E28" s="659">
        <v>0.62608474003292303</v>
      </c>
      <c r="F28" s="660">
        <f>E28*F27</f>
        <v>1295318.8651964571</v>
      </c>
      <c r="G28" s="660">
        <f>E28*G27</f>
        <v>1386698.9931927929</v>
      </c>
      <c r="H28" s="795" t="s">
        <v>1050</v>
      </c>
      <c r="I28" s="796"/>
      <c r="J28" s="793"/>
      <c r="K28" s="793"/>
      <c r="L28" s="793"/>
      <c r="M28" s="793"/>
      <c r="N28" s="793"/>
      <c r="O28" s="793"/>
      <c r="P28" s="793"/>
      <c r="Q28" s="793"/>
      <c r="R28" s="793"/>
      <c r="S28" s="793"/>
      <c r="T28" s="794"/>
    </row>
    <row r="29" spans="2:21" x14ac:dyDescent="0.25">
      <c r="B29" s="159"/>
      <c r="C29" s="208" t="s">
        <v>729</v>
      </c>
      <c r="D29" s="191"/>
      <c r="E29" s="461"/>
      <c r="F29" s="661">
        <f>F28</f>
        <v>1295318.8651964571</v>
      </c>
      <c r="G29" s="661">
        <f>G28</f>
        <v>1386698.9931927929</v>
      </c>
      <c r="H29" s="193"/>
      <c r="I29" s="191"/>
      <c r="J29" s="191"/>
      <c r="K29" s="191"/>
      <c r="L29" s="191"/>
      <c r="M29" s="191"/>
      <c r="N29" s="191"/>
      <c r="O29" s="191"/>
      <c r="P29" s="191"/>
      <c r="Q29" s="191"/>
      <c r="R29" s="191"/>
      <c r="S29" s="191"/>
      <c r="T29" s="166"/>
    </row>
    <row r="30" spans="2:21" x14ac:dyDescent="0.25">
      <c r="B30" s="159"/>
      <c r="C30" s="299"/>
      <c r="E30" s="300"/>
      <c r="F30" s="301"/>
      <c r="G30" s="301"/>
      <c r="H30" s="186"/>
      <c r="T30" s="158"/>
    </row>
    <row r="31" spans="2:21" x14ac:dyDescent="0.25">
      <c r="B31" s="159"/>
      <c r="C31" t="s">
        <v>46</v>
      </c>
      <c r="E31" s="300"/>
      <c r="F31" s="662" t="s">
        <v>41</v>
      </c>
      <c r="G31" s="466" t="s">
        <v>1008</v>
      </c>
      <c r="H31" s="466"/>
      <c r="T31" s="158"/>
    </row>
    <row r="32" spans="2:21" x14ac:dyDescent="0.25">
      <c r="B32" s="159"/>
      <c r="C32" s="299"/>
      <c r="F32" s="301"/>
      <c r="G32" s="301"/>
      <c r="H32" s="186"/>
      <c r="T32" s="158"/>
    </row>
    <row r="33" spans="2:20" x14ac:dyDescent="0.25">
      <c r="B33" s="159"/>
      <c r="C33" t="str">
        <f>"Manually entered current eligible population "&amp;IF(F31="no","","(n/a)")</f>
        <v>Manually entered current eligible population (n/a)</v>
      </c>
      <c r="F33" s="462"/>
      <c r="G33" s="168" t="str">
        <f>IF(F31="yes","Leave blue cell on left blank if NICE estimate is used","enter local value on left")</f>
        <v>Leave blue cell on left blank if NICE estimate is used</v>
      </c>
      <c r="T33" s="158"/>
    </row>
    <row r="34" spans="2:20" x14ac:dyDescent="0.25">
      <c r="B34" s="159"/>
      <c r="F34" s="463" t="str">
        <f>IF(AND(F31="yes",F33&gt;0),"error, set the drop down above to be 'no'","")</f>
        <v/>
      </c>
      <c r="G34" s="168"/>
      <c r="T34" s="158"/>
    </row>
    <row r="35" spans="2:20" ht="45" x14ac:dyDescent="0.25">
      <c r="B35" s="159"/>
      <c r="C35" s="161"/>
      <c r="F35" s="217" t="s">
        <v>807</v>
      </c>
      <c r="G35" s="164" t="s">
        <v>808</v>
      </c>
      <c r="H35" s="164" t="s">
        <v>809</v>
      </c>
      <c r="I35" s="218" t="s">
        <v>810</v>
      </c>
      <c r="J35" s="164" t="s">
        <v>811</v>
      </c>
      <c r="K35" s="164" t="s">
        <v>812</v>
      </c>
      <c r="N35" s="464"/>
      <c r="T35" s="158"/>
    </row>
    <row r="36" spans="2:20" x14ac:dyDescent="0.25">
      <c r="B36" s="159"/>
      <c r="C36" s="219" t="s">
        <v>49</v>
      </c>
      <c r="D36" s="191"/>
      <c r="E36" s="166"/>
      <c r="F36" s="200"/>
      <c r="G36" s="293">
        <f>IF(E19&lt;&gt;"",E19+100%,100%)</f>
        <v>1.0137272056214497</v>
      </c>
      <c r="H36" s="293">
        <f>IF($E$19&lt;&gt;"",G36*(100%+$E$19),100%)</f>
        <v>1.0276428474170729</v>
      </c>
      <c r="I36" s="293">
        <f>IF($E$19&lt;&gt;"",H36*(100%+$E$19),100%)</f>
        <v>1.041749512088979</v>
      </c>
      <c r="J36" s="293">
        <f>IF($E$19&lt;&gt;"",I36*(100%+$E$19),100%)</f>
        <v>1.0560498218474694</v>
      </c>
      <c r="K36" s="293">
        <f>IF($E$19&lt;&gt;"",J36*(100%+$E$19),100%)</f>
        <v>1.070546434898465</v>
      </c>
      <c r="T36" s="158"/>
    </row>
    <row r="37" spans="2:20" x14ac:dyDescent="0.25">
      <c r="B37" s="159"/>
      <c r="C37" s="219" t="s">
        <v>50</v>
      </c>
      <c r="D37" s="191"/>
      <c r="E37" s="166"/>
      <c r="F37" s="200"/>
      <c r="G37" s="293">
        <f>IF(E20&lt;&gt;"",E20+100%,100%)</f>
        <v>1</v>
      </c>
      <c r="H37" s="293">
        <f>IF($E$20&lt;&gt;"",G37*(100%+$E$20),100%)</f>
        <v>1</v>
      </c>
      <c r="I37" s="293">
        <f>IF($E$20&lt;&gt;"",H37*(100%+$E$20),100%)</f>
        <v>1</v>
      </c>
      <c r="J37" s="293">
        <f>IF($E$20&lt;&gt;"",I37*(100%+$E$20),100%)</f>
        <v>1</v>
      </c>
      <c r="K37" s="293">
        <f>IF($E$20&lt;&gt;"",J37*(100%+$E$20),100%)</f>
        <v>1</v>
      </c>
      <c r="L37" s="159"/>
      <c r="M37" s="719"/>
      <c r="T37" s="158"/>
    </row>
    <row r="38" spans="2:20" x14ac:dyDescent="0.25">
      <c r="B38" s="159"/>
      <c r="C38" s="321" t="str">
        <f>IF('Inputs and eligible population'!E17=0,"Baseline population (inflated by growth(s))","Manually entered locality population (inflated by growth(s))")</f>
        <v>Baseline population (inflated by growth(s))</v>
      </c>
      <c r="D38" s="191"/>
      <c r="E38" s="166"/>
      <c r="F38" s="127">
        <f>IF(ISBLANK(E17),G14,'Population selection'!F16)</f>
        <v>9805305.2170428261</v>
      </c>
      <c r="G38" s="127">
        <f>F38*G36</f>
        <v>9939904.6579382457</v>
      </c>
      <c r="H38" s="127">
        <f>F38*H36</f>
        <v>10076351.77303537</v>
      </c>
      <c r="I38" s="127">
        <f>F38*I36</f>
        <v>10214671.925737884</v>
      </c>
      <c r="J38" s="127">
        <f>F38*J36</f>
        <v>10354890.827618139</v>
      </c>
      <c r="K38" s="127">
        <f>F38*K36</f>
        <v>10497034.543196518</v>
      </c>
      <c r="T38" s="158"/>
    </row>
    <row r="39" spans="2:20" x14ac:dyDescent="0.25">
      <c r="B39" s="159"/>
      <c r="C39" s="722" t="str">
        <f>IF(ISBLANK(F33),"Eligible population, NICE estimate","Eligible population, local estimate")</f>
        <v>Eligible population, NICE estimate</v>
      </c>
      <c r="D39" s="191"/>
      <c r="E39" s="166"/>
      <c r="F39" s="179">
        <f>IF(ISBLANK(F33),F29, F33)</f>
        <v>1295318.8651964571</v>
      </c>
      <c r="G39" s="179">
        <f>$F$39*G36*G37</f>
        <v>1313099.9736043517</v>
      </c>
      <c r="H39" s="179">
        <f>$F$39*H36*H37</f>
        <v>1331125.1669435389</v>
      </c>
      <c r="I39" s="179">
        <f>$F$39*I36*I37</f>
        <v>1349397.7958180592</v>
      </c>
      <c r="J39" s="179">
        <f>$F$39*J36*J37</f>
        <v>1367921.2568263849</v>
      </c>
      <c r="K39" s="179">
        <f>$F$39*K36*K37</f>
        <v>1386698.9931927926</v>
      </c>
      <c r="L39" s="168" t="str">
        <f>IF(F31="no","this row not used; local estimate below is used","")</f>
        <v/>
      </c>
      <c r="M39" s="168"/>
      <c r="T39" s="158"/>
    </row>
    <row r="40" spans="2:20" x14ac:dyDescent="0.25">
      <c r="B40" s="160"/>
      <c r="C40" s="161"/>
      <c r="D40" s="161"/>
      <c r="E40" s="161"/>
      <c r="F40" s="465"/>
      <c r="G40" s="161"/>
      <c r="H40" s="161"/>
      <c r="I40" s="161"/>
      <c r="J40" s="161"/>
      <c r="K40" s="161"/>
      <c r="L40" s="161"/>
      <c r="M40" s="161"/>
      <c r="N40" s="161"/>
      <c r="O40" s="161"/>
      <c r="P40" s="161"/>
      <c r="Q40" s="161"/>
      <c r="R40" s="161"/>
      <c r="S40" s="161"/>
      <c r="T40" s="162"/>
    </row>
    <row r="43" spans="2:20" x14ac:dyDescent="0.25">
      <c r="B43" s="155" t="s">
        <v>813</v>
      </c>
      <c r="C43" s="280"/>
      <c r="D43" s="280"/>
      <c r="E43" s="280"/>
      <c r="F43" s="280"/>
      <c r="G43" s="280"/>
      <c r="H43" s="280"/>
      <c r="I43" s="280"/>
      <c r="J43" s="280"/>
      <c r="K43" s="280"/>
      <c r="L43" s="280"/>
      <c r="M43" s="280"/>
      <c r="N43" s="280"/>
      <c r="O43" s="280"/>
      <c r="P43" s="280"/>
      <c r="Q43" s="280"/>
      <c r="R43" s="156"/>
    </row>
    <row r="44" spans="2:20" x14ac:dyDescent="0.25">
      <c r="B44" s="159"/>
      <c r="C44" s="147"/>
      <c r="E44" s="466" t="s">
        <v>814</v>
      </c>
      <c r="G44" s="407"/>
      <c r="L44" s="186"/>
      <c r="M44" s="186"/>
      <c r="R44" s="158"/>
    </row>
    <row r="45" spans="2:20" x14ac:dyDescent="0.25">
      <c r="B45" s="159"/>
      <c r="C45" s="147"/>
      <c r="E45" s="186" t="s">
        <v>948</v>
      </c>
      <c r="L45" s="186"/>
      <c r="M45" s="186"/>
      <c r="R45" s="158"/>
    </row>
    <row r="46" spans="2:20" x14ac:dyDescent="0.25">
      <c r="B46" s="159"/>
      <c r="C46" s="147"/>
      <c r="E46" s="467" t="s">
        <v>945</v>
      </c>
      <c r="L46" s="186"/>
      <c r="M46" s="186"/>
      <c r="R46" s="158"/>
    </row>
    <row r="47" spans="2:20" x14ac:dyDescent="0.25">
      <c r="B47" s="159"/>
      <c r="C47" s="147"/>
      <c r="E47" s="467" t="s">
        <v>946</v>
      </c>
      <c r="L47" s="186"/>
      <c r="M47" s="186"/>
      <c r="R47" s="158"/>
    </row>
    <row r="48" spans="2:20" x14ac:dyDescent="0.25">
      <c r="B48" s="159"/>
      <c r="C48" s="147"/>
      <c r="E48" s="467" t="s">
        <v>947</v>
      </c>
      <c r="R48" s="158"/>
    </row>
    <row r="49" spans="2:18" x14ac:dyDescent="0.25">
      <c r="B49" s="159"/>
      <c r="C49" s="147"/>
      <c r="R49" s="158"/>
    </row>
    <row r="50" spans="2:18" ht="47.1" customHeight="1" x14ac:dyDescent="0.25">
      <c r="B50" s="159"/>
      <c r="D50" s="302" t="s">
        <v>51</v>
      </c>
      <c r="E50" s="217" t="s">
        <v>807</v>
      </c>
      <c r="F50" s="164" t="s">
        <v>808</v>
      </c>
      <c r="G50" s="164" t="s">
        <v>809</v>
      </c>
      <c r="H50" s="218" t="s">
        <v>810</v>
      </c>
      <c r="I50" s="164" t="s">
        <v>811</v>
      </c>
      <c r="J50" s="164" t="s">
        <v>812</v>
      </c>
      <c r="L50" s="217" t="s">
        <v>807</v>
      </c>
      <c r="M50" s="164" t="s">
        <v>808</v>
      </c>
      <c r="N50" s="164" t="s">
        <v>809</v>
      </c>
      <c r="O50" s="218" t="s">
        <v>810</v>
      </c>
      <c r="P50" s="164" t="s">
        <v>811</v>
      </c>
      <c r="Q50" s="164" t="s">
        <v>812</v>
      </c>
      <c r="R50" s="158"/>
    </row>
    <row r="51" spans="2:18" x14ac:dyDescent="0.25">
      <c r="B51" s="159"/>
      <c r="D51" s="302" t="s">
        <v>815</v>
      </c>
      <c r="E51" s="468"/>
      <c r="F51" s="469"/>
      <c r="G51" s="469"/>
      <c r="H51" s="469"/>
      <c r="I51" s="469"/>
      <c r="J51" s="469"/>
      <c r="L51" s="468"/>
      <c r="M51" s="469"/>
      <c r="N51" s="469"/>
      <c r="O51" s="469"/>
      <c r="P51" s="469"/>
      <c r="Q51" s="469"/>
      <c r="R51" s="158"/>
    </row>
    <row r="52" spans="2:18" x14ac:dyDescent="0.25">
      <c r="B52" s="159"/>
      <c r="D52" s="150" t="s">
        <v>1045</v>
      </c>
      <c r="E52" s="787">
        <v>1</v>
      </c>
      <c r="F52" s="789">
        <v>1</v>
      </c>
      <c r="G52" s="789">
        <v>1</v>
      </c>
      <c r="H52" s="789">
        <v>1</v>
      </c>
      <c r="I52" s="789">
        <v>1</v>
      </c>
      <c r="J52" s="788">
        <v>1</v>
      </c>
      <c r="L52" s="646">
        <f t="shared" ref="L52:Q52" si="0">E52*F39</f>
        <v>1295318.8651964571</v>
      </c>
      <c r="M52" s="646">
        <f t="shared" si="0"/>
        <v>1313099.9736043517</v>
      </c>
      <c r="N52" s="646">
        <f t="shared" si="0"/>
        <v>1331125.1669435389</v>
      </c>
      <c r="O52" s="646">
        <f t="shared" si="0"/>
        <v>1349397.7958180592</v>
      </c>
      <c r="P52" s="646">
        <f t="shared" si="0"/>
        <v>1367921.2568263849</v>
      </c>
      <c r="Q52" s="646">
        <f t="shared" si="0"/>
        <v>1386698.9931927926</v>
      </c>
      <c r="R52" s="158"/>
    </row>
    <row r="53" spans="2:18" x14ac:dyDescent="0.25">
      <c r="B53" s="159"/>
      <c r="D53" s="150"/>
      <c r="E53" s="471"/>
      <c r="F53" s="471"/>
      <c r="G53" s="471"/>
      <c r="H53" s="471"/>
      <c r="I53" s="471"/>
      <c r="J53" s="471"/>
      <c r="L53" s="647"/>
      <c r="M53" s="647"/>
      <c r="N53" s="647"/>
      <c r="O53" s="647"/>
      <c r="P53" s="647"/>
      <c r="Q53" s="647"/>
      <c r="R53" s="158"/>
    </row>
    <row r="54" spans="2:18" x14ac:dyDescent="0.25">
      <c r="B54" s="159"/>
      <c r="D54" s="150" t="s">
        <v>933</v>
      </c>
      <c r="E54" s="470"/>
      <c r="F54" s="470"/>
      <c r="G54" s="470"/>
      <c r="H54" s="470"/>
      <c r="I54" s="470"/>
      <c r="J54" s="470"/>
      <c r="L54" s="648">
        <f>L52*E54</f>
        <v>0</v>
      </c>
      <c r="M54" s="648">
        <f t="shared" ref="M54:Q54" si="1">M52*F54</f>
        <v>0</v>
      </c>
      <c r="N54" s="648">
        <f t="shared" si="1"/>
        <v>0</v>
      </c>
      <c r="O54" s="648">
        <f t="shared" si="1"/>
        <v>0</v>
      </c>
      <c r="P54" s="648">
        <f t="shared" si="1"/>
        <v>0</v>
      </c>
      <c r="Q54" s="648">
        <f t="shared" si="1"/>
        <v>0</v>
      </c>
      <c r="R54" s="158"/>
    </row>
    <row r="55" spans="2:18" x14ac:dyDescent="0.25">
      <c r="B55" s="159"/>
      <c r="C55" s="147"/>
      <c r="D55" s="150" t="s">
        <v>934</v>
      </c>
      <c r="E55" s="775" t="str">
        <f>IF(E54=0,"",1-E54)</f>
        <v/>
      </c>
      <c r="F55" s="775" t="str">
        <f t="shared" ref="F55:J55" si="2">IF(F54=0,"",1-F54)</f>
        <v/>
      </c>
      <c r="G55" s="775" t="str">
        <f t="shared" si="2"/>
        <v/>
      </c>
      <c r="H55" s="775" t="str">
        <f t="shared" si="2"/>
        <v/>
      </c>
      <c r="I55" s="775" t="str">
        <f t="shared" si="2"/>
        <v/>
      </c>
      <c r="J55" s="775" t="str">
        <f t="shared" si="2"/>
        <v/>
      </c>
      <c r="L55" s="649" t="str">
        <f>IFERROR(E55*L52,"")</f>
        <v/>
      </c>
      <c r="M55" s="649" t="str">
        <f t="shared" ref="M55:Q55" si="3">IFERROR(F55*M52,"")</f>
        <v/>
      </c>
      <c r="N55" s="649" t="str">
        <f t="shared" si="3"/>
        <v/>
      </c>
      <c r="O55" s="649" t="str">
        <f t="shared" si="3"/>
        <v/>
      </c>
      <c r="P55" s="649" t="str">
        <f t="shared" si="3"/>
        <v/>
      </c>
      <c r="Q55" s="649" t="str">
        <f t="shared" si="3"/>
        <v/>
      </c>
      <c r="R55" s="158"/>
    </row>
    <row r="56" spans="2:18" s="147" customFormat="1" x14ac:dyDescent="0.25">
      <c r="B56" s="157"/>
      <c r="D56" s="302" t="s">
        <v>816</v>
      </c>
      <c r="E56" s="658">
        <f>SUM(E54:E55)</f>
        <v>0</v>
      </c>
      <c r="F56" s="658">
        <f t="shared" ref="F56:J56" si="4">SUM(F54:F55)</f>
        <v>0</v>
      </c>
      <c r="G56" s="658">
        <f t="shared" si="4"/>
        <v>0</v>
      </c>
      <c r="H56" s="658">
        <f t="shared" si="4"/>
        <v>0</v>
      </c>
      <c r="I56" s="658">
        <f t="shared" si="4"/>
        <v>0</v>
      </c>
      <c r="J56" s="658">
        <f t="shared" si="4"/>
        <v>0</v>
      </c>
      <c r="K56"/>
      <c r="L56" s="650">
        <f>SUM(L54:L55)</f>
        <v>0</v>
      </c>
      <c r="M56" s="650">
        <f t="shared" ref="M56:Q56" si="5">SUM(M54:M55)</f>
        <v>0</v>
      </c>
      <c r="N56" s="650">
        <f t="shared" si="5"/>
        <v>0</v>
      </c>
      <c r="O56" s="650">
        <f t="shared" si="5"/>
        <v>0</v>
      </c>
      <c r="P56" s="650">
        <f t="shared" si="5"/>
        <v>0</v>
      </c>
      <c r="Q56" s="650">
        <f t="shared" si="5"/>
        <v>0</v>
      </c>
      <c r="R56" s="472"/>
    </row>
    <row r="57" spans="2:18" x14ac:dyDescent="0.25">
      <c r="B57" s="159"/>
      <c r="D57" s="150"/>
      <c r="E57" s="150"/>
      <c r="F57" s="150"/>
      <c r="G57" s="150"/>
      <c r="H57" s="150"/>
      <c r="I57" s="150"/>
      <c r="J57" s="150"/>
      <c r="L57" s="150"/>
      <c r="M57" s="150"/>
      <c r="N57" s="150"/>
      <c r="O57" s="150"/>
      <c r="P57" s="150"/>
      <c r="Q57" s="150"/>
      <c r="R57" s="158"/>
    </row>
    <row r="58" spans="2:18" ht="14.45" customHeight="1" x14ac:dyDescent="0.25">
      <c r="B58" s="159"/>
      <c r="D58" s="294" t="s">
        <v>1010</v>
      </c>
      <c r="E58" s="473"/>
      <c r="F58" s="473"/>
      <c r="G58" s="473"/>
      <c r="H58" s="473"/>
      <c r="I58" s="473"/>
      <c r="J58" s="473"/>
      <c r="L58" s="651">
        <f t="shared" ref="L58:Q58" si="6">L52*E58</f>
        <v>0</v>
      </c>
      <c r="M58" s="651">
        <f t="shared" si="6"/>
        <v>0</v>
      </c>
      <c r="N58" s="651">
        <f t="shared" si="6"/>
        <v>0</v>
      </c>
      <c r="O58" s="651">
        <f t="shared" si="6"/>
        <v>0</v>
      </c>
      <c r="P58" s="651">
        <f t="shared" si="6"/>
        <v>0</v>
      </c>
      <c r="Q58" s="652">
        <f t="shared" si="6"/>
        <v>0</v>
      </c>
      <c r="R58" s="158"/>
    </row>
    <row r="59" spans="2:18" ht="14.45" customHeight="1" x14ac:dyDescent="0.25">
      <c r="B59" s="159"/>
      <c r="C59" s="147"/>
      <c r="D59" s="294" t="s">
        <v>1011</v>
      </c>
      <c r="E59" s="790" t="str">
        <f>IF(E58=0,"",1-E58)</f>
        <v/>
      </c>
      <c r="F59" s="790" t="str">
        <f t="shared" ref="F59:J59" si="7">IF(F58=0,"",1-F58)</f>
        <v/>
      </c>
      <c r="G59" s="790" t="str">
        <f t="shared" si="7"/>
        <v/>
      </c>
      <c r="H59" s="790" t="str">
        <f t="shared" si="7"/>
        <v/>
      </c>
      <c r="I59" s="790" t="str">
        <f t="shared" si="7"/>
        <v/>
      </c>
      <c r="J59" s="790" t="str">
        <f t="shared" si="7"/>
        <v/>
      </c>
      <c r="L59" s="776" t="str">
        <f>IFERROR(E59*L52,"")</f>
        <v/>
      </c>
      <c r="M59" s="776" t="str">
        <f t="shared" ref="M59:Q59" si="8">IFERROR(F59*M52,"")</f>
        <v/>
      </c>
      <c r="N59" s="776" t="str">
        <f t="shared" si="8"/>
        <v/>
      </c>
      <c r="O59" s="776" t="str">
        <f t="shared" si="8"/>
        <v/>
      </c>
      <c r="P59" s="776" t="str">
        <f t="shared" si="8"/>
        <v/>
      </c>
      <c r="Q59" s="776" t="str">
        <f t="shared" si="8"/>
        <v/>
      </c>
      <c r="R59" s="158"/>
    </row>
    <row r="60" spans="2:18" s="147" customFormat="1" x14ac:dyDescent="0.25">
      <c r="B60" s="157"/>
      <c r="D60" s="474" t="s">
        <v>817</v>
      </c>
      <c r="E60" s="658">
        <f t="shared" ref="E60:J60" si="9">SUM(E58:E59)</f>
        <v>0</v>
      </c>
      <c r="F60" s="658">
        <f t="shared" si="9"/>
        <v>0</v>
      </c>
      <c r="G60" s="658">
        <f t="shared" si="9"/>
        <v>0</v>
      </c>
      <c r="H60" s="658">
        <f t="shared" si="9"/>
        <v>0</v>
      </c>
      <c r="I60" s="658">
        <f t="shared" si="9"/>
        <v>0</v>
      </c>
      <c r="J60" s="658">
        <f t="shared" si="9"/>
        <v>0</v>
      </c>
      <c r="K60"/>
      <c r="L60" s="650">
        <f t="shared" ref="L60:Q60" si="10">SUM(L58:L59)</f>
        <v>0</v>
      </c>
      <c r="M60" s="650">
        <f t="shared" si="10"/>
        <v>0</v>
      </c>
      <c r="N60" s="650">
        <f t="shared" si="10"/>
        <v>0</v>
      </c>
      <c r="O60" s="650">
        <f t="shared" si="10"/>
        <v>0</v>
      </c>
      <c r="P60" s="650">
        <f t="shared" si="10"/>
        <v>0</v>
      </c>
      <c r="Q60" s="650">
        <f t="shared" si="10"/>
        <v>0</v>
      </c>
      <c r="R60" s="472"/>
    </row>
    <row r="61" spans="2:18" ht="14.45" customHeight="1" x14ac:dyDescent="0.25">
      <c r="B61" s="159"/>
      <c r="D61" s="294"/>
      <c r="E61" s="475"/>
      <c r="F61" s="475"/>
      <c r="G61" s="475"/>
      <c r="H61" s="475"/>
      <c r="I61" s="475"/>
      <c r="J61" s="475"/>
      <c r="L61" s="653"/>
      <c r="M61" s="653"/>
      <c r="N61" s="653"/>
      <c r="O61" s="653"/>
      <c r="P61" s="653"/>
      <c r="Q61" s="653"/>
      <c r="R61" s="158"/>
    </row>
    <row r="62" spans="2:18" x14ac:dyDescent="0.25">
      <c r="B62" s="159"/>
      <c r="C62" s="147"/>
      <c r="D62" s="302" t="s">
        <v>818</v>
      </c>
      <c r="E62" s="476"/>
      <c r="F62" s="476"/>
      <c r="G62" s="476"/>
      <c r="H62" s="476"/>
      <c r="I62" s="476"/>
      <c r="J62" s="476"/>
      <c r="L62" s="654"/>
      <c r="M62" s="654"/>
      <c r="N62" s="654"/>
      <c r="O62" s="654"/>
      <c r="P62" s="654"/>
      <c r="Q62" s="654"/>
      <c r="R62" s="158"/>
    </row>
    <row r="63" spans="2:18" x14ac:dyDescent="0.25">
      <c r="B63" s="159"/>
      <c r="C63" s="147"/>
      <c r="D63" s="294" t="s">
        <v>1012</v>
      </c>
      <c r="E63" s="791"/>
      <c r="F63" s="791"/>
      <c r="G63" s="791"/>
      <c r="H63" s="791"/>
      <c r="I63" s="791"/>
      <c r="J63" s="791"/>
      <c r="L63" s="649">
        <f>L58*E63</f>
        <v>0</v>
      </c>
      <c r="M63" s="649">
        <f t="shared" ref="M63:Q63" si="11">M58*F63</f>
        <v>0</v>
      </c>
      <c r="N63" s="649">
        <f t="shared" si="11"/>
        <v>0</v>
      </c>
      <c r="O63" s="649">
        <f t="shared" si="11"/>
        <v>0</v>
      </c>
      <c r="P63" s="649">
        <f t="shared" si="11"/>
        <v>0</v>
      </c>
      <c r="Q63" s="792">
        <f t="shared" si="11"/>
        <v>0</v>
      </c>
      <c r="R63" s="158"/>
    </row>
    <row r="64" spans="2:18" x14ac:dyDescent="0.25">
      <c r="B64" s="159"/>
      <c r="C64" s="147"/>
      <c r="D64" s="474" t="s">
        <v>1014</v>
      </c>
      <c r="E64" s="476"/>
      <c r="F64" s="476"/>
      <c r="G64" s="476"/>
      <c r="H64" s="476"/>
      <c r="I64" s="476"/>
      <c r="J64" s="476"/>
      <c r="L64" s="654"/>
      <c r="M64" s="654"/>
      <c r="N64" s="654"/>
      <c r="O64" s="654"/>
      <c r="P64" s="654"/>
      <c r="Q64" s="654"/>
      <c r="R64" s="158"/>
    </row>
    <row r="65" spans="2:18" x14ac:dyDescent="0.25">
      <c r="B65" s="159"/>
      <c r="D65" s="294" t="s">
        <v>1013</v>
      </c>
      <c r="E65" s="473"/>
      <c r="F65" s="473"/>
      <c r="G65" s="473"/>
      <c r="H65" s="473"/>
      <c r="I65" s="473"/>
      <c r="J65" s="473"/>
      <c r="L65" s="652">
        <f>E65*L$63</f>
        <v>0</v>
      </c>
      <c r="M65" s="652">
        <f t="shared" ref="M65:Q69" si="12">F65*M$63</f>
        <v>0</v>
      </c>
      <c r="N65" s="652">
        <f t="shared" si="12"/>
        <v>0</v>
      </c>
      <c r="O65" s="652">
        <f t="shared" si="12"/>
        <v>0</v>
      </c>
      <c r="P65" s="652">
        <f t="shared" si="12"/>
        <v>0</v>
      </c>
      <c r="Q65" s="652">
        <f t="shared" si="12"/>
        <v>0</v>
      </c>
      <c r="R65" s="158"/>
    </row>
    <row r="66" spans="2:18" x14ac:dyDescent="0.25">
      <c r="B66" s="159"/>
      <c r="D66" s="294" t="s">
        <v>957</v>
      </c>
      <c r="E66" s="699"/>
      <c r="F66" s="699"/>
      <c r="G66" s="699"/>
      <c r="H66" s="699"/>
      <c r="I66" s="699"/>
      <c r="J66" s="699"/>
      <c r="L66" s="652">
        <f t="shared" ref="L66:L69" si="13">E66*L$63</f>
        <v>0</v>
      </c>
      <c r="M66" s="652">
        <f t="shared" si="12"/>
        <v>0</v>
      </c>
      <c r="N66" s="652">
        <f t="shared" si="12"/>
        <v>0</v>
      </c>
      <c r="O66" s="652">
        <f t="shared" si="12"/>
        <v>0</v>
      </c>
      <c r="P66" s="652">
        <f t="shared" si="12"/>
        <v>0</v>
      </c>
      <c r="Q66" s="652">
        <f t="shared" si="12"/>
        <v>0</v>
      </c>
      <c r="R66" s="158"/>
    </row>
    <row r="67" spans="2:18" x14ac:dyDescent="0.25">
      <c r="B67" s="159"/>
      <c r="D67" s="294" t="s">
        <v>958</v>
      </c>
      <c r="E67" s="477"/>
      <c r="F67" s="477"/>
      <c r="G67" s="477"/>
      <c r="H67" s="477"/>
      <c r="I67" s="477"/>
      <c r="J67" s="477"/>
      <c r="L67" s="652">
        <f t="shared" si="13"/>
        <v>0</v>
      </c>
      <c r="M67" s="652">
        <f t="shared" si="12"/>
        <v>0</v>
      </c>
      <c r="N67" s="652">
        <f t="shared" si="12"/>
        <v>0</v>
      </c>
      <c r="O67" s="652">
        <f t="shared" si="12"/>
        <v>0</v>
      </c>
      <c r="P67" s="652">
        <f t="shared" si="12"/>
        <v>0</v>
      </c>
      <c r="Q67" s="652">
        <f t="shared" si="12"/>
        <v>0</v>
      </c>
      <c r="R67" s="158"/>
    </row>
    <row r="68" spans="2:18" x14ac:dyDescent="0.25">
      <c r="B68" s="159"/>
      <c r="D68" s="294" t="s">
        <v>959</v>
      </c>
      <c r="E68" s="477"/>
      <c r="F68" s="477"/>
      <c r="G68" s="477"/>
      <c r="H68" s="477"/>
      <c r="I68" s="477"/>
      <c r="J68" s="477"/>
      <c r="L68" s="652">
        <f t="shared" si="13"/>
        <v>0</v>
      </c>
      <c r="M68" s="652">
        <f t="shared" si="12"/>
        <v>0</v>
      </c>
      <c r="N68" s="652">
        <f t="shared" si="12"/>
        <v>0</v>
      </c>
      <c r="O68" s="652">
        <f t="shared" si="12"/>
        <v>0</v>
      </c>
      <c r="P68" s="652">
        <f t="shared" si="12"/>
        <v>0</v>
      </c>
      <c r="Q68" s="652">
        <f t="shared" si="12"/>
        <v>0</v>
      </c>
      <c r="R68" s="158"/>
    </row>
    <row r="69" spans="2:18" x14ac:dyDescent="0.25">
      <c r="B69" s="159"/>
      <c r="D69" s="294" t="s">
        <v>1009</v>
      </c>
      <c r="E69" s="477"/>
      <c r="F69" s="477"/>
      <c r="G69" s="477"/>
      <c r="H69" s="477"/>
      <c r="I69" s="477"/>
      <c r="J69" s="477"/>
      <c r="L69" s="652">
        <f t="shared" si="13"/>
        <v>0</v>
      </c>
      <c r="M69" s="652">
        <f t="shared" si="12"/>
        <v>0</v>
      </c>
      <c r="N69" s="652">
        <f t="shared" si="12"/>
        <v>0</v>
      </c>
      <c r="O69" s="652">
        <f t="shared" si="12"/>
        <v>0</v>
      </c>
      <c r="P69" s="652">
        <f t="shared" si="12"/>
        <v>0</v>
      </c>
      <c r="Q69" s="652">
        <f t="shared" si="12"/>
        <v>0</v>
      </c>
      <c r="R69" s="158"/>
    </row>
    <row r="70" spans="2:18" x14ac:dyDescent="0.25">
      <c r="B70" s="159"/>
      <c r="D70" s="474" t="s">
        <v>1015</v>
      </c>
      <c r="E70" s="698">
        <f t="shared" ref="E70:J70" si="14">SUM(E65:E69)</f>
        <v>0</v>
      </c>
      <c r="F70" s="698">
        <f t="shared" si="14"/>
        <v>0</v>
      </c>
      <c r="G70" s="698">
        <f t="shared" si="14"/>
        <v>0</v>
      </c>
      <c r="H70" s="698">
        <f t="shared" si="14"/>
        <v>0</v>
      </c>
      <c r="I70" s="698">
        <f t="shared" si="14"/>
        <v>0</v>
      </c>
      <c r="J70" s="698">
        <f t="shared" si="14"/>
        <v>0</v>
      </c>
      <c r="L70" s="655">
        <f t="shared" ref="L70:Q70" si="15">SUM(L65:L69)</f>
        <v>0</v>
      </c>
      <c r="M70" s="656">
        <f t="shared" si="15"/>
        <v>0</v>
      </c>
      <c r="N70" s="656">
        <f t="shared" si="15"/>
        <v>0</v>
      </c>
      <c r="O70" s="656">
        <f t="shared" si="15"/>
        <v>0</v>
      </c>
      <c r="P70" s="656">
        <f t="shared" si="15"/>
        <v>0</v>
      </c>
      <c r="Q70" s="657">
        <f t="shared" si="15"/>
        <v>0</v>
      </c>
      <c r="R70" s="158"/>
    </row>
    <row r="71" spans="2:18" x14ac:dyDescent="0.25">
      <c r="B71" s="159"/>
      <c r="D71" s="474"/>
      <c r="E71" s="476"/>
      <c r="F71" s="476"/>
      <c r="G71" s="476"/>
      <c r="H71" s="476"/>
      <c r="I71" s="476"/>
      <c r="J71" s="476"/>
      <c r="L71" s="654"/>
      <c r="M71" s="654"/>
      <c r="N71" s="654"/>
      <c r="O71" s="654"/>
      <c r="P71" s="654"/>
      <c r="Q71" s="654"/>
      <c r="R71" s="158"/>
    </row>
    <row r="72" spans="2:18" x14ac:dyDescent="0.25">
      <c r="B72" s="159"/>
      <c r="D72" s="294" t="s">
        <v>944</v>
      </c>
      <c r="E72" s="658" t="str">
        <f t="shared" ref="E72:J72" si="16">IF(E63="","",1-E63)</f>
        <v/>
      </c>
      <c r="F72" s="658" t="str">
        <f t="shared" si="16"/>
        <v/>
      </c>
      <c r="G72" s="658" t="str">
        <f t="shared" si="16"/>
        <v/>
      </c>
      <c r="H72" s="658" t="str">
        <f t="shared" si="16"/>
        <v/>
      </c>
      <c r="I72" s="658" t="str">
        <f t="shared" si="16"/>
        <v/>
      </c>
      <c r="J72" s="658" t="str">
        <f t="shared" si="16"/>
        <v/>
      </c>
      <c r="L72" s="650" t="str">
        <f t="shared" ref="L72:Q72" si="17">IFERROR(E72*L58,"")</f>
        <v/>
      </c>
      <c r="M72" s="650" t="str">
        <f t="shared" si="17"/>
        <v/>
      </c>
      <c r="N72" s="650" t="str">
        <f t="shared" si="17"/>
        <v/>
      </c>
      <c r="O72" s="650" t="str">
        <f t="shared" si="17"/>
        <v/>
      </c>
      <c r="P72" s="650" t="str">
        <f t="shared" si="17"/>
        <v/>
      </c>
      <c r="Q72" s="650" t="str">
        <f t="shared" si="17"/>
        <v/>
      </c>
      <c r="R72" s="158"/>
    </row>
    <row r="73" spans="2:18" ht="16.350000000000001" customHeight="1" x14ac:dyDescent="0.25">
      <c r="B73" s="157"/>
      <c r="C73" s="147"/>
      <c r="D73" s="474" t="s">
        <v>819</v>
      </c>
      <c r="E73" s="658" t="str">
        <f t="shared" ref="E73:J73" si="18">IFERROR(E72+E63,"")</f>
        <v/>
      </c>
      <c r="F73" s="658" t="str">
        <f t="shared" si="18"/>
        <v/>
      </c>
      <c r="G73" s="658" t="str">
        <f t="shared" si="18"/>
        <v/>
      </c>
      <c r="H73" s="658" t="str">
        <f t="shared" si="18"/>
        <v/>
      </c>
      <c r="I73" s="658" t="str">
        <f t="shared" si="18"/>
        <v/>
      </c>
      <c r="J73" s="658" t="str">
        <f t="shared" si="18"/>
        <v/>
      </c>
      <c r="L73" s="650" t="str">
        <f t="shared" ref="L73:Q73" si="19">IFERROR(L72+L63,"")</f>
        <v/>
      </c>
      <c r="M73" s="650" t="str">
        <f t="shared" si="19"/>
        <v/>
      </c>
      <c r="N73" s="650" t="str">
        <f t="shared" si="19"/>
        <v/>
      </c>
      <c r="O73" s="650" t="str">
        <f t="shared" si="19"/>
        <v/>
      </c>
      <c r="P73" s="650" t="str">
        <f t="shared" si="19"/>
        <v/>
      </c>
      <c r="Q73" s="650" t="str">
        <f t="shared" si="19"/>
        <v/>
      </c>
      <c r="R73" s="158"/>
    </row>
    <row r="74" spans="2:18" x14ac:dyDescent="0.25">
      <c r="B74" s="159"/>
      <c r="D74" s="474"/>
      <c r="E74" s="476"/>
      <c r="F74" s="476"/>
      <c r="G74" s="476"/>
      <c r="H74" s="476"/>
      <c r="I74" s="476"/>
      <c r="J74" s="476"/>
      <c r="L74" s="654"/>
      <c r="M74" s="654"/>
      <c r="N74" s="654"/>
      <c r="O74" s="654"/>
      <c r="P74" s="654"/>
      <c r="Q74" s="654"/>
      <c r="R74" s="158"/>
    </row>
    <row r="75" spans="2:18" x14ac:dyDescent="0.25">
      <c r="B75" s="159"/>
      <c r="D75" s="302" t="s">
        <v>1016</v>
      </c>
      <c r="E75" s="478"/>
      <c r="F75" s="479"/>
      <c r="G75" s="479"/>
      <c r="H75" s="479"/>
      <c r="I75" s="479"/>
      <c r="J75" s="479"/>
      <c r="L75" s="653"/>
      <c r="M75" s="653"/>
      <c r="N75" s="653"/>
      <c r="O75" s="653"/>
      <c r="P75" s="653"/>
      <c r="Q75" s="653"/>
      <c r="R75" s="158"/>
    </row>
    <row r="76" spans="2:18" x14ac:dyDescent="0.25">
      <c r="B76" s="159"/>
      <c r="C76" s="147"/>
      <c r="D76" s="150" t="s">
        <v>1017</v>
      </c>
      <c r="E76" s="728">
        <f>E54</f>
        <v>0</v>
      </c>
      <c r="F76" s="728">
        <f t="shared" ref="F76:J76" si="20">F54</f>
        <v>0</v>
      </c>
      <c r="G76" s="728">
        <f t="shared" si="20"/>
        <v>0</v>
      </c>
      <c r="H76" s="728">
        <f t="shared" si="20"/>
        <v>0</v>
      </c>
      <c r="I76" s="728">
        <f t="shared" si="20"/>
        <v>0</v>
      </c>
      <c r="J76" s="728">
        <f t="shared" si="20"/>
        <v>0</v>
      </c>
      <c r="L76" s="649">
        <f t="shared" ref="L76:Q76" si="21">L52*E76</f>
        <v>0</v>
      </c>
      <c r="M76" s="649">
        <f t="shared" si="21"/>
        <v>0</v>
      </c>
      <c r="N76" s="649">
        <f t="shared" si="21"/>
        <v>0</v>
      </c>
      <c r="O76" s="649">
        <f t="shared" si="21"/>
        <v>0</v>
      </c>
      <c r="P76" s="649">
        <f t="shared" si="21"/>
        <v>0</v>
      </c>
      <c r="Q76" s="649">
        <f t="shared" si="21"/>
        <v>0</v>
      </c>
      <c r="R76" s="158"/>
    </row>
    <row r="77" spans="2:18" x14ac:dyDescent="0.25">
      <c r="B77" s="159"/>
      <c r="D77" s="294" t="s">
        <v>1018</v>
      </c>
      <c r="E77" s="470"/>
      <c r="F77" s="470"/>
      <c r="G77" s="470"/>
      <c r="H77" s="470"/>
      <c r="I77" s="470"/>
      <c r="J77" s="470"/>
      <c r="L77" s="652">
        <f>E77*L76</f>
        <v>0</v>
      </c>
      <c r="M77" s="652">
        <f t="shared" ref="M77:Q78" si="22">F77*M76</f>
        <v>0</v>
      </c>
      <c r="N77" s="652">
        <f t="shared" si="22"/>
        <v>0</v>
      </c>
      <c r="O77" s="652">
        <f t="shared" si="22"/>
        <v>0</v>
      </c>
      <c r="P77" s="652">
        <f t="shared" si="22"/>
        <v>0</v>
      </c>
      <c r="Q77" s="652">
        <f t="shared" si="22"/>
        <v>0</v>
      </c>
      <c r="R77" s="158"/>
    </row>
    <row r="78" spans="2:18" x14ac:dyDescent="0.25">
      <c r="B78" s="159"/>
      <c r="D78" s="294" t="s">
        <v>964</v>
      </c>
      <c r="E78" s="470"/>
      <c r="F78" s="470"/>
      <c r="G78" s="470"/>
      <c r="H78" s="470"/>
      <c r="I78" s="470"/>
      <c r="J78" s="470"/>
      <c r="L78" s="652">
        <f>E78*L77</f>
        <v>0</v>
      </c>
      <c r="M78" s="652">
        <f t="shared" si="22"/>
        <v>0</v>
      </c>
      <c r="N78" s="652">
        <f t="shared" si="22"/>
        <v>0</v>
      </c>
      <c r="O78" s="652">
        <f t="shared" si="22"/>
        <v>0</v>
      </c>
      <c r="P78" s="652">
        <f t="shared" si="22"/>
        <v>0</v>
      </c>
      <c r="Q78" s="652">
        <f t="shared" si="22"/>
        <v>0</v>
      </c>
      <c r="R78" s="158"/>
    </row>
    <row r="79" spans="2:18" x14ac:dyDescent="0.25">
      <c r="B79" s="159"/>
      <c r="D79" s="294" t="s">
        <v>965</v>
      </c>
      <c r="E79" s="470"/>
      <c r="F79" s="470"/>
      <c r="G79" s="470"/>
      <c r="H79" s="470"/>
      <c r="I79" s="470"/>
      <c r="J79" s="470"/>
      <c r="L79" s="652">
        <f>E79*L77</f>
        <v>0</v>
      </c>
      <c r="M79" s="652">
        <f t="shared" ref="M79:Q79" si="23">F79*M77</f>
        <v>0</v>
      </c>
      <c r="N79" s="652">
        <f t="shared" si="23"/>
        <v>0</v>
      </c>
      <c r="O79" s="652">
        <f t="shared" si="23"/>
        <v>0</v>
      </c>
      <c r="P79" s="652">
        <f t="shared" si="23"/>
        <v>0</v>
      </c>
      <c r="Q79" s="652">
        <f t="shared" si="23"/>
        <v>0</v>
      </c>
      <c r="R79" s="158"/>
    </row>
    <row r="80" spans="2:18" x14ac:dyDescent="0.25">
      <c r="B80" s="159"/>
      <c r="D80" s="294" t="s">
        <v>966</v>
      </c>
      <c r="E80" s="470"/>
      <c r="F80" s="470"/>
      <c r="G80" s="470"/>
      <c r="H80" s="470"/>
      <c r="I80" s="470"/>
      <c r="J80" s="470"/>
      <c r="L80" s="652">
        <f>E80*L77</f>
        <v>0</v>
      </c>
      <c r="M80" s="652">
        <f t="shared" ref="M80:Q80" si="24">F80*M77</f>
        <v>0</v>
      </c>
      <c r="N80" s="652">
        <f t="shared" si="24"/>
        <v>0</v>
      </c>
      <c r="O80" s="652">
        <f t="shared" si="24"/>
        <v>0</v>
      </c>
      <c r="P80" s="652">
        <f t="shared" si="24"/>
        <v>0</v>
      </c>
      <c r="Q80" s="652">
        <f t="shared" si="24"/>
        <v>0</v>
      </c>
      <c r="R80" s="158"/>
    </row>
    <row r="81" spans="2:18" x14ac:dyDescent="0.25">
      <c r="B81" s="159"/>
      <c r="D81" s="294" t="s">
        <v>967</v>
      </c>
      <c r="E81" s="470"/>
      <c r="F81" s="470"/>
      <c r="G81" s="470"/>
      <c r="H81" s="470"/>
      <c r="I81" s="470"/>
      <c r="J81" s="470"/>
      <c r="L81" s="652">
        <f>E81*L77</f>
        <v>0</v>
      </c>
      <c r="M81" s="652">
        <f t="shared" ref="M81:Q81" si="25">F81*M77</f>
        <v>0</v>
      </c>
      <c r="N81" s="652">
        <f t="shared" si="25"/>
        <v>0</v>
      </c>
      <c r="O81" s="652">
        <f t="shared" si="25"/>
        <v>0</v>
      </c>
      <c r="P81" s="652">
        <f t="shared" si="25"/>
        <v>0</v>
      </c>
      <c r="Q81" s="652">
        <f t="shared" si="25"/>
        <v>0</v>
      </c>
      <c r="R81" s="158"/>
    </row>
    <row r="82" spans="2:18" x14ac:dyDescent="0.25">
      <c r="B82" s="159"/>
      <c r="D82" s="474" t="s">
        <v>816</v>
      </c>
      <c r="E82" s="723">
        <f>SUM(E78:E81)</f>
        <v>0</v>
      </c>
      <c r="F82" s="723">
        <f t="shared" ref="F82:J82" si="26">SUM(F78:F81)</f>
        <v>0</v>
      </c>
      <c r="G82" s="723">
        <f t="shared" si="26"/>
        <v>0</v>
      </c>
      <c r="H82" s="723">
        <f t="shared" si="26"/>
        <v>0</v>
      </c>
      <c r="I82" s="723">
        <f t="shared" si="26"/>
        <v>0</v>
      </c>
      <c r="J82" s="723">
        <f t="shared" si="26"/>
        <v>0</v>
      </c>
      <c r="L82" s="650">
        <f>SUM(L78:L81)</f>
        <v>0</v>
      </c>
      <c r="M82" s="650">
        <f t="shared" ref="M82:Q82" si="27">SUM(M78:M81)</f>
        <v>0</v>
      </c>
      <c r="N82" s="650">
        <f t="shared" si="27"/>
        <v>0</v>
      </c>
      <c r="O82" s="650">
        <f t="shared" si="27"/>
        <v>0</v>
      </c>
      <c r="P82" s="650">
        <f t="shared" si="27"/>
        <v>0</v>
      </c>
      <c r="Q82" s="650">
        <f t="shared" si="27"/>
        <v>0</v>
      </c>
      <c r="R82" s="158"/>
    </row>
    <row r="83" spans="2:18" x14ac:dyDescent="0.25">
      <c r="B83" s="159"/>
      <c r="D83" s="474" t="s">
        <v>960</v>
      </c>
      <c r="E83" s="474"/>
      <c r="F83" s="474"/>
      <c r="G83" s="474"/>
      <c r="H83" s="474"/>
      <c r="I83" s="474"/>
      <c r="J83" s="474"/>
      <c r="L83" s="474"/>
      <c r="M83" s="474"/>
      <c r="N83" s="474"/>
      <c r="O83" s="474"/>
      <c r="P83" s="474"/>
      <c r="Q83" s="474"/>
      <c r="R83" s="158"/>
    </row>
    <row r="84" spans="2:18" x14ac:dyDescent="0.25">
      <c r="B84" s="159"/>
      <c r="D84" s="294" t="s">
        <v>1019</v>
      </c>
      <c r="E84" s="725"/>
      <c r="F84" s="725"/>
      <c r="G84" s="725"/>
      <c r="H84" s="725"/>
      <c r="I84" s="725"/>
      <c r="J84" s="725"/>
      <c r="L84" s="726">
        <f>E84*L52</f>
        <v>0</v>
      </c>
      <c r="M84" s="726">
        <f t="shared" ref="M84:Q84" si="28">F84*M52</f>
        <v>0</v>
      </c>
      <c r="N84" s="726">
        <f t="shared" si="28"/>
        <v>0</v>
      </c>
      <c r="O84" s="726">
        <f t="shared" si="28"/>
        <v>0</v>
      </c>
      <c r="P84" s="726">
        <f t="shared" si="28"/>
        <v>0</v>
      </c>
      <c r="Q84" s="726">
        <f t="shared" si="28"/>
        <v>0</v>
      </c>
      <c r="R84" s="158"/>
    </row>
    <row r="85" spans="2:18" x14ac:dyDescent="0.25">
      <c r="B85" s="159"/>
      <c r="D85" s="294" t="s">
        <v>1020</v>
      </c>
      <c r="E85" s="725"/>
      <c r="F85" s="725"/>
      <c r="G85" s="725"/>
      <c r="H85" s="725"/>
      <c r="I85" s="725"/>
      <c r="J85" s="725"/>
      <c r="L85" s="726">
        <f>L84*E85</f>
        <v>0</v>
      </c>
      <c r="M85" s="726">
        <f t="shared" ref="M85:Q85" si="29">M84*F85</f>
        <v>0</v>
      </c>
      <c r="N85" s="726">
        <f t="shared" si="29"/>
        <v>0</v>
      </c>
      <c r="O85" s="726">
        <f t="shared" si="29"/>
        <v>0</v>
      </c>
      <c r="P85" s="726">
        <f t="shared" si="29"/>
        <v>0</v>
      </c>
      <c r="Q85" s="726">
        <f t="shared" si="29"/>
        <v>0</v>
      </c>
      <c r="R85" s="158"/>
    </row>
    <row r="86" spans="2:18" x14ac:dyDescent="0.25">
      <c r="B86" s="159"/>
      <c r="D86" s="294" t="s">
        <v>1021</v>
      </c>
      <c r="E86" s="725"/>
      <c r="F86" s="725"/>
      <c r="G86" s="725"/>
      <c r="H86" s="725"/>
      <c r="I86" s="725"/>
      <c r="J86" s="725"/>
      <c r="L86" s="777">
        <f>L85*E86</f>
        <v>0</v>
      </c>
      <c r="M86" s="777">
        <f t="shared" ref="M86" si="30">M85*F86</f>
        <v>0</v>
      </c>
      <c r="N86" s="777">
        <f t="shared" ref="N86" si="31">N85*G86</f>
        <v>0</v>
      </c>
      <c r="O86" s="777">
        <f t="shared" ref="O86" si="32">O85*H86</f>
        <v>0</v>
      </c>
      <c r="P86" s="777">
        <f t="shared" ref="P86" si="33">P85*I86</f>
        <v>0</v>
      </c>
      <c r="Q86" s="777">
        <f t="shared" ref="Q86" si="34">Q85*J86</f>
        <v>0</v>
      </c>
      <c r="R86" s="158"/>
    </row>
    <row r="87" spans="2:18" x14ac:dyDescent="0.25">
      <c r="B87" s="159"/>
      <c r="D87" s="474"/>
      <c r="E87" s="474"/>
      <c r="F87" s="474"/>
      <c r="G87" s="474"/>
      <c r="H87" s="474"/>
      <c r="I87" s="474"/>
      <c r="J87" s="474"/>
      <c r="L87" s="474"/>
      <c r="M87" s="474"/>
      <c r="N87" s="474"/>
      <c r="O87" s="474"/>
      <c r="P87" s="474"/>
      <c r="Q87" s="474"/>
      <c r="R87" s="158"/>
    </row>
    <row r="88" spans="2:18" x14ac:dyDescent="0.25">
      <c r="B88" s="159"/>
      <c r="C88" t="s">
        <v>820</v>
      </c>
      <c r="E88" s="724"/>
      <c r="F88" s="724"/>
      <c r="G88" s="724"/>
      <c r="H88" s="724"/>
      <c r="I88" s="724"/>
      <c r="J88" s="724"/>
      <c r="R88" s="158"/>
    </row>
    <row r="89" spans="2:18" x14ac:dyDescent="0.25">
      <c r="B89" s="159"/>
      <c r="C89" t="s">
        <v>821</v>
      </c>
      <c r="E89" s="724"/>
      <c r="F89" s="724"/>
      <c r="G89" s="724"/>
      <c r="H89" s="724"/>
      <c r="I89" s="724"/>
      <c r="J89" s="724"/>
      <c r="R89" s="158"/>
    </row>
    <row r="90" spans="2:18" x14ac:dyDescent="0.25">
      <c r="B90" s="160"/>
      <c r="C90" s="161"/>
      <c r="D90" s="161"/>
      <c r="E90" s="161"/>
      <c r="F90" s="161"/>
      <c r="G90" s="161"/>
      <c r="H90" s="161"/>
      <c r="I90" s="161"/>
      <c r="J90" s="161"/>
      <c r="K90" s="161"/>
      <c r="L90" s="161"/>
      <c r="M90" s="161"/>
      <c r="N90" s="161"/>
      <c r="O90" s="161"/>
      <c r="P90" s="161"/>
      <c r="Q90" s="161"/>
      <c r="R90" s="162"/>
    </row>
    <row r="91" spans="2:18" x14ac:dyDescent="0.25">
      <c r="D91" s="280"/>
      <c r="K91" s="280"/>
    </row>
    <row r="92" spans="2:18" x14ac:dyDescent="0.25">
      <c r="B92" s="155" t="s">
        <v>57</v>
      </c>
      <c r="C92" s="280"/>
      <c r="D92" s="280"/>
      <c r="E92" s="280"/>
      <c r="F92" s="280"/>
      <c r="G92" s="280"/>
      <c r="H92" s="280"/>
      <c r="I92" s="280"/>
      <c r="J92" s="280"/>
      <c r="K92" s="280"/>
      <c r="L92" s="280"/>
      <c r="M92" s="280"/>
      <c r="N92" s="280"/>
      <c r="O92" s="280"/>
      <c r="P92" s="280"/>
      <c r="Q92" s="280"/>
      <c r="R92" s="156"/>
    </row>
    <row r="93" spans="2:18" x14ac:dyDescent="0.25">
      <c r="B93" s="159" t="s">
        <v>58</v>
      </c>
      <c r="R93" s="158"/>
    </row>
    <row r="94" spans="2:18" x14ac:dyDescent="0.25">
      <c r="B94" s="159" t="s">
        <v>59</v>
      </c>
      <c r="G94" s="202"/>
      <c r="R94" s="158"/>
    </row>
    <row r="95" spans="2:18" x14ac:dyDescent="0.25">
      <c r="B95" s="159"/>
      <c r="C95" s="294"/>
      <c r="D95" s="202"/>
      <c r="E95" s="202"/>
      <c r="F95" s="202"/>
      <c r="R95" s="158"/>
    </row>
    <row r="96" spans="2:18" ht="60.6" customHeight="1" x14ac:dyDescent="0.25">
      <c r="B96" s="159"/>
      <c r="C96" s="327" t="s">
        <v>60</v>
      </c>
      <c r="D96" s="327" t="s">
        <v>61</v>
      </c>
      <c r="E96" s="327" t="s">
        <v>62</v>
      </c>
      <c r="F96" s="327" t="s">
        <v>822</v>
      </c>
      <c r="G96" s="480" t="s">
        <v>823</v>
      </c>
      <c r="H96" s="327" t="s">
        <v>63</v>
      </c>
      <c r="I96" s="481" t="s">
        <v>824</v>
      </c>
      <c r="J96" s="327" t="s">
        <v>825</v>
      </c>
      <c r="K96" s="482"/>
      <c r="L96" s="483"/>
      <c r="M96" s="482"/>
      <c r="N96" s="482"/>
      <c r="O96" s="482"/>
      <c r="P96" s="482"/>
      <c r="Q96" s="408"/>
      <c r="R96" s="158"/>
    </row>
    <row r="97" spans="2:20" ht="30" customHeight="1" x14ac:dyDescent="0.25">
      <c r="B97" s="159"/>
      <c r="C97" s="484" t="s">
        <v>826</v>
      </c>
      <c r="D97" s="359"/>
      <c r="E97" s="359"/>
      <c r="F97" s="485"/>
      <c r="G97" s="359"/>
      <c r="H97" s="486"/>
      <c r="I97" s="487"/>
      <c r="J97" s="486"/>
      <c r="K97" s="482"/>
      <c r="L97" s="483"/>
      <c r="M97" s="482"/>
      <c r="N97" s="482"/>
      <c r="O97" s="482"/>
      <c r="P97" s="482"/>
      <c r="Q97" s="408"/>
      <c r="R97" s="158"/>
    </row>
    <row r="98" spans="2:20" ht="30.75" customHeight="1" x14ac:dyDescent="0.25">
      <c r="B98" s="159"/>
      <c r="C98" s="712" t="s">
        <v>999</v>
      </c>
      <c r="D98" s="164" t="s">
        <v>827</v>
      </c>
      <c r="E98" s="164" t="s">
        <v>828</v>
      </c>
      <c r="F98" s="488"/>
      <c r="G98" s="779" t="s">
        <v>915</v>
      </c>
      <c r="H98" s="778">
        <f>VLOOKUP(G98,payscales!$B$12:$K$47,10,0)</f>
        <v>95.22</v>
      </c>
      <c r="I98" s="489">
        <v>20</v>
      </c>
      <c r="J98" s="778">
        <f>H98/60*I98</f>
        <v>31.74</v>
      </c>
      <c r="K98" s="490"/>
      <c r="L98" s="408"/>
      <c r="M98" s="491"/>
      <c r="N98" s="492"/>
      <c r="O98" s="491"/>
      <c r="P98" s="491"/>
      <c r="Q98" s="491"/>
      <c r="R98" s="158"/>
      <c r="T98" s="493"/>
    </row>
    <row r="99" spans="2:20" ht="42.75" customHeight="1" x14ac:dyDescent="0.25">
      <c r="B99" s="159"/>
      <c r="C99" s="712" t="s">
        <v>998</v>
      </c>
      <c r="D99" s="164" t="s">
        <v>827</v>
      </c>
      <c r="E99" s="164" t="s">
        <v>828</v>
      </c>
      <c r="F99" s="488"/>
      <c r="G99" s="779" t="s">
        <v>705</v>
      </c>
      <c r="H99" s="778">
        <f>VLOOKUP(G99,payscales!$B$12:$K$47,10,0)</f>
        <v>139.46</v>
      </c>
      <c r="I99" s="489">
        <v>15</v>
      </c>
      <c r="J99" s="778">
        <f t="shared" ref="J99" si="35">H99/60*I99</f>
        <v>34.865000000000002</v>
      </c>
      <c r="K99" s="490"/>
      <c r="L99" s="408"/>
      <c r="M99" s="491"/>
      <c r="N99" s="492"/>
      <c r="O99" s="491"/>
      <c r="P99" s="491"/>
      <c r="Q99" s="491"/>
      <c r="R99" s="158"/>
      <c r="T99" s="493"/>
    </row>
    <row r="100" spans="2:20" ht="24.95" customHeight="1" x14ac:dyDescent="0.25">
      <c r="B100" s="159"/>
      <c r="C100" s="713" t="s">
        <v>1004</v>
      </c>
      <c r="D100" s="359"/>
      <c r="E100" s="359"/>
      <c r="F100" s="485"/>
      <c r="G100" s="359"/>
      <c r="H100" s="486"/>
      <c r="I100" s="487"/>
      <c r="J100" s="486"/>
      <c r="K100" s="490"/>
      <c r="L100" s="408"/>
      <c r="M100" s="491"/>
      <c r="N100" s="492"/>
      <c r="O100" s="491"/>
      <c r="P100" s="491"/>
      <c r="Q100" s="491"/>
      <c r="R100" s="158"/>
    </row>
    <row r="101" spans="2:20" ht="39.75" customHeight="1" x14ac:dyDescent="0.25">
      <c r="B101" s="159"/>
      <c r="C101" s="714" t="s">
        <v>871</v>
      </c>
      <c r="D101" s="164" t="s">
        <v>830</v>
      </c>
      <c r="E101" s="164" t="s">
        <v>828</v>
      </c>
      <c r="F101" s="488"/>
      <c r="G101" s="779" t="s">
        <v>64</v>
      </c>
      <c r="H101" s="778">
        <f>VLOOKUP(G101,payscales!$B$12:$K$47,10,0)</f>
        <v>42.15</v>
      </c>
      <c r="I101" s="642"/>
      <c r="J101" s="778">
        <f>H101/60*I101</f>
        <v>0</v>
      </c>
      <c r="K101" s="490"/>
      <c r="L101" s="408"/>
      <c r="M101" s="800"/>
      <c r="N101" s="800"/>
      <c r="O101" s="491"/>
      <c r="P101" s="491"/>
      <c r="Q101" s="491"/>
      <c r="R101" s="158"/>
    </row>
    <row r="102" spans="2:20" ht="34.5" customHeight="1" x14ac:dyDescent="0.25">
      <c r="B102" s="159"/>
      <c r="C102" s="714" t="s">
        <v>980</v>
      </c>
      <c r="D102" s="164" t="s">
        <v>830</v>
      </c>
      <c r="E102" s="164" t="s">
        <v>828</v>
      </c>
      <c r="F102" s="488"/>
      <c r="G102" s="779" t="s">
        <v>64</v>
      </c>
      <c r="H102" s="778">
        <f>VLOOKUP(G102,payscales!$B$12:$K$47,10,0)</f>
        <v>42.15</v>
      </c>
      <c r="I102" s="642"/>
      <c r="J102" s="778">
        <f t="shared" ref="J102" si="36">H102/60*I102</f>
        <v>0</v>
      </c>
      <c r="K102" s="490"/>
      <c r="L102" s="408"/>
      <c r="M102" s="800"/>
      <c r="N102" s="800"/>
      <c r="O102" s="491"/>
      <c r="P102" s="491"/>
      <c r="Q102" s="491"/>
      <c r="R102" s="158"/>
    </row>
    <row r="103" spans="2:20" ht="34.5" customHeight="1" x14ac:dyDescent="0.25">
      <c r="B103" s="159"/>
      <c r="C103" s="714" t="s">
        <v>981</v>
      </c>
      <c r="D103" s="164" t="s">
        <v>830</v>
      </c>
      <c r="E103" s="164" t="s">
        <v>828</v>
      </c>
      <c r="F103" s="488"/>
      <c r="G103" s="779" t="s">
        <v>64</v>
      </c>
      <c r="H103" s="778">
        <f>VLOOKUP(G103,payscales!$B$12:$K$47,10,0)</f>
        <v>42.15</v>
      </c>
      <c r="I103" s="642"/>
      <c r="J103" s="778">
        <f>H103/60*I103</f>
        <v>0</v>
      </c>
      <c r="K103" s="490"/>
      <c r="L103" s="408"/>
      <c r="M103" s="800"/>
      <c r="N103" s="800"/>
      <c r="O103" s="491"/>
      <c r="P103" s="491"/>
      <c r="Q103" s="491"/>
      <c r="R103" s="158"/>
    </row>
    <row r="104" spans="2:20" ht="25.5" customHeight="1" x14ac:dyDescent="0.25">
      <c r="B104" s="159"/>
      <c r="C104" s="714" t="s">
        <v>982</v>
      </c>
      <c r="D104" s="164" t="s">
        <v>830</v>
      </c>
      <c r="E104" s="164" t="s">
        <v>828</v>
      </c>
      <c r="F104" s="488"/>
      <c r="G104" s="779" t="s">
        <v>64</v>
      </c>
      <c r="H104" s="778">
        <f>VLOOKUP(G104,payscales!$B$12:$K$47,10,0)</f>
        <v>42.15</v>
      </c>
      <c r="I104" s="642"/>
      <c r="J104" s="778">
        <f t="shared" ref="J104:J105" si="37">H104/60*I104</f>
        <v>0</v>
      </c>
      <c r="K104" s="490"/>
      <c r="L104" s="408"/>
      <c r="M104" s="491"/>
      <c r="N104" s="492"/>
      <c r="O104" s="491"/>
      <c r="P104" s="491"/>
      <c r="Q104" s="491"/>
      <c r="R104" s="158"/>
    </row>
    <row r="105" spans="2:20" ht="25.35" customHeight="1" x14ac:dyDescent="0.25">
      <c r="B105" s="159"/>
      <c r="C105" s="714" t="s">
        <v>1022</v>
      </c>
      <c r="D105" s="164" t="s">
        <v>830</v>
      </c>
      <c r="E105" s="164" t="s">
        <v>828</v>
      </c>
      <c r="F105" s="488"/>
      <c r="G105" s="779"/>
      <c r="H105" s="778">
        <f>IFERROR(VLOOKUP(G105,payscales!$B$12:$K$47,10,0),0)</f>
        <v>0</v>
      </c>
      <c r="I105" s="642"/>
      <c r="J105" s="778">
        <f t="shared" si="37"/>
        <v>0</v>
      </c>
      <c r="K105" s="490"/>
      <c r="L105" s="408"/>
      <c r="M105" s="491"/>
      <c r="N105" s="492"/>
      <c r="O105" s="491"/>
      <c r="P105" s="491"/>
      <c r="Q105" s="491"/>
      <c r="R105" s="158"/>
    </row>
    <row r="106" spans="2:20" ht="24.95" customHeight="1" x14ac:dyDescent="0.25">
      <c r="B106" s="159"/>
      <c r="C106" s="484" t="s">
        <v>1005</v>
      </c>
      <c r="D106" s="359"/>
      <c r="E106" s="359"/>
      <c r="F106" s="485"/>
      <c r="G106" s="359"/>
      <c r="H106" s="486"/>
      <c r="I106" s="487"/>
      <c r="J106" s="486"/>
      <c r="K106" s="490"/>
      <c r="L106" s="408"/>
      <c r="M106" s="491"/>
      <c r="N106" s="492"/>
      <c r="O106" s="491"/>
      <c r="P106" s="491"/>
      <c r="Q106" s="491"/>
      <c r="R106" s="158"/>
    </row>
    <row r="107" spans="2:20" ht="24.95" customHeight="1" x14ac:dyDescent="0.25">
      <c r="B107" s="159"/>
      <c r="C107" s="494" t="s">
        <v>968</v>
      </c>
      <c r="D107" s="164" t="s">
        <v>832</v>
      </c>
      <c r="E107" s="164" t="s">
        <v>828</v>
      </c>
      <c r="F107" s="495"/>
      <c r="G107" s="779" t="s">
        <v>690</v>
      </c>
      <c r="H107" s="778">
        <f>VLOOKUP(G107,payscales!$B$12:$K$47,10,0)</f>
        <v>52.75</v>
      </c>
      <c r="I107" s="489"/>
      <c r="J107" s="778">
        <f>H107/60*I107</f>
        <v>0</v>
      </c>
      <c r="K107" s="496"/>
      <c r="L107" s="408"/>
      <c r="M107" s="492"/>
      <c r="N107" s="491"/>
      <c r="O107" s="491"/>
      <c r="P107" s="491"/>
      <c r="R107" s="158"/>
    </row>
    <row r="108" spans="2:20" ht="27.75" customHeight="1" x14ac:dyDescent="0.25">
      <c r="B108" s="159"/>
      <c r="C108" s="494" t="s">
        <v>955</v>
      </c>
      <c r="D108" s="164" t="s">
        <v>833</v>
      </c>
      <c r="E108" s="164" t="s">
        <v>828</v>
      </c>
      <c r="F108" s="495"/>
      <c r="G108" s="779" t="s">
        <v>705</v>
      </c>
      <c r="H108" s="778">
        <f>VLOOKUP(G108,payscales!$B$12:$K$47,10,0)</f>
        <v>139.46</v>
      </c>
      <c r="I108" s="489"/>
      <c r="J108" s="778">
        <f>H108/60*I108</f>
        <v>0</v>
      </c>
      <c r="K108" s="496"/>
      <c r="L108" s="408"/>
      <c r="M108" s="491"/>
      <c r="N108" s="492"/>
      <c r="O108" s="491"/>
      <c r="P108" s="491"/>
      <c r="Q108" s="491"/>
      <c r="R108" s="158"/>
    </row>
    <row r="109" spans="2:20" ht="32.25" customHeight="1" x14ac:dyDescent="0.25">
      <c r="B109" s="159"/>
      <c r="C109" s="494" t="s">
        <v>969</v>
      </c>
      <c r="D109" s="497" t="s">
        <v>834</v>
      </c>
      <c r="E109" s="164" t="s">
        <v>828</v>
      </c>
      <c r="F109" s="495"/>
      <c r="G109" s="779" t="s">
        <v>705</v>
      </c>
      <c r="H109" s="778">
        <f>VLOOKUP(G109,payscales!$B$12:$K$47,10,0)</f>
        <v>139.46</v>
      </c>
      <c r="I109" s="489"/>
      <c r="J109" s="778">
        <f>H109/60*I109</f>
        <v>0</v>
      </c>
      <c r="K109" s="496"/>
      <c r="L109" s="408"/>
      <c r="M109" s="491"/>
      <c r="N109" s="492"/>
      <c r="O109" s="491"/>
      <c r="P109" s="491"/>
      <c r="Q109" s="491"/>
      <c r="R109" s="158"/>
    </row>
    <row r="110" spans="2:20" ht="28.5" customHeight="1" x14ac:dyDescent="0.25">
      <c r="B110" s="159"/>
      <c r="C110" s="494" t="s">
        <v>956</v>
      </c>
      <c r="D110" s="164" t="s">
        <v>833</v>
      </c>
      <c r="E110" s="164" t="s">
        <v>828</v>
      </c>
      <c r="F110" s="495"/>
      <c r="G110" s="779" t="s">
        <v>705</v>
      </c>
      <c r="H110" s="778">
        <f>VLOOKUP(G110,payscales!$B$12:$K$47,10,0)</f>
        <v>139.46</v>
      </c>
      <c r="I110" s="489"/>
      <c r="J110" s="778">
        <f>H110/60*I110</f>
        <v>0</v>
      </c>
      <c r="K110" s="496"/>
      <c r="L110" s="408"/>
      <c r="M110" s="491"/>
      <c r="N110" s="492"/>
      <c r="O110" s="491"/>
      <c r="P110" s="491"/>
      <c r="Q110" s="491"/>
      <c r="R110" s="158"/>
    </row>
    <row r="111" spans="2:20" ht="21.6" customHeight="1" x14ac:dyDescent="0.25">
      <c r="B111" s="159"/>
      <c r="C111" s="730" t="s">
        <v>960</v>
      </c>
      <c r="D111" s="498"/>
      <c r="E111" s="408"/>
      <c r="F111" s="499"/>
      <c r="G111" s="490"/>
      <c r="H111" s="490"/>
      <c r="I111" s="490"/>
      <c r="J111" s="490"/>
      <c r="K111" s="490"/>
      <c r="L111" s="408"/>
      <c r="M111" s="491"/>
      <c r="N111" s="491"/>
      <c r="O111" s="491"/>
      <c r="P111" s="491"/>
      <c r="R111" s="158"/>
    </row>
    <row r="112" spans="2:20" ht="30" x14ac:dyDescent="0.25">
      <c r="B112" s="159"/>
      <c r="C112" s="731" t="s">
        <v>1023</v>
      </c>
      <c r="D112" s="164" t="s">
        <v>997</v>
      </c>
      <c r="E112" s="164" t="s">
        <v>970</v>
      </c>
      <c r="F112" s="735"/>
      <c r="G112" s="734"/>
      <c r="H112" s="734"/>
      <c r="I112" s="734"/>
      <c r="J112" s="734"/>
      <c r="K112" s="408"/>
      <c r="L112" s="408"/>
      <c r="R112" s="158"/>
    </row>
    <row r="113" spans="2:18" ht="34.5" customHeight="1" x14ac:dyDescent="0.25">
      <c r="B113" s="159"/>
      <c r="C113" s="732" t="s">
        <v>826</v>
      </c>
      <c r="D113" s="164" t="s">
        <v>827</v>
      </c>
      <c r="E113" s="164" t="s">
        <v>828</v>
      </c>
      <c r="F113" s="495"/>
      <c r="G113" s="779" t="s">
        <v>705</v>
      </c>
      <c r="H113" s="778">
        <f>VLOOKUP(G113,payscales!$B$12:$K$47,10,0)</f>
        <v>139.46</v>
      </c>
      <c r="I113" s="642">
        <v>20</v>
      </c>
      <c r="J113" s="778">
        <f>H113/60*I113</f>
        <v>46.486666666666672</v>
      </c>
      <c r="K113" s="496"/>
      <c r="L113" s="408"/>
      <c r="M113" s="492"/>
      <c r="N113" s="491"/>
      <c r="O113" s="491"/>
      <c r="P113" s="491"/>
      <c r="R113" s="158"/>
    </row>
    <row r="114" spans="2:18" ht="46.5" customHeight="1" x14ac:dyDescent="0.25">
      <c r="B114" s="159"/>
      <c r="C114" s="731" t="s">
        <v>1024</v>
      </c>
      <c r="D114" s="164" t="s">
        <v>997</v>
      </c>
      <c r="E114" s="164" t="s">
        <v>970</v>
      </c>
      <c r="F114" s="729" t="str">
        <f>IF(F112="","",1-F112)</f>
        <v/>
      </c>
      <c r="G114" s="734"/>
      <c r="H114" s="734"/>
      <c r="I114" s="734"/>
      <c r="J114" s="734"/>
      <c r="K114" s="496"/>
      <c r="L114" s="408"/>
      <c r="M114" s="492"/>
      <c r="N114" s="491"/>
      <c r="O114" s="491"/>
      <c r="P114" s="491"/>
      <c r="R114" s="158"/>
    </row>
    <row r="115" spans="2:18" ht="33" customHeight="1" x14ac:dyDescent="0.25">
      <c r="B115" s="159"/>
      <c r="C115" s="733" t="s">
        <v>826</v>
      </c>
      <c r="D115" s="164" t="s">
        <v>827</v>
      </c>
      <c r="E115" s="164" t="s">
        <v>828</v>
      </c>
      <c r="F115" s="495"/>
      <c r="G115" s="779" t="s">
        <v>915</v>
      </c>
      <c r="H115" s="778">
        <f>VLOOKUP(G115,payscales!$B$12:$K$47,10,0)</f>
        <v>95.22</v>
      </c>
      <c r="I115" s="489">
        <v>15</v>
      </c>
      <c r="J115" s="778">
        <f>H115/60*I115</f>
        <v>23.805</v>
      </c>
      <c r="K115" s="496"/>
      <c r="L115" s="408"/>
      <c r="M115" s="491"/>
      <c r="N115" s="492"/>
      <c r="O115" s="491"/>
      <c r="P115" s="491"/>
      <c r="Q115" s="491"/>
      <c r="R115" s="158"/>
    </row>
    <row r="116" spans="2:18" x14ac:dyDescent="0.25">
      <c r="B116" s="159"/>
      <c r="D116" s="408"/>
      <c r="E116" s="408"/>
      <c r="F116" s="408"/>
      <c r="G116" s="719"/>
      <c r="H116" s="719"/>
      <c r="I116" s="719"/>
      <c r="K116" s="407"/>
      <c r="L116" s="408"/>
      <c r="R116" s="158"/>
    </row>
    <row r="117" spans="2:18" x14ac:dyDescent="0.25">
      <c r="B117" s="159"/>
      <c r="C117" s="192" t="s">
        <v>69</v>
      </c>
      <c r="D117" s="150"/>
      <c r="R117" s="158"/>
    </row>
    <row r="118" spans="2:18" x14ac:dyDescent="0.25">
      <c r="B118" s="159"/>
      <c r="C118" t="s">
        <v>835</v>
      </c>
      <c r="D118" s="150"/>
      <c r="R118" s="158"/>
    </row>
    <row r="119" spans="2:18" x14ac:dyDescent="0.25">
      <c r="B119" s="159"/>
      <c r="C119" t="s">
        <v>836</v>
      </c>
      <c r="D119" s="150"/>
      <c r="R119" s="158"/>
    </row>
    <row r="120" spans="2:18" x14ac:dyDescent="0.25">
      <c r="B120" s="159"/>
      <c r="C120" s="186" t="s">
        <v>837</v>
      </c>
      <c r="D120" s="150"/>
      <c r="R120" s="158"/>
    </row>
    <row r="121" spans="2:18" x14ac:dyDescent="0.25">
      <c r="B121" s="159"/>
      <c r="C121" s="186" t="s">
        <v>1025</v>
      </c>
      <c r="D121" s="150"/>
      <c r="R121" s="158"/>
    </row>
    <row r="122" spans="2:18" x14ac:dyDescent="0.25">
      <c r="B122" s="160"/>
      <c r="C122" s="161"/>
      <c r="D122" s="163"/>
      <c r="E122" s="163"/>
      <c r="F122" s="163"/>
      <c r="G122" s="163"/>
      <c r="H122" s="163"/>
      <c r="I122" s="161"/>
      <c r="J122" s="161"/>
      <c r="K122" s="161"/>
      <c r="L122" s="161"/>
      <c r="M122" s="161"/>
      <c r="N122" s="161"/>
      <c r="O122" s="161"/>
      <c r="P122" s="161"/>
      <c r="Q122" s="161"/>
      <c r="R122" s="162"/>
    </row>
    <row r="123" spans="2:18" x14ac:dyDescent="0.25">
      <c r="D123" s="150"/>
      <c r="E123" s="150"/>
      <c r="F123" s="150"/>
      <c r="G123" s="150"/>
    </row>
    <row r="124" spans="2:18" x14ac:dyDescent="0.25">
      <c r="B124" s="324" t="s">
        <v>70</v>
      </c>
      <c r="C124" s="323"/>
      <c r="D124" s="323"/>
      <c r="E124" s="323"/>
      <c r="F124" s="323"/>
      <c r="G124" s="323"/>
      <c r="H124" s="323"/>
      <c r="I124" s="323"/>
      <c r="J124" s="323"/>
      <c r="K124" s="323"/>
      <c r="L124" s="323"/>
      <c r="M124" s="323"/>
      <c r="N124" s="323"/>
      <c r="O124" s="323"/>
      <c r="P124" s="323"/>
      <c r="Q124" s="323"/>
      <c r="R124" s="210"/>
    </row>
    <row r="125" spans="2:18" x14ac:dyDescent="0.25">
      <c r="B125" s="214"/>
      <c r="C125" s="207"/>
      <c r="D125" s="207"/>
      <c r="E125" s="207"/>
      <c r="F125" s="207"/>
      <c r="G125" s="207"/>
      <c r="H125" s="207"/>
      <c r="I125" s="207"/>
      <c r="J125" s="207"/>
      <c r="K125" s="207"/>
      <c r="L125" s="207"/>
      <c r="M125" s="207"/>
      <c r="N125" s="207"/>
      <c r="O125" s="207"/>
      <c r="P125" s="207"/>
      <c r="Q125" s="207"/>
      <c r="R125" s="215"/>
    </row>
    <row r="126" spans="2:18" x14ac:dyDescent="0.25">
      <c r="B126" s="214"/>
      <c r="C126" s="643" t="s">
        <v>916</v>
      </c>
      <c r="D126" s="207"/>
      <c r="E126" s="207"/>
      <c r="F126" s="207"/>
      <c r="G126" s="207"/>
      <c r="H126" s="207"/>
      <c r="I126" s="207"/>
      <c r="J126" s="207"/>
      <c r="K126" s="207"/>
      <c r="L126" s="207"/>
      <c r="M126" s="207"/>
      <c r="N126" s="207"/>
      <c r="O126" s="207"/>
      <c r="P126" s="207"/>
      <c r="Q126" s="207"/>
      <c r="R126" s="215"/>
    </row>
    <row r="127" spans="2:18" x14ac:dyDescent="0.25">
      <c r="B127" s="214"/>
      <c r="C127" s="644" t="s">
        <v>917</v>
      </c>
      <c r="D127" s="207"/>
      <c r="E127" s="207"/>
      <c r="F127" s="207"/>
      <c r="G127" s="207"/>
      <c r="H127" s="207"/>
      <c r="I127" s="207"/>
      <c r="J127" s="207"/>
      <c r="K127" s="207"/>
      <c r="L127" s="207"/>
      <c r="M127" s="207"/>
      <c r="N127" s="207"/>
      <c r="O127" s="207"/>
      <c r="P127" s="207"/>
      <c r="Q127" s="207"/>
      <c r="R127" s="215"/>
    </row>
    <row r="128" spans="2:18" x14ac:dyDescent="0.25">
      <c r="B128" s="214"/>
      <c r="C128" s="644" t="s">
        <v>918</v>
      </c>
      <c r="D128" s="207"/>
      <c r="E128" s="207"/>
      <c r="F128" s="207"/>
      <c r="G128" s="207"/>
      <c r="H128" s="207"/>
      <c r="I128" s="207"/>
      <c r="J128" s="207"/>
      <c r="K128" s="207"/>
      <c r="L128" s="207"/>
      <c r="M128" s="207"/>
      <c r="N128" s="207"/>
      <c r="O128" s="207"/>
      <c r="P128" s="207"/>
      <c r="Q128" s="207"/>
      <c r="R128" s="215"/>
    </row>
    <row r="129" spans="2:18" x14ac:dyDescent="0.25">
      <c r="B129" s="214"/>
      <c r="C129" s="341" t="s">
        <v>919</v>
      </c>
      <c r="D129" s="207"/>
      <c r="E129" s="207"/>
      <c r="F129" s="207"/>
      <c r="G129" s="207"/>
      <c r="H129" s="207"/>
      <c r="I129" s="207"/>
      <c r="J129" s="207"/>
      <c r="K129" s="207"/>
      <c r="L129" s="207"/>
      <c r="M129" s="207"/>
      <c r="N129" s="207"/>
      <c r="O129" s="207"/>
      <c r="P129" s="207"/>
      <c r="Q129" s="207"/>
      <c r="R129" s="215"/>
    </row>
    <row r="130" spans="2:18" x14ac:dyDescent="0.25">
      <c r="B130" s="214"/>
      <c r="C130" s="341" t="s">
        <v>920</v>
      </c>
      <c r="D130" s="207"/>
      <c r="E130" s="207"/>
      <c r="F130" s="207"/>
      <c r="G130" s="207"/>
      <c r="H130" s="207"/>
      <c r="I130" s="207"/>
      <c r="J130" s="207"/>
      <c r="K130" s="207"/>
      <c r="L130" s="207"/>
      <c r="M130" s="207"/>
      <c r="N130" s="207"/>
      <c r="O130" s="207"/>
      <c r="P130" s="207"/>
      <c r="Q130" s="207"/>
      <c r="R130" s="215"/>
    </row>
    <row r="131" spans="2:18" x14ac:dyDescent="0.25">
      <c r="B131" s="214"/>
      <c r="C131" s="341"/>
      <c r="D131" s="207"/>
      <c r="E131" s="207"/>
      <c r="F131" s="207"/>
      <c r="G131" s="207"/>
      <c r="H131" s="207"/>
      <c r="I131" s="207"/>
      <c r="J131" s="207"/>
      <c r="K131" s="207"/>
      <c r="L131" s="207"/>
      <c r="M131" s="207"/>
      <c r="N131" s="207"/>
      <c r="O131" s="207"/>
      <c r="P131" s="207"/>
      <c r="Q131" s="207"/>
      <c r="R131" s="215"/>
    </row>
    <row r="132" spans="2:18" x14ac:dyDescent="0.25">
      <c r="B132" s="214"/>
      <c r="C132" s="645" t="s">
        <v>921</v>
      </c>
      <c r="D132" s="207"/>
      <c r="E132" s="207"/>
      <c r="F132" s="207"/>
      <c r="G132" s="207"/>
      <c r="H132" s="207"/>
      <c r="I132" s="207"/>
      <c r="J132" s="207"/>
      <c r="K132" s="207"/>
      <c r="L132" s="207"/>
      <c r="M132" s="207"/>
      <c r="N132" s="207"/>
      <c r="O132" s="207"/>
      <c r="P132" s="207"/>
      <c r="Q132" s="207"/>
      <c r="R132" s="215"/>
    </row>
    <row r="133" spans="2:18" x14ac:dyDescent="0.25">
      <c r="B133" s="214"/>
      <c r="C133" s="644" t="s">
        <v>922</v>
      </c>
      <c r="D133" s="207"/>
      <c r="E133" s="207"/>
      <c r="F133" s="207"/>
      <c r="G133" s="207"/>
      <c r="H133" s="207"/>
      <c r="I133" s="207"/>
      <c r="J133" s="207"/>
      <c r="K133" s="207"/>
      <c r="L133" s="207"/>
      <c r="M133" s="207"/>
      <c r="N133" s="207"/>
      <c r="O133" s="207"/>
      <c r="P133" s="207"/>
      <c r="Q133" s="207"/>
      <c r="R133" s="215"/>
    </row>
    <row r="134" spans="2:18" x14ac:dyDescent="0.25">
      <c r="B134" s="214"/>
      <c r="C134" s="341" t="s">
        <v>923</v>
      </c>
      <c r="D134" s="207"/>
      <c r="E134" s="207"/>
      <c r="F134" s="207"/>
      <c r="G134" s="207"/>
      <c r="H134" s="207"/>
      <c r="I134" s="207"/>
      <c r="J134" s="207"/>
      <c r="K134" s="207"/>
      <c r="L134" s="207"/>
      <c r="M134" s="207"/>
      <c r="N134" s="207"/>
      <c r="O134" s="207"/>
      <c r="P134" s="207"/>
      <c r="Q134" s="207"/>
      <c r="R134" s="215"/>
    </row>
    <row r="135" spans="2:18" x14ac:dyDescent="0.25">
      <c r="B135" s="214"/>
      <c r="C135" s="341" t="s">
        <v>924</v>
      </c>
      <c r="D135" s="207"/>
      <c r="E135" s="207"/>
      <c r="F135" s="207"/>
      <c r="G135" s="207"/>
      <c r="H135" s="207"/>
      <c r="I135" s="207"/>
      <c r="J135" s="207"/>
      <c r="K135" s="207"/>
      <c r="L135" s="207"/>
      <c r="M135" s="207"/>
      <c r="N135" s="207"/>
      <c r="O135" s="207"/>
      <c r="P135" s="207"/>
      <c r="Q135" s="207"/>
      <c r="R135" s="215"/>
    </row>
    <row r="136" spans="2:18" x14ac:dyDescent="0.25">
      <c r="B136" s="214"/>
      <c r="C136" s="341" t="s">
        <v>925</v>
      </c>
      <c r="D136" s="207"/>
      <c r="E136" s="207"/>
      <c r="F136" s="207"/>
      <c r="G136" s="207"/>
      <c r="H136" s="207"/>
      <c r="I136" s="207"/>
      <c r="J136" s="207"/>
      <c r="K136" s="207"/>
      <c r="L136" s="207"/>
      <c r="M136" s="207"/>
      <c r="N136" s="207"/>
      <c r="O136" s="207"/>
      <c r="P136" s="207"/>
      <c r="Q136" s="207"/>
      <c r="R136" s="215"/>
    </row>
    <row r="137" spans="2:18" x14ac:dyDescent="0.25">
      <c r="B137" s="212"/>
      <c r="C137" s="216"/>
      <c r="D137" s="211"/>
      <c r="E137" s="211"/>
      <c r="F137" s="211"/>
      <c r="G137" s="211"/>
      <c r="H137" s="211"/>
      <c r="I137" s="211"/>
      <c r="J137" s="211"/>
      <c r="K137" s="211"/>
      <c r="L137" s="211"/>
      <c r="M137" s="211"/>
      <c r="N137" s="211"/>
      <c r="O137" s="211"/>
      <c r="P137" s="211"/>
      <c r="Q137" s="211"/>
      <c r="R137" s="213"/>
    </row>
  </sheetData>
  <sheetProtection algorithmName="SHA-512" hashValue="RGmcrG8Lu5S/RCkvIwasZwiubXomKgvNWzYNM7PHpTSEkvhBb9coczIBGDTOFp+8AO11TrA5zYnjIGIYZRDAmw==" saltValue="hbZyN4yGxJyq0yRl7pDM0w==" spinCount="100000" sheet="1" objects="1" scenarios="1"/>
  <protectedRanges>
    <protectedRange sqref="E11:E12 E15 E19:E20 F26 F33:F34 E31:F31 M95:N95 G111:H111 E17 G112:J112 G114:J114 K98:K106 L94 E27:G30 F32:G32" name="Range1"/>
  </protectedRanges>
  <mergeCells count="2">
    <mergeCell ref="H27:T27"/>
    <mergeCell ref="M101:N103"/>
  </mergeCells>
  <conditionalFormatting sqref="G12:G14">
    <cfRule type="cellIs" dxfId="1" priority="1" operator="equal">
      <formula>0</formula>
    </cfRule>
  </conditionalFormatting>
  <dataValidations disablePrompts="1" xWindow="578" yWindow="395" count="2">
    <dataValidation type="list" allowBlank="1" showInputMessage="1" showErrorMessage="1" sqref="E11" xr:uid="{AF95F12E-271E-4045-994A-E8EC3B7D78BB}">
      <formula1>ORGTYPE</formula1>
    </dataValidation>
    <dataValidation type="list" allowBlank="1" showInputMessage="1" showErrorMessage="1" sqref="G98:G99 G101:G105 G107:G110 G113 G115" xr:uid="{268103B9-BBAA-4739-BEA9-F93E4AACA84B}">
      <formula1>Bands</formula1>
    </dataValidation>
  </dataValidations>
  <hyperlinks>
    <hyperlink ref="H27:T27" r:id="rId1" display="Kiran et al Epidemiology and treatment patterns of UK women diagnosed with vasomotor symptoms: Findings from the Clinical Practice Research Datalink GOLD database. Maturitas. 2022 Oct;164:1-8. doi: 10.1016/j.maturitas.2022.05.013. Epub 2022 Jun 9. PMID: 35738198." xr:uid="{4A8FB481-42F0-4AAF-8A62-971F53EFB7FD}"/>
    <hyperlink ref="C127" r:id="rId2" display="Office for National Statistics Population Estimates, England and Wales: mid-2022" xr:uid="{9FD0AE6D-21AF-4C89-9A92-69BB02AB6B17}"/>
    <hyperlink ref="C128" r:id="rId3" xr:uid="{235F0DD8-CF16-4034-B69D-966BD825E91A}"/>
    <hyperlink ref="C133" r:id="rId4" xr:uid="{CDF63F35-609A-4F3F-B106-21992BC103FD}"/>
    <hyperlink ref="H28" r:id="rId5" display="Office for National Statistics Population Estimates, England and Wales: mid-2022" xr:uid="{701180B6-6C85-4AE9-857D-0A512D358767}"/>
  </hyperlinks>
  <pageMargins left="0.7" right="0.7" top="0.75" bottom="0.75" header="0.3" footer="0.3"/>
  <pageSetup paperSize="9" scale="27" orientation="portrait" r:id="rId6"/>
  <ignoredErrors>
    <ignoredError sqref="E56:J57 H100:J100 H106:J106 L52:Q54 E60:J62 L69:Q70 L65:Q67 J115 H115 L74:Q76 L77 E74:J76 H113 J113 M63:Q63 L56:Q58 H98:H99 J98:J99 H101:H105 J101:J105 H107:H110 J107:J110 L60:Q62 F27:G27 F28:F29 G28:G29" unlockedFormula="1"/>
    <ignoredError sqref="E82 F82:J82" formulaRange="1" unlockedFormula="1"/>
  </ignoredErrors>
  <legacyDrawing r:id="rId7"/>
  <extLst>
    <ext xmlns:x14="http://schemas.microsoft.com/office/spreadsheetml/2009/9/main" uri="{CCE6A557-97BC-4b89-ADB6-D9C93CAAB3DF}">
      <x14:dataValidations xmlns:xm="http://schemas.microsoft.com/office/excel/2006/main" disablePrompts="1" xWindow="578" yWindow="395" count="2">
        <x14:dataValidation type="list" allowBlank="1" showInputMessage="1" showErrorMessage="1" prompt="Please select yes or no" xr:uid="{6719A4A3-927D-45DC-81F5-C962F9112A47}">
          <x14:formula1>
            <xm:f>'Population selection'!$R$6:$R$7</xm:f>
          </x14:formula1>
          <xm:sqref>F31 E15</xm:sqref>
        </x14:dataValidation>
        <x14:dataValidation type="list" allowBlank="1" showInputMessage="1" showErrorMessage="1" xr:uid="{FE9AA5D3-57E6-4DFD-B698-32D969C6EB95}">
          <x14:formula1>
            <xm:f>INDIRECT('Population selection'!$O$6)</xm:f>
          </x14:formula1>
          <xm:sqref>E12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D535" zoomScaleNormal="100" workbookViewId="0">
      <selection activeCell="L556" sqref="L556"/>
    </sheetView>
  </sheetViews>
  <sheetFormatPr defaultColWidth="9.140625" defaultRowHeight="14.25" x14ac:dyDescent="0.2"/>
  <cols>
    <col min="1" max="1" width="24.42578125" style="11" customWidth="1"/>
    <col min="2" max="2" width="49.42578125" style="11" customWidth="1"/>
    <col min="3" max="3" width="63.5703125" style="15" customWidth="1"/>
    <col min="4" max="4" width="20.42578125" style="11" customWidth="1"/>
    <col min="5" max="12" width="21" style="11" customWidth="1"/>
    <col min="13" max="13" width="22.85546875" style="11" customWidth="1"/>
    <col min="14" max="14" width="22.5703125" style="11" customWidth="1"/>
    <col min="15" max="15" width="25.85546875" style="11" customWidth="1"/>
    <col min="16" max="16" width="10.85546875" style="11" customWidth="1"/>
    <col min="17" max="17" width="15.140625" style="12" customWidth="1"/>
    <col min="18" max="18" width="20.140625" style="12" customWidth="1"/>
    <col min="19" max="42" width="10.85546875" style="12" customWidth="1"/>
    <col min="43" max="50" width="10.85546875" style="13" customWidth="1"/>
    <col min="51" max="106" width="10.85546875" style="1" customWidth="1"/>
    <col min="107" max="193" width="10.85546875" style="11" customWidth="1"/>
    <col min="194" max="194" width="10.42578125" style="11" customWidth="1"/>
    <col min="195" max="16384" width="9.140625" style="11"/>
  </cols>
  <sheetData>
    <row r="1" spans="2:106" ht="15" x14ac:dyDescent="0.25">
      <c r="B1" s="9" t="s">
        <v>113</v>
      </c>
      <c r="C1" s="102"/>
      <c r="D1" s="22"/>
      <c r="E1" s="10" t="s">
        <v>114</v>
      </c>
      <c r="F1" s="7"/>
      <c r="G1" s="7"/>
    </row>
    <row r="3" spans="2:106" x14ac:dyDescent="0.2">
      <c r="B3" s="92" t="s">
        <v>115</v>
      </c>
      <c r="C3" s="390"/>
      <c r="D3" s="391"/>
      <c r="E3" s="391"/>
      <c r="F3" s="391"/>
      <c r="G3" s="93"/>
    </row>
    <row r="4" spans="2:106" ht="15" x14ac:dyDescent="0.25">
      <c r="B4" s="94"/>
      <c r="C4" s="95"/>
      <c r="D4" s="7"/>
      <c r="E4" s="7"/>
      <c r="F4" s="7"/>
      <c r="G4" s="96"/>
      <c r="L4" s="9" t="s">
        <v>116</v>
      </c>
      <c r="M4" s="9" t="s">
        <v>116</v>
      </c>
      <c r="N4" s="9" t="s">
        <v>117</v>
      </c>
      <c r="O4" s="9" t="s">
        <v>117</v>
      </c>
      <c r="P4" s="9" t="s">
        <v>118</v>
      </c>
      <c r="R4" s="167" t="s">
        <v>119</v>
      </c>
      <c r="S4" s="167" t="s">
        <v>72</v>
      </c>
      <c r="T4" s="167" t="s">
        <v>120</v>
      </c>
      <c r="V4" s="167" t="s">
        <v>121</v>
      </c>
    </row>
    <row r="5" spans="2:106" ht="28.5" x14ac:dyDescent="0.2">
      <c r="B5" s="97" t="s">
        <v>122</v>
      </c>
      <c r="C5" s="95"/>
      <c r="D5" s="7"/>
      <c r="E5" s="7"/>
      <c r="F5" s="7"/>
      <c r="G5" s="96"/>
      <c r="L5" s="16" t="s">
        <v>123</v>
      </c>
      <c r="M5" s="16" t="s">
        <v>124</v>
      </c>
      <c r="N5" s="16" t="s">
        <v>125</v>
      </c>
      <c r="O5" s="16" t="s">
        <v>126</v>
      </c>
      <c r="P5" s="19"/>
      <c r="Q5" s="17"/>
      <c r="R5" s="16" t="s">
        <v>126</v>
      </c>
      <c r="S5" s="137" t="s">
        <v>95</v>
      </c>
      <c r="V5" s="138">
        <v>4</v>
      </c>
    </row>
    <row r="6" spans="2:106" ht="15" x14ac:dyDescent="0.25">
      <c r="B6" s="97" t="s">
        <v>127</v>
      </c>
      <c r="C6" s="95"/>
      <c r="D6" s="7"/>
      <c r="E6" s="7"/>
      <c r="F6" s="7"/>
      <c r="G6" s="96"/>
      <c r="J6" s="133"/>
      <c r="L6" s="21" t="s">
        <v>731</v>
      </c>
      <c r="M6" s="21" t="s">
        <v>128</v>
      </c>
      <c r="N6" s="21" t="str">
        <f>'Inputs and eligible population'!$E$11</f>
        <v>National</v>
      </c>
      <c r="O6" s="21" t="str">
        <f>IFERROR(VLOOKUP('Inputs and eligible population'!$E$11, $L$5:$M$14, 2, FALSE), "-")</f>
        <v>NATIONAL</v>
      </c>
      <c r="P6" s="16" t="b">
        <f>ISTEXT('Inputs and eligible population'!$E$12)</f>
        <v>1</v>
      </c>
      <c r="R6" s="187" t="s">
        <v>41</v>
      </c>
      <c r="S6" s="137" t="s">
        <v>96</v>
      </c>
      <c r="V6" s="138">
        <v>5</v>
      </c>
    </row>
    <row r="7" spans="2:106" x14ac:dyDescent="0.2">
      <c r="B7" s="94"/>
      <c r="C7" s="95"/>
      <c r="D7" s="7"/>
      <c r="E7" s="7"/>
      <c r="F7" s="7"/>
      <c r="G7" s="96"/>
      <c r="L7" s="21" t="s">
        <v>37</v>
      </c>
      <c r="M7" s="21" t="s">
        <v>129</v>
      </c>
      <c r="N7" s="21" t="str">
        <f>'Inputs and eligible population'!$E$11</f>
        <v>National</v>
      </c>
      <c r="O7" s="21" t="str">
        <f>IFERROR(VLOOKUP('Inputs and eligible population'!$E$11, $L$5:$M$14, 2, FALSE), "-")</f>
        <v>NATIONAL</v>
      </c>
      <c r="P7" s="16" t="b">
        <f>ISTEXT('Inputs and eligible population'!$E$12)</f>
        <v>1</v>
      </c>
      <c r="R7" s="187" t="s">
        <v>130</v>
      </c>
      <c r="S7" s="322"/>
      <c r="V7" s="138">
        <v>6</v>
      </c>
    </row>
    <row r="8" spans="2:106" ht="19.5" customHeight="1" x14ac:dyDescent="0.2">
      <c r="B8" s="98" t="s">
        <v>131</v>
      </c>
      <c r="C8" s="99"/>
      <c r="D8" s="100"/>
      <c r="E8" s="100"/>
      <c r="F8" s="100"/>
      <c r="G8" s="101"/>
      <c r="L8" s="21" t="s">
        <v>132</v>
      </c>
      <c r="M8" s="21" t="s">
        <v>133</v>
      </c>
      <c r="N8" s="21" t="str">
        <f>'Inputs and eligible population'!$E$11</f>
        <v>National</v>
      </c>
      <c r="O8" s="21" t="str">
        <f>IFERROR(VLOOKUP('Inputs and eligible population'!$E$11, $L$5:$M$14, 2, FALSE), "-")</f>
        <v>NATIONAL</v>
      </c>
      <c r="P8" s="16" t="b">
        <f>ISTEXT('Inputs and eligible population'!$E$12)</f>
        <v>1</v>
      </c>
      <c r="V8" s="138">
        <v>7</v>
      </c>
    </row>
    <row r="9" spans="2:106" ht="19.5" customHeight="1" x14ac:dyDescent="0.2">
      <c r="B9" s="14"/>
      <c r="L9" s="21" t="s">
        <v>134</v>
      </c>
      <c r="M9" s="21" t="s">
        <v>135</v>
      </c>
      <c r="N9" s="21" t="str">
        <f>'Inputs and eligible population'!$E$11</f>
        <v>National</v>
      </c>
      <c r="O9" s="21" t="str">
        <f>IFERROR(VLOOKUP('Inputs and eligible population'!$E$11, $L$5:$M$14, 2, FALSE), "-")</f>
        <v>NATIONAL</v>
      </c>
      <c r="P9" s="16" t="b">
        <f>ISTEXT('Inputs and eligible population'!$E$12)</f>
        <v>1</v>
      </c>
      <c r="V9" s="138" t="s">
        <v>136</v>
      </c>
    </row>
    <row r="10" spans="2:106" x14ac:dyDescent="0.2">
      <c r="B10" s="14"/>
      <c r="K10" s="24"/>
      <c r="L10" s="21" t="s">
        <v>137</v>
      </c>
      <c r="M10" s="21" t="s">
        <v>138</v>
      </c>
      <c r="N10" s="21" t="str">
        <f>'Inputs and eligible population'!$E$11</f>
        <v>National</v>
      </c>
      <c r="O10" s="21" t="str">
        <f>IFERROR(VLOOKUP('Inputs and eligible population'!$E$11, $L$5:$M$14, 2, FALSE), "-")</f>
        <v>NATIONAL</v>
      </c>
      <c r="P10" s="16" t="b">
        <f>ISTEXT('Inputs and eligible population'!$E$12)</f>
        <v>1</v>
      </c>
      <c r="V10" s="138" t="s">
        <v>139</v>
      </c>
    </row>
    <row r="11" spans="2:106" ht="15" x14ac:dyDescent="0.25">
      <c r="B11" s="9" t="s">
        <v>140</v>
      </c>
      <c r="C11" s="24"/>
      <c r="D11" s="24"/>
      <c r="E11" s="24"/>
      <c r="K11" s="24"/>
      <c r="L11" s="111" t="s">
        <v>141</v>
      </c>
      <c r="M11" s="21" t="s">
        <v>142</v>
      </c>
      <c r="N11" s="21" t="str">
        <f>'Inputs and eligible population'!$E$11</f>
        <v>National</v>
      </c>
      <c r="O11" s="21" t="str">
        <f>IFERROR(VLOOKUP('Inputs and eligible population'!$E$11, $L$5:$M$14, 2, FALSE), "-")</f>
        <v>NATIONAL</v>
      </c>
      <c r="P11" s="16" t="b">
        <f>ISTEXT('Inputs and eligible population'!$E$12)</f>
        <v>1</v>
      </c>
      <c r="V11" s="138" t="s">
        <v>143</v>
      </c>
    </row>
    <row r="12" spans="2:106" ht="43.5" customHeight="1" x14ac:dyDescent="0.2">
      <c r="B12" s="15"/>
      <c r="D12" s="194" t="s">
        <v>144</v>
      </c>
      <c r="E12" s="194" t="s">
        <v>144</v>
      </c>
      <c r="L12" s="21" t="s">
        <v>145</v>
      </c>
      <c r="M12" s="21" t="s">
        <v>146</v>
      </c>
      <c r="N12" s="21" t="str">
        <f>'Inputs and eligible population'!$E$11</f>
        <v>National</v>
      </c>
      <c r="O12" s="21" t="str">
        <f>IFERROR(VLOOKUP('Inputs and eligible population'!$E$11, $L$5:$M$14, 2, FALSE), "-")</f>
        <v>NATIONAL</v>
      </c>
      <c r="P12" s="16" t="b">
        <f>ISTEXT('Inputs and eligible population'!$E$12)</f>
        <v>1</v>
      </c>
      <c r="V12" s="138" t="s">
        <v>147</v>
      </c>
    </row>
    <row r="13" spans="2:106" s="19" customFormat="1" ht="45.95" customHeight="1" x14ac:dyDescent="0.2">
      <c r="B13" s="195" t="s">
        <v>38</v>
      </c>
      <c r="C13" s="195" t="s">
        <v>148</v>
      </c>
      <c r="D13" s="716" t="s">
        <v>888</v>
      </c>
      <c r="E13" s="26" t="s">
        <v>887</v>
      </c>
      <c r="F13" s="195" t="s">
        <v>149</v>
      </c>
      <c r="G13" s="11"/>
      <c r="H13" s="11"/>
      <c r="I13" s="11"/>
      <c r="K13" s="11"/>
      <c r="L13" s="21" t="s">
        <v>150</v>
      </c>
      <c r="M13" s="21" t="s">
        <v>151</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328">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
      <c r="B14" s="196" t="str">
        <f>IF((OR('Inputs and eligible population'!E11="&lt;select&gt;",'Inputs and eligible population'!E11="")), "-", 'Inputs and eligible population'!E12)</f>
        <v>England</v>
      </c>
      <c r="C14" s="20">
        <f>IF(OR(B14="", B14="-"), "",VLOOKUP((CONCATENATE($N6," - ",$B14)),$C$23:$GL$532,4,FALSE))</f>
        <v>57106398</v>
      </c>
      <c r="D14" s="91">
        <f>IF(OR(C14="", C14="-"), "",VLOOKUP((CONCATENATE($N7," - ",$B14)),$C$23:$GL$532,2,FALSE))</f>
        <v>1887736</v>
      </c>
      <c r="E14" s="91">
        <f>IF(OR(D14="", D14="-"), "",VLOOKUP((CONCATENATE($N7," - ",$B14)),$C$23:$GL$532,3,FALSE))</f>
        <v>7720096</v>
      </c>
      <c r="F14" s="20">
        <f>IFERROR(D14+E14, "")</f>
        <v>9607832</v>
      </c>
      <c r="L14" s="21" t="s">
        <v>152</v>
      </c>
      <c r="M14" s="21" t="s">
        <v>153</v>
      </c>
      <c r="N14" s="21" t="str">
        <f>'Inputs and eligible population'!$E$11</f>
        <v>National</v>
      </c>
      <c r="O14" s="21" t="str">
        <f>IFERROR(VLOOKUP('Inputs and eligible population'!$E$11, $L$5:$M$14, 2, FALSE), "-")</f>
        <v>NATIONAL</v>
      </c>
      <c r="P14" s="16" t="b">
        <f>ISTEXT('Inputs and eligible population'!$E$12)</f>
        <v>1</v>
      </c>
      <c r="V14" s="138" t="s">
        <v>154</v>
      </c>
    </row>
    <row r="15" spans="2:106" x14ac:dyDescent="0.2">
      <c r="B15" s="196"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9607832</v>
      </c>
      <c r="L15" s="21"/>
      <c r="M15" s="21"/>
      <c r="N15" s="21"/>
      <c r="O15" s="21"/>
      <c r="P15" s="21"/>
      <c r="V15" s="138" t="s">
        <v>155</v>
      </c>
    </row>
    <row r="16" spans="2:106" ht="15" x14ac:dyDescent="0.25">
      <c r="B16" s="197" t="s">
        <v>156</v>
      </c>
      <c r="C16" s="198">
        <f>IF(C15&gt;0,C14,C15)</f>
        <v>57106398</v>
      </c>
      <c r="D16" s="198">
        <f>IF(D15&gt;0,D14,D15)</f>
        <v>1887736</v>
      </c>
      <c r="E16" s="198">
        <f>IF(E15&gt;0,E14,E15)</f>
        <v>7720096</v>
      </c>
      <c r="F16" s="198">
        <f>SUM(F15)</f>
        <v>9607832</v>
      </c>
      <c r="L16" s="22"/>
      <c r="M16" s="22"/>
      <c r="P16" s="320">
        <f>COUNTIF(P6:P14, TRUE)</f>
        <v>9</v>
      </c>
    </row>
    <row r="17" spans="1:194" ht="15" x14ac:dyDescent="0.25">
      <c r="Q17" s="23"/>
      <c r="R17" s="23"/>
    </row>
    <row r="18" spans="1:194" ht="45.6" customHeight="1" x14ac:dyDescent="0.2">
      <c r="B18" s="90"/>
      <c r="C18" s="142"/>
      <c r="D18" s="26" t="s">
        <v>144</v>
      </c>
      <c r="E18" s="26" t="s">
        <v>144</v>
      </c>
      <c r="F18" s="90"/>
      <c r="I18" s="90"/>
      <c r="J18" s="90"/>
      <c r="K18" s="24"/>
      <c r="N18" s="24"/>
    </row>
    <row r="19" spans="1:194" ht="23.1" customHeight="1" x14ac:dyDescent="0.25">
      <c r="D19" s="199">
        <v>2</v>
      </c>
      <c r="E19" s="199">
        <v>3</v>
      </c>
      <c r="F19" s="199">
        <v>4</v>
      </c>
      <c r="G19" s="199">
        <v>5</v>
      </c>
      <c r="H19" s="199">
        <v>6</v>
      </c>
      <c r="K19" s="24"/>
    </row>
    <row r="20" spans="1:194" s="1" customFormat="1" ht="48" customHeight="1" x14ac:dyDescent="0.25">
      <c r="A20" s="123" t="s">
        <v>125</v>
      </c>
      <c r="B20" s="122" t="s">
        <v>157</v>
      </c>
      <c r="C20" s="122" t="s">
        <v>158</v>
      </c>
      <c r="D20" s="82"/>
      <c r="E20" s="82"/>
      <c r="F20" s="82" t="s">
        <v>160</v>
      </c>
      <c r="G20" s="82" t="s">
        <v>160</v>
      </c>
      <c r="H20" s="82" t="s">
        <v>160</v>
      </c>
      <c r="I20" s="122" t="s">
        <v>159</v>
      </c>
      <c r="J20" s="122" t="s">
        <v>159</v>
      </c>
      <c r="K20" s="122" t="s">
        <v>161</v>
      </c>
      <c r="L20" s="122" t="s">
        <v>161</v>
      </c>
      <c r="M20" s="124" t="s">
        <v>162</v>
      </c>
      <c r="N20" s="392"/>
      <c r="O20" s="392"/>
      <c r="P20" s="392"/>
      <c r="Q20" s="392"/>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2"/>
      <c r="AV20" s="392"/>
      <c r="AW20" s="392"/>
      <c r="AX20" s="392"/>
      <c r="AY20" s="392"/>
      <c r="AZ20" s="392"/>
      <c r="BA20" s="392"/>
      <c r="BB20" s="392"/>
      <c r="BC20" s="392"/>
      <c r="BD20" s="392"/>
      <c r="BE20" s="392"/>
      <c r="BF20" s="392"/>
      <c r="BG20" s="392"/>
      <c r="BH20" s="392"/>
      <c r="BI20" s="392"/>
      <c r="BJ20" s="392"/>
      <c r="BK20" s="392"/>
      <c r="BL20" s="392"/>
      <c r="BM20" s="392"/>
      <c r="BN20" s="392"/>
      <c r="BO20" s="392"/>
      <c r="BP20" s="392"/>
      <c r="BQ20" s="392"/>
      <c r="BR20" s="392"/>
      <c r="BS20" s="392"/>
      <c r="BT20" s="392"/>
      <c r="BU20" s="392"/>
      <c r="BV20" s="392"/>
      <c r="BW20" s="392"/>
      <c r="BX20" s="392"/>
      <c r="BY20" s="392"/>
      <c r="BZ20" s="392"/>
      <c r="CA20" s="392"/>
      <c r="CB20" s="392"/>
      <c r="CC20" s="392"/>
      <c r="CD20" s="392"/>
      <c r="CE20" s="392"/>
      <c r="CF20" s="392"/>
      <c r="CG20" s="392"/>
      <c r="CH20" s="392"/>
      <c r="CI20" s="392"/>
      <c r="CJ20" s="392"/>
      <c r="CK20" s="392"/>
      <c r="CL20" s="392"/>
      <c r="CM20" s="392"/>
      <c r="CN20" s="392"/>
      <c r="CO20" s="392"/>
      <c r="CP20" s="392"/>
      <c r="CQ20" s="392"/>
      <c r="CR20" s="392"/>
      <c r="CS20" s="392"/>
      <c r="CT20" s="392"/>
      <c r="CU20" s="392"/>
      <c r="CV20" s="392"/>
      <c r="CW20" s="392"/>
      <c r="CX20" s="392"/>
      <c r="CY20" s="125"/>
      <c r="CZ20" s="393" t="s">
        <v>163</v>
      </c>
      <c r="DA20" s="393"/>
      <c r="DB20" s="393"/>
      <c r="DC20" s="393"/>
      <c r="DD20" s="393"/>
      <c r="DE20" s="393"/>
      <c r="DF20" s="393"/>
      <c r="DG20" s="393"/>
      <c r="DH20" s="393"/>
      <c r="DI20" s="393"/>
      <c r="DJ20" s="393"/>
      <c r="DK20" s="393"/>
      <c r="DL20" s="393"/>
      <c r="DM20" s="393"/>
      <c r="DN20" s="393"/>
      <c r="DO20" s="393"/>
      <c r="DP20" s="393"/>
      <c r="DQ20" s="393"/>
      <c r="DR20" s="393"/>
      <c r="DS20" s="393"/>
      <c r="DT20" s="393"/>
      <c r="DU20" s="393"/>
      <c r="DV20" s="393"/>
      <c r="DW20" s="393"/>
      <c r="DX20" s="393"/>
      <c r="DY20" s="393"/>
      <c r="DZ20" s="393"/>
      <c r="EA20" s="393"/>
      <c r="EB20" s="393"/>
      <c r="EC20" s="393"/>
      <c r="ED20" s="393"/>
      <c r="EE20" s="393"/>
      <c r="EF20" s="393"/>
      <c r="EG20" s="393"/>
      <c r="EH20" s="393"/>
      <c r="EI20" s="393"/>
      <c r="EJ20" s="393"/>
      <c r="EK20" s="393"/>
      <c r="EL20" s="393"/>
      <c r="EM20" s="393"/>
      <c r="EN20" s="393"/>
      <c r="EO20" s="393"/>
      <c r="EP20" s="393"/>
      <c r="EQ20" s="393"/>
      <c r="ER20" s="393"/>
      <c r="ES20" s="393"/>
      <c r="ET20" s="393"/>
      <c r="EU20" s="393"/>
      <c r="EV20" s="393"/>
      <c r="EW20" s="393"/>
      <c r="EX20" s="393"/>
      <c r="EY20" s="393"/>
      <c r="EZ20" s="393"/>
      <c r="FA20" s="393"/>
      <c r="FB20" s="393"/>
      <c r="FC20" s="393"/>
      <c r="FD20" s="393"/>
      <c r="FE20" s="393"/>
      <c r="FF20" s="393"/>
      <c r="FG20" s="393"/>
      <c r="FH20" s="393"/>
      <c r="FI20" s="393"/>
      <c r="FJ20" s="393"/>
      <c r="FK20" s="393"/>
      <c r="FL20" s="393"/>
      <c r="FM20" s="393"/>
      <c r="FN20" s="393"/>
      <c r="FO20" s="393"/>
      <c r="FP20" s="393"/>
      <c r="FQ20" s="393"/>
      <c r="FR20" s="393"/>
      <c r="FS20" s="393"/>
      <c r="FT20" s="393"/>
      <c r="FU20" s="393"/>
      <c r="FV20" s="393"/>
      <c r="FW20" s="393"/>
      <c r="FX20" s="393"/>
      <c r="FY20" s="393"/>
      <c r="FZ20" s="393"/>
      <c r="GA20" s="393"/>
      <c r="GB20" s="393"/>
      <c r="GC20" s="393"/>
      <c r="GD20" s="393"/>
      <c r="GE20" s="393"/>
      <c r="GF20" s="393"/>
      <c r="GG20" s="393"/>
      <c r="GH20" s="393"/>
      <c r="GI20" s="393"/>
      <c r="GJ20" s="393"/>
      <c r="GK20" s="393"/>
      <c r="GL20" s="121"/>
    </row>
    <row r="21" spans="1:194" s="8" customFormat="1" ht="30" x14ac:dyDescent="0.25">
      <c r="A21" s="123"/>
      <c r="B21" s="122"/>
      <c r="C21" s="122"/>
      <c r="D21" s="25" t="s">
        <v>888</v>
      </c>
      <c r="E21" s="26" t="s">
        <v>887</v>
      </c>
      <c r="F21" s="82" t="s">
        <v>164</v>
      </c>
      <c r="G21" s="81" t="s">
        <v>162</v>
      </c>
      <c r="H21" s="81" t="s">
        <v>163</v>
      </c>
      <c r="I21" s="82" t="s">
        <v>162</v>
      </c>
      <c r="J21" s="81" t="s">
        <v>163</v>
      </c>
      <c r="K21" s="82" t="s">
        <v>162</v>
      </c>
      <c r="L21" s="27" t="s">
        <v>163</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165</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165</v>
      </c>
    </row>
    <row r="22" spans="1:194" s="1" customFormat="1" x14ac:dyDescent="0.2">
      <c r="A22" s="30"/>
      <c r="B22" s="72"/>
      <c r="C22" s="60"/>
      <c r="D22" s="78"/>
      <c r="E22" s="78"/>
      <c r="F22" s="394"/>
      <c r="G22" s="394"/>
      <c r="H22" s="78"/>
      <c r="I22" s="78"/>
      <c r="J22" s="78"/>
      <c r="K22" s="394"/>
      <c r="L22" s="78"/>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4"/>
      <c r="AS22" s="394"/>
      <c r="AT22" s="394"/>
      <c r="AU22" s="394"/>
      <c r="AV22" s="394"/>
      <c r="AW22" s="394"/>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c r="CQ22" s="394"/>
      <c r="CR22" s="394"/>
      <c r="CS22" s="394"/>
      <c r="CT22" s="394"/>
      <c r="CU22" s="394"/>
      <c r="CV22" s="394"/>
      <c r="CW22" s="394"/>
      <c r="CX22" s="394"/>
      <c r="CY22" s="78"/>
      <c r="CZ22" s="394"/>
      <c r="DA22" s="394"/>
      <c r="DB22" s="394"/>
      <c r="DC22" s="394"/>
      <c r="DD22" s="394"/>
      <c r="DE22" s="394"/>
      <c r="DF22" s="394"/>
      <c r="DG22" s="394"/>
      <c r="DH22" s="394"/>
      <c r="DI22" s="394"/>
      <c r="DJ22" s="394"/>
      <c r="DK22" s="394"/>
      <c r="DL22" s="394"/>
      <c r="DM22" s="394"/>
      <c r="DN22" s="394"/>
      <c r="DO22" s="394"/>
      <c r="DP22" s="394"/>
      <c r="DQ22" s="394"/>
      <c r="DR22" s="394"/>
      <c r="DS22" s="394"/>
      <c r="DT22" s="394"/>
      <c r="DU22" s="394"/>
      <c r="DV22" s="394"/>
      <c r="DW22" s="394"/>
      <c r="DX22" s="394"/>
      <c r="DY22" s="394"/>
      <c r="DZ22" s="394"/>
      <c r="EA22" s="394"/>
      <c r="EB22" s="394"/>
      <c r="EC22" s="394"/>
      <c r="ED22" s="394"/>
      <c r="EE22" s="394"/>
      <c r="EF22" s="394"/>
      <c r="EG22" s="394"/>
      <c r="EH22" s="394"/>
      <c r="EI22" s="394"/>
      <c r="EJ22" s="394"/>
      <c r="EK22" s="394"/>
      <c r="EL22" s="394"/>
      <c r="EM22" s="394"/>
      <c r="EN22" s="394"/>
      <c r="EO22" s="394"/>
      <c r="EP22" s="394"/>
      <c r="EQ22" s="394"/>
      <c r="ER22" s="394"/>
      <c r="ES22" s="394"/>
      <c r="ET22" s="394"/>
      <c r="EU22" s="394"/>
      <c r="EV22" s="394"/>
      <c r="EW22" s="394"/>
      <c r="EX22" s="394"/>
      <c r="EY22" s="394"/>
      <c r="EZ22" s="394"/>
      <c r="FA22" s="394"/>
      <c r="FB22" s="394"/>
      <c r="FC22" s="394"/>
      <c r="FD22" s="394"/>
      <c r="FE22" s="394"/>
      <c r="FF22" s="394"/>
      <c r="FG22" s="394"/>
      <c r="FH22" s="394"/>
      <c r="FI22" s="394"/>
      <c r="FJ22" s="394"/>
      <c r="FK22" s="394"/>
      <c r="FL22" s="394"/>
      <c r="FM22" s="394"/>
      <c r="FN22" s="394"/>
      <c r="FO22" s="394"/>
      <c r="FP22" s="394"/>
      <c r="FQ22" s="394"/>
      <c r="FR22" s="394"/>
      <c r="FS22" s="394"/>
      <c r="FT22" s="394"/>
      <c r="FU22" s="394"/>
      <c r="FV22" s="394"/>
      <c r="FW22" s="394"/>
      <c r="FX22" s="394"/>
      <c r="FY22" s="394"/>
      <c r="FZ22" s="394"/>
      <c r="GA22" s="394"/>
      <c r="GB22" s="394"/>
      <c r="GC22" s="394"/>
      <c r="GD22" s="394"/>
      <c r="GE22" s="394"/>
      <c r="GF22" s="394"/>
      <c r="GG22" s="394"/>
      <c r="GH22" s="394"/>
      <c r="GI22" s="394"/>
      <c r="GJ22" s="394"/>
      <c r="GK22" s="394"/>
      <c r="GL22" s="78"/>
    </row>
    <row r="23" spans="1:194" s="70" customFormat="1" ht="21.75" customHeight="1" x14ac:dyDescent="0.25">
      <c r="A23" s="65" t="s">
        <v>123</v>
      </c>
      <c r="B23" s="66" t="s">
        <v>123</v>
      </c>
      <c r="C23" s="67" t="str">
        <f>CONCATENATE(A23, " - ", B23)</f>
        <v>Per 100,000 population - Per 100,000 population</v>
      </c>
      <c r="D23" s="69">
        <f>ROUND((SUM(D25:D27)/SUM($F$25:$F$27))*100000,0)</f>
        <v>3292</v>
      </c>
      <c r="E23" s="69">
        <f>(SUM(E25:E27)/SUM($F$25:$F$27))*100000</f>
        <v>13552.529863875734</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2">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ht="15" x14ac:dyDescent="0.25">
      <c r="A25" s="74" t="s">
        <v>37</v>
      </c>
      <c r="B25" s="411" t="s">
        <v>39</v>
      </c>
      <c r="C25" s="75" t="s">
        <v>166</v>
      </c>
      <c r="D25" s="77">
        <f>SUM(EN25:ER25)</f>
        <v>1887736</v>
      </c>
      <c r="E25" s="77">
        <f>SUM(ES25:FM25)</f>
        <v>7720096</v>
      </c>
      <c r="F25" s="395">
        <f>G25+H25</f>
        <v>57106398</v>
      </c>
      <c r="G25" s="395">
        <f>SUM(M25:CY25)</f>
        <v>27983290</v>
      </c>
      <c r="H25" s="76">
        <f>SUM(CZ25:GL25)</f>
        <v>29123108</v>
      </c>
      <c r="I25" s="76">
        <f>SUM(AE25:CY25)</f>
        <v>21895402</v>
      </c>
      <c r="J25" s="76">
        <f>SUM(DR25:GL25)</f>
        <v>23324090</v>
      </c>
      <c r="K25" s="396">
        <f>SUM(M25:AD25)</f>
        <v>6087888</v>
      </c>
      <c r="L25" s="77">
        <f>SUM(CZ25:DQ25)</f>
        <v>5799018</v>
      </c>
      <c r="M25" s="395">
        <v>305120</v>
      </c>
      <c r="N25" s="395">
        <v>303019</v>
      </c>
      <c r="O25" s="395">
        <v>314737</v>
      </c>
      <c r="P25" s="395">
        <v>321299</v>
      </c>
      <c r="Q25" s="395">
        <v>325230</v>
      </c>
      <c r="R25" s="395">
        <v>333023</v>
      </c>
      <c r="S25" s="395">
        <v>343154</v>
      </c>
      <c r="T25" s="395">
        <v>339729</v>
      </c>
      <c r="U25" s="395">
        <v>341966</v>
      </c>
      <c r="V25" s="395">
        <v>351482</v>
      </c>
      <c r="W25" s="395">
        <v>360539</v>
      </c>
      <c r="X25" s="395">
        <v>361688</v>
      </c>
      <c r="Y25" s="395">
        <v>356777</v>
      </c>
      <c r="Z25" s="395">
        <v>354079</v>
      </c>
      <c r="AA25" s="395">
        <v>357199</v>
      </c>
      <c r="AB25" s="395">
        <v>344190</v>
      </c>
      <c r="AC25" s="395">
        <v>336612</v>
      </c>
      <c r="AD25" s="395">
        <v>338045</v>
      </c>
      <c r="AE25" s="395">
        <v>339142</v>
      </c>
      <c r="AF25" s="395">
        <v>339234</v>
      </c>
      <c r="AG25" s="395">
        <v>338398</v>
      </c>
      <c r="AH25" s="395">
        <v>338465</v>
      </c>
      <c r="AI25" s="395">
        <v>345338</v>
      </c>
      <c r="AJ25" s="395">
        <v>358287</v>
      </c>
      <c r="AK25" s="395">
        <v>360304</v>
      </c>
      <c r="AL25" s="395">
        <v>365799</v>
      </c>
      <c r="AM25" s="395">
        <v>360324</v>
      </c>
      <c r="AN25" s="395">
        <v>364086</v>
      </c>
      <c r="AO25" s="395">
        <v>372653</v>
      </c>
      <c r="AP25" s="395">
        <v>372807</v>
      </c>
      <c r="AQ25" s="395">
        <v>383710</v>
      </c>
      <c r="AR25" s="395">
        <v>389563</v>
      </c>
      <c r="AS25" s="395">
        <v>387640</v>
      </c>
      <c r="AT25" s="395">
        <v>384620</v>
      </c>
      <c r="AU25" s="395">
        <v>387905</v>
      </c>
      <c r="AV25" s="395">
        <v>378829</v>
      </c>
      <c r="AW25" s="395">
        <v>378199</v>
      </c>
      <c r="AX25" s="395">
        <v>377186</v>
      </c>
      <c r="AY25" s="395">
        <v>365502</v>
      </c>
      <c r="AZ25" s="395">
        <v>366111</v>
      </c>
      <c r="BA25" s="395">
        <v>365728</v>
      </c>
      <c r="BB25" s="395">
        <v>369097</v>
      </c>
      <c r="BC25" s="395">
        <v>371802</v>
      </c>
      <c r="BD25" s="395">
        <v>357560</v>
      </c>
      <c r="BE25" s="395">
        <v>334069</v>
      </c>
      <c r="BF25" s="395">
        <v>328458</v>
      </c>
      <c r="BG25" s="395">
        <v>335746</v>
      </c>
      <c r="BH25" s="395">
        <v>342585</v>
      </c>
      <c r="BI25" s="395">
        <v>346685</v>
      </c>
      <c r="BJ25" s="395">
        <v>360442</v>
      </c>
      <c r="BK25" s="395">
        <v>373390</v>
      </c>
      <c r="BL25" s="395">
        <v>385375</v>
      </c>
      <c r="BM25" s="395">
        <v>375807</v>
      </c>
      <c r="BN25" s="395">
        <v>383988</v>
      </c>
      <c r="BO25" s="395">
        <v>382566</v>
      </c>
      <c r="BP25" s="395">
        <v>385629</v>
      </c>
      <c r="BQ25" s="395">
        <v>381742</v>
      </c>
      <c r="BR25" s="395">
        <v>381998</v>
      </c>
      <c r="BS25" s="395">
        <v>376164</v>
      </c>
      <c r="BT25" s="395">
        <v>367036</v>
      </c>
      <c r="BU25" s="395">
        <v>357672</v>
      </c>
      <c r="BV25" s="395">
        <v>344928</v>
      </c>
      <c r="BW25" s="395">
        <v>329857</v>
      </c>
      <c r="BX25" s="395">
        <v>319451</v>
      </c>
      <c r="BY25" s="395">
        <v>309724</v>
      </c>
      <c r="BZ25" s="395">
        <v>294558</v>
      </c>
      <c r="CA25" s="395">
        <v>282293</v>
      </c>
      <c r="CB25" s="395">
        <v>268536</v>
      </c>
      <c r="CC25" s="395">
        <v>266443</v>
      </c>
      <c r="CD25" s="395">
        <v>260410</v>
      </c>
      <c r="CE25" s="395">
        <v>249450</v>
      </c>
      <c r="CF25" s="395">
        <v>249080</v>
      </c>
      <c r="CG25" s="395">
        <v>249070</v>
      </c>
      <c r="CH25" s="395">
        <v>252982</v>
      </c>
      <c r="CI25" s="395">
        <v>263625</v>
      </c>
      <c r="CJ25" s="395">
        <v>283090</v>
      </c>
      <c r="CK25" s="395">
        <v>211587</v>
      </c>
      <c r="CL25" s="395">
        <v>200401</v>
      </c>
      <c r="CM25" s="395">
        <v>195036</v>
      </c>
      <c r="CN25" s="395">
        <v>174093</v>
      </c>
      <c r="CO25" s="395">
        <v>149572</v>
      </c>
      <c r="CP25" s="395">
        <v>127665</v>
      </c>
      <c r="CQ25" s="395">
        <v>127183</v>
      </c>
      <c r="CR25" s="395">
        <v>120061</v>
      </c>
      <c r="CS25" s="395">
        <v>109873</v>
      </c>
      <c r="CT25" s="395">
        <v>97456</v>
      </c>
      <c r="CU25" s="395">
        <v>84705</v>
      </c>
      <c r="CV25" s="395">
        <v>73428</v>
      </c>
      <c r="CW25" s="395">
        <v>60864</v>
      </c>
      <c r="CX25" s="395">
        <v>51376</v>
      </c>
      <c r="CY25" s="395">
        <v>170964</v>
      </c>
      <c r="CZ25" s="395">
        <v>291186</v>
      </c>
      <c r="DA25" s="395">
        <v>289546</v>
      </c>
      <c r="DB25" s="395">
        <v>300800</v>
      </c>
      <c r="DC25" s="395">
        <v>305906</v>
      </c>
      <c r="DD25" s="395">
        <v>310539</v>
      </c>
      <c r="DE25" s="395">
        <v>318263</v>
      </c>
      <c r="DF25" s="395">
        <v>326932</v>
      </c>
      <c r="DG25" s="395">
        <v>324633</v>
      </c>
      <c r="DH25" s="395">
        <v>326780</v>
      </c>
      <c r="DI25" s="395">
        <v>334543</v>
      </c>
      <c r="DJ25" s="395">
        <v>344341</v>
      </c>
      <c r="DK25" s="395">
        <v>343967</v>
      </c>
      <c r="DL25" s="395">
        <v>339949</v>
      </c>
      <c r="DM25" s="395">
        <v>337345</v>
      </c>
      <c r="DN25" s="395">
        <v>340474</v>
      </c>
      <c r="DO25" s="395">
        <v>326885</v>
      </c>
      <c r="DP25" s="395">
        <v>319023</v>
      </c>
      <c r="DQ25" s="395">
        <v>317906</v>
      </c>
      <c r="DR25" s="395">
        <v>318297</v>
      </c>
      <c r="DS25" s="395">
        <v>319325</v>
      </c>
      <c r="DT25" s="395">
        <v>325075</v>
      </c>
      <c r="DU25" s="395">
        <v>327194</v>
      </c>
      <c r="DV25" s="395">
        <v>333614</v>
      </c>
      <c r="DW25" s="395">
        <v>350669</v>
      </c>
      <c r="DX25" s="395">
        <v>358581</v>
      </c>
      <c r="DY25" s="395">
        <v>367839</v>
      </c>
      <c r="DZ25" s="395">
        <v>363988</v>
      </c>
      <c r="EA25" s="395">
        <v>374022</v>
      </c>
      <c r="EB25" s="395">
        <v>387522</v>
      </c>
      <c r="EC25" s="395">
        <v>390671</v>
      </c>
      <c r="ED25" s="395">
        <v>404331</v>
      </c>
      <c r="EE25" s="395">
        <v>410921</v>
      </c>
      <c r="EF25" s="395">
        <v>413176</v>
      </c>
      <c r="EG25" s="395">
        <v>411450</v>
      </c>
      <c r="EH25" s="395">
        <v>417983</v>
      </c>
      <c r="EI25" s="395">
        <v>409203</v>
      </c>
      <c r="EJ25" s="395">
        <v>404000</v>
      </c>
      <c r="EK25" s="395">
        <v>401928</v>
      </c>
      <c r="EL25" s="395">
        <v>389436</v>
      </c>
      <c r="EM25" s="395">
        <v>389518</v>
      </c>
      <c r="EN25" s="395">
        <v>386124</v>
      </c>
      <c r="EO25" s="395">
        <v>390735</v>
      </c>
      <c r="EP25" s="395">
        <v>390956</v>
      </c>
      <c r="EQ25" s="395">
        <v>373536</v>
      </c>
      <c r="ER25" s="395">
        <v>346385</v>
      </c>
      <c r="ES25" s="395">
        <v>339293</v>
      </c>
      <c r="ET25" s="395">
        <v>345871</v>
      </c>
      <c r="EU25" s="395">
        <v>353016</v>
      </c>
      <c r="EV25" s="395">
        <v>356906</v>
      </c>
      <c r="EW25" s="395">
        <v>370244</v>
      </c>
      <c r="EX25" s="395">
        <v>384214</v>
      </c>
      <c r="EY25" s="395">
        <v>399644</v>
      </c>
      <c r="EZ25" s="395">
        <v>389031</v>
      </c>
      <c r="FA25" s="395">
        <v>397139</v>
      </c>
      <c r="FB25" s="395">
        <v>395547</v>
      </c>
      <c r="FC25" s="395">
        <v>396676</v>
      </c>
      <c r="FD25" s="395">
        <v>396578</v>
      </c>
      <c r="FE25" s="395">
        <v>396708</v>
      </c>
      <c r="FF25" s="395">
        <v>390539</v>
      </c>
      <c r="FG25" s="395">
        <v>380695</v>
      </c>
      <c r="FH25" s="395">
        <v>371143</v>
      </c>
      <c r="FI25" s="395">
        <v>355407</v>
      </c>
      <c r="FJ25" s="395">
        <v>340408</v>
      </c>
      <c r="FK25" s="395">
        <v>331322</v>
      </c>
      <c r="FL25" s="395">
        <v>321164</v>
      </c>
      <c r="FM25" s="395">
        <v>308551</v>
      </c>
      <c r="FN25" s="395">
        <v>295719</v>
      </c>
      <c r="FO25" s="395">
        <v>284931</v>
      </c>
      <c r="FP25" s="395">
        <v>285437</v>
      </c>
      <c r="FQ25" s="395">
        <v>278929</v>
      </c>
      <c r="FR25" s="395">
        <v>271460</v>
      </c>
      <c r="FS25" s="395">
        <v>271487</v>
      </c>
      <c r="FT25" s="395">
        <v>275610</v>
      </c>
      <c r="FU25" s="395">
        <v>280129</v>
      </c>
      <c r="FV25" s="395">
        <v>294843</v>
      </c>
      <c r="FW25" s="395">
        <v>316380</v>
      </c>
      <c r="FX25" s="395">
        <v>240292</v>
      </c>
      <c r="FY25" s="395">
        <v>230370</v>
      </c>
      <c r="FZ25" s="395">
        <v>225985</v>
      </c>
      <c r="GA25" s="395">
        <v>206546</v>
      </c>
      <c r="GB25" s="395">
        <v>181398</v>
      </c>
      <c r="GC25" s="395">
        <v>159103</v>
      </c>
      <c r="GD25" s="395">
        <v>161482</v>
      </c>
      <c r="GE25" s="395">
        <v>155577</v>
      </c>
      <c r="GF25" s="395">
        <v>145759</v>
      </c>
      <c r="GG25" s="395">
        <v>132931</v>
      </c>
      <c r="GH25" s="395">
        <v>120255</v>
      </c>
      <c r="GI25" s="395">
        <v>107758</v>
      </c>
      <c r="GJ25" s="395">
        <v>93505</v>
      </c>
      <c r="GK25" s="395">
        <v>82264</v>
      </c>
      <c r="GL25" s="395">
        <v>349365</v>
      </c>
    </row>
    <row r="26" spans="1:194" s="8" customFormat="1" ht="15" x14ac:dyDescent="0.25">
      <c r="A26" s="32" t="s">
        <v>37</v>
      </c>
      <c r="B26" s="412" t="s">
        <v>167</v>
      </c>
      <c r="C26" s="33" t="s">
        <v>168</v>
      </c>
      <c r="D26" s="35">
        <f t="shared" ref="D26:D27" si="3">SUM(EN26:ER26)</f>
        <v>93382</v>
      </c>
      <c r="E26" s="35">
        <f t="shared" ref="E26:E27" si="4">SUM(ES26:FM26)</f>
        <v>439804</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ht="15" x14ac:dyDescent="0.25">
      <c r="A27" s="38" t="s">
        <v>37</v>
      </c>
      <c r="B27" s="413" t="s">
        <v>169</v>
      </c>
      <c r="C27" s="39" t="s">
        <v>170</v>
      </c>
      <c r="D27" s="41">
        <f t="shared" si="3"/>
        <v>64703</v>
      </c>
      <c r="E27" s="41">
        <f t="shared" si="4"/>
        <v>262805</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2">
      <c r="A28" s="44"/>
      <c r="B28" s="414"/>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
      <c r="A29" s="83" t="s">
        <v>152</v>
      </c>
      <c r="B29" s="415" t="s">
        <v>171</v>
      </c>
      <c r="C29" s="72" t="str">
        <f t="shared" ref="C29:C92" si="5">CONCATENATE(A29," - ",B29)</f>
        <v xml:space="preserve">England – CCGs - Barnsley </v>
      </c>
      <c r="D29" s="61">
        <f t="shared" ref="D29:D92" si="6">SUM(EN29:ER29)</f>
        <v>7366</v>
      </c>
      <c r="E29" s="61">
        <f t="shared" ref="E29:E92" si="7">SUM(ES29:FM29)</f>
        <v>35313</v>
      </c>
      <c r="F29" s="397">
        <f>G29+H29</f>
        <v>246482</v>
      </c>
      <c r="G29" s="397">
        <f>SUM(M29:CY29)</f>
        <v>121223</v>
      </c>
      <c r="H29" s="62">
        <f>SUM(CZ29:GL29)</f>
        <v>125259</v>
      </c>
      <c r="I29" s="62">
        <f>SUM(AE29:CY29)</f>
        <v>95316</v>
      </c>
      <c r="J29" s="62">
        <f>SUM(DR29:GL29)</f>
        <v>100485</v>
      </c>
      <c r="K29" s="398">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x14ac:dyDescent="0.2">
      <c r="A30" s="87" t="s">
        <v>152</v>
      </c>
      <c r="B30" s="415" t="s">
        <v>172</v>
      </c>
      <c r="C30" s="30" t="str">
        <f t="shared" si="5"/>
        <v xml:space="preserve">England – CCGs - Basildon and Brentwood </v>
      </c>
      <c r="D30" s="51">
        <f t="shared" si="6"/>
        <v>8953</v>
      </c>
      <c r="E30" s="51">
        <f t="shared" si="7"/>
        <v>36134</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x14ac:dyDescent="0.2">
      <c r="A31" s="87" t="s">
        <v>152</v>
      </c>
      <c r="B31" s="415" t="s">
        <v>173</v>
      </c>
      <c r="C31" s="30" t="str">
        <f t="shared" si="5"/>
        <v xml:space="preserve">England – CCGs - Bassetlaw </v>
      </c>
      <c r="D31" s="51">
        <f t="shared" si="6"/>
        <v>3425</v>
      </c>
      <c r="E31" s="51">
        <f t="shared" si="7"/>
        <v>17721</v>
      </c>
      <c r="F31" s="52">
        <f t="shared" ref="F31:F94" si="8">G31+H31</f>
        <v>120012</v>
      </c>
      <c r="G31" s="52">
        <f t="shared" ref="G31:G94" si="9">SUM(M31:CY31)</f>
        <v>59485</v>
      </c>
      <c r="H31" s="53">
        <f t="shared" ref="H31:H94" si="10">SUM(CZ31:GL31)</f>
        <v>60527</v>
      </c>
      <c r="I31" s="53">
        <f t="shared" ref="I31:I94" si="11">SUM(AE31:CY31)</f>
        <v>47388</v>
      </c>
      <c r="J31" s="53">
        <f t="shared" ref="J31:J94" si="12">SUM(DR31:GL31)</f>
        <v>49144</v>
      </c>
      <c r="K31" s="50">
        <f t="shared" ref="K31:K94" si="13">SUM(M31:AD31)</f>
        <v>12097</v>
      </c>
      <c r="L31" s="51">
        <f t="shared" ref="L31:L94" si="14">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x14ac:dyDescent="0.2">
      <c r="A32" s="87" t="s">
        <v>152</v>
      </c>
      <c r="B32" s="415" t="s">
        <v>174</v>
      </c>
      <c r="C32" s="30" t="str">
        <f t="shared" si="5"/>
        <v xml:space="preserve">England – CCGs - Bath and North East Somerset, Swindon and Wiltshire </v>
      </c>
      <c r="D32" s="51">
        <f t="shared" si="6"/>
        <v>29906</v>
      </c>
      <c r="E32" s="51">
        <f t="shared" si="7"/>
        <v>134180</v>
      </c>
      <c r="F32" s="52">
        <f t="shared" si="8"/>
        <v>953852</v>
      </c>
      <c r="G32" s="52">
        <f t="shared" si="9"/>
        <v>470982</v>
      </c>
      <c r="H32" s="53">
        <f t="shared" si="10"/>
        <v>482870</v>
      </c>
      <c r="I32" s="53">
        <f t="shared" si="11"/>
        <v>372192</v>
      </c>
      <c r="J32" s="53">
        <f t="shared" si="12"/>
        <v>388592</v>
      </c>
      <c r="K32" s="50">
        <f t="shared" si="13"/>
        <v>98790</v>
      </c>
      <c r="L32" s="51">
        <f t="shared" si="14"/>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x14ac:dyDescent="0.2">
      <c r="A33" s="87" t="s">
        <v>152</v>
      </c>
      <c r="B33" s="415" t="s">
        <v>175</v>
      </c>
      <c r="C33" s="30" t="str">
        <f t="shared" si="5"/>
        <v xml:space="preserve">England – CCGs - Bedfordshire, Luton and Milton Keynes </v>
      </c>
      <c r="D33" s="51">
        <f t="shared" si="6"/>
        <v>37743</v>
      </c>
      <c r="E33" s="51">
        <f t="shared" si="7"/>
        <v>131022</v>
      </c>
      <c r="F33" s="52">
        <f t="shared" si="8"/>
        <v>1015380</v>
      </c>
      <c r="G33" s="52">
        <f t="shared" si="9"/>
        <v>503181</v>
      </c>
      <c r="H33" s="53">
        <f t="shared" si="10"/>
        <v>512199</v>
      </c>
      <c r="I33" s="53">
        <f t="shared" si="11"/>
        <v>380018</v>
      </c>
      <c r="J33" s="53">
        <f t="shared" si="12"/>
        <v>395348</v>
      </c>
      <c r="K33" s="50">
        <f t="shared" si="13"/>
        <v>123163</v>
      </c>
      <c r="L33" s="51">
        <f t="shared" si="14"/>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x14ac:dyDescent="0.2">
      <c r="A34" s="87" t="s">
        <v>152</v>
      </c>
      <c r="B34" s="415" t="s">
        <v>176</v>
      </c>
      <c r="C34" s="30" t="str">
        <f t="shared" si="5"/>
        <v xml:space="preserve">England – CCGs - Berkshire West </v>
      </c>
      <c r="D34" s="51">
        <f t="shared" si="6"/>
        <v>19205</v>
      </c>
      <c r="E34" s="51">
        <f t="shared" si="7"/>
        <v>69247</v>
      </c>
      <c r="F34" s="52">
        <f t="shared" si="8"/>
        <v>518002</v>
      </c>
      <c r="G34" s="52">
        <f t="shared" si="9"/>
        <v>256499</v>
      </c>
      <c r="H34" s="53">
        <f t="shared" si="10"/>
        <v>261503</v>
      </c>
      <c r="I34" s="53">
        <f t="shared" si="11"/>
        <v>198017</v>
      </c>
      <c r="J34" s="53">
        <f t="shared" si="12"/>
        <v>205919</v>
      </c>
      <c r="K34" s="50">
        <f t="shared" si="13"/>
        <v>58482</v>
      </c>
      <c r="L34" s="51">
        <f t="shared" si="14"/>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x14ac:dyDescent="0.2">
      <c r="A35" s="87" t="s">
        <v>152</v>
      </c>
      <c r="B35" s="415" t="s">
        <v>177</v>
      </c>
      <c r="C35" s="30" t="str">
        <f t="shared" si="5"/>
        <v xml:space="preserve">England – CCGs - Birmingham and Solihull </v>
      </c>
      <c r="D35" s="51">
        <f t="shared" si="6"/>
        <v>40227</v>
      </c>
      <c r="E35" s="51">
        <f t="shared" si="7"/>
        <v>144101</v>
      </c>
      <c r="F35" s="52">
        <f t="shared" si="8"/>
        <v>1199381</v>
      </c>
      <c r="G35" s="52">
        <f t="shared" si="9"/>
        <v>586025</v>
      </c>
      <c r="H35" s="53">
        <f t="shared" si="10"/>
        <v>613356</v>
      </c>
      <c r="I35" s="53">
        <f t="shared" si="11"/>
        <v>438007</v>
      </c>
      <c r="J35" s="53">
        <f t="shared" si="12"/>
        <v>471299</v>
      </c>
      <c r="K35" s="50">
        <f t="shared" si="13"/>
        <v>148018</v>
      </c>
      <c r="L35" s="51">
        <f t="shared" si="14"/>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x14ac:dyDescent="0.2">
      <c r="A36" s="87" t="s">
        <v>152</v>
      </c>
      <c r="B36" s="415" t="s">
        <v>178</v>
      </c>
      <c r="C36" s="30" t="str">
        <f t="shared" si="5"/>
        <v xml:space="preserve">England – CCGs - Black Country and West Birmingham </v>
      </c>
      <c r="D36" s="51">
        <f t="shared" si="6"/>
        <v>46783</v>
      </c>
      <c r="E36" s="51">
        <f t="shared" si="7"/>
        <v>176373</v>
      </c>
      <c r="F36" s="52">
        <f t="shared" si="8"/>
        <v>1398835</v>
      </c>
      <c r="G36" s="52">
        <f t="shared" si="9"/>
        <v>690615</v>
      </c>
      <c r="H36" s="53">
        <f t="shared" si="10"/>
        <v>708220</v>
      </c>
      <c r="I36" s="53">
        <f t="shared" si="11"/>
        <v>519259</v>
      </c>
      <c r="J36" s="53">
        <f t="shared" si="12"/>
        <v>546163</v>
      </c>
      <c r="K36" s="50">
        <f t="shared" si="13"/>
        <v>171356</v>
      </c>
      <c r="L36" s="51">
        <f t="shared" si="14"/>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x14ac:dyDescent="0.2">
      <c r="A37" s="87" t="s">
        <v>152</v>
      </c>
      <c r="B37" s="415" t="s">
        <v>179</v>
      </c>
      <c r="C37" s="30" t="str">
        <f t="shared" si="5"/>
        <v xml:space="preserve">England – CCGs - Blackburn with Darwen </v>
      </c>
      <c r="D37" s="51">
        <f t="shared" si="6"/>
        <v>5392</v>
      </c>
      <c r="E37" s="51">
        <f t="shared" si="7"/>
        <v>19353</v>
      </c>
      <c r="F37" s="52">
        <f t="shared" si="8"/>
        <v>155762</v>
      </c>
      <c r="G37" s="52">
        <f t="shared" si="9"/>
        <v>77331</v>
      </c>
      <c r="H37" s="53">
        <f t="shared" si="10"/>
        <v>78431</v>
      </c>
      <c r="I37" s="53">
        <f t="shared" si="11"/>
        <v>57058</v>
      </c>
      <c r="J37" s="53">
        <f t="shared" si="12"/>
        <v>58704</v>
      </c>
      <c r="K37" s="50">
        <f t="shared" si="13"/>
        <v>20273</v>
      </c>
      <c r="L37" s="51">
        <f t="shared" si="14"/>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x14ac:dyDescent="0.2">
      <c r="A38" s="87" t="s">
        <v>152</v>
      </c>
      <c r="B38" s="415" t="s">
        <v>180</v>
      </c>
      <c r="C38" s="30" t="str">
        <f t="shared" si="5"/>
        <v xml:space="preserve">England – CCGs - Blackpool </v>
      </c>
      <c r="D38" s="51">
        <f t="shared" si="6"/>
        <v>3941</v>
      </c>
      <c r="E38" s="51">
        <f t="shared" si="7"/>
        <v>20255</v>
      </c>
      <c r="F38" s="52">
        <f t="shared" si="8"/>
        <v>141574</v>
      </c>
      <c r="G38" s="52">
        <f t="shared" si="9"/>
        <v>70014</v>
      </c>
      <c r="H38" s="53">
        <f t="shared" si="10"/>
        <v>71560</v>
      </c>
      <c r="I38" s="53">
        <f t="shared" si="11"/>
        <v>55562</v>
      </c>
      <c r="J38" s="53">
        <f t="shared" si="12"/>
        <v>57783</v>
      </c>
      <c r="K38" s="50">
        <f t="shared" si="13"/>
        <v>14452</v>
      </c>
      <c r="L38" s="51">
        <f t="shared" si="14"/>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x14ac:dyDescent="0.2">
      <c r="A39" s="87" t="s">
        <v>152</v>
      </c>
      <c r="B39" s="415" t="s">
        <v>181</v>
      </c>
      <c r="C39" s="30" t="str">
        <f t="shared" si="5"/>
        <v xml:space="preserve">England – CCGs - Bolton </v>
      </c>
      <c r="D39" s="51">
        <f t="shared" si="6"/>
        <v>9717</v>
      </c>
      <c r="E39" s="51">
        <f t="shared" si="7"/>
        <v>38513</v>
      </c>
      <c r="F39" s="52">
        <f t="shared" si="8"/>
        <v>298903</v>
      </c>
      <c r="G39" s="52">
        <f t="shared" si="9"/>
        <v>147723</v>
      </c>
      <c r="H39" s="53">
        <f t="shared" si="10"/>
        <v>151180</v>
      </c>
      <c r="I39" s="53">
        <f t="shared" si="11"/>
        <v>110558</v>
      </c>
      <c r="J39" s="53">
        <f t="shared" si="12"/>
        <v>115887</v>
      </c>
      <c r="K39" s="50">
        <f t="shared" si="13"/>
        <v>37165</v>
      </c>
      <c r="L39" s="51">
        <f t="shared" si="14"/>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x14ac:dyDescent="0.2">
      <c r="A40" s="87" t="s">
        <v>152</v>
      </c>
      <c r="B40" s="415" t="s">
        <v>182</v>
      </c>
      <c r="C40" s="30" t="str">
        <f t="shared" si="5"/>
        <v xml:space="preserve">England – CCGs - Bradford District and Craven </v>
      </c>
      <c r="D40" s="51">
        <f t="shared" si="6"/>
        <v>20547</v>
      </c>
      <c r="E40" s="51">
        <f t="shared" si="7"/>
        <v>76192</v>
      </c>
      <c r="F40" s="52">
        <f t="shared" si="8"/>
        <v>604251</v>
      </c>
      <c r="G40" s="52">
        <f t="shared" si="9"/>
        <v>296243</v>
      </c>
      <c r="H40" s="53">
        <f t="shared" si="10"/>
        <v>308008</v>
      </c>
      <c r="I40" s="53">
        <f t="shared" si="11"/>
        <v>220192</v>
      </c>
      <c r="J40" s="53">
        <f t="shared" si="12"/>
        <v>234216</v>
      </c>
      <c r="K40" s="50">
        <f t="shared" si="13"/>
        <v>76051</v>
      </c>
      <c r="L40" s="51">
        <f t="shared" si="14"/>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x14ac:dyDescent="0.2">
      <c r="A41" s="87" t="s">
        <v>152</v>
      </c>
      <c r="B41" s="415" t="s">
        <v>183</v>
      </c>
      <c r="C41" s="30" t="str">
        <f t="shared" si="5"/>
        <v xml:space="preserve">England – CCGs - Brighton and Hove </v>
      </c>
      <c r="D41" s="51">
        <f t="shared" si="6"/>
        <v>9800</v>
      </c>
      <c r="E41" s="51">
        <f t="shared" si="7"/>
        <v>37674</v>
      </c>
      <c r="F41" s="52">
        <f t="shared" si="8"/>
        <v>277965</v>
      </c>
      <c r="G41" s="52">
        <f t="shared" si="9"/>
        <v>136030</v>
      </c>
      <c r="H41" s="53">
        <f t="shared" si="10"/>
        <v>141935</v>
      </c>
      <c r="I41" s="53">
        <f t="shared" si="11"/>
        <v>112188</v>
      </c>
      <c r="J41" s="53">
        <f t="shared" si="12"/>
        <v>118923</v>
      </c>
      <c r="K41" s="50">
        <f t="shared" si="13"/>
        <v>23842</v>
      </c>
      <c r="L41" s="51">
        <f t="shared" si="14"/>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x14ac:dyDescent="0.2">
      <c r="A42" s="87" t="s">
        <v>152</v>
      </c>
      <c r="B42" s="415" t="s">
        <v>184</v>
      </c>
      <c r="C42" s="30" t="str">
        <f t="shared" si="5"/>
        <v xml:space="preserve">England – CCGs - Bristol, North Somerset and South Gloucestershire </v>
      </c>
      <c r="D42" s="51">
        <f t="shared" si="6"/>
        <v>32488</v>
      </c>
      <c r="E42" s="51">
        <f t="shared" si="7"/>
        <v>121134</v>
      </c>
      <c r="F42" s="52">
        <f t="shared" si="8"/>
        <v>992934</v>
      </c>
      <c r="G42" s="52">
        <f t="shared" si="9"/>
        <v>490777</v>
      </c>
      <c r="H42" s="53">
        <f t="shared" si="10"/>
        <v>502157</v>
      </c>
      <c r="I42" s="53">
        <f t="shared" si="11"/>
        <v>390782</v>
      </c>
      <c r="J42" s="53">
        <f t="shared" si="12"/>
        <v>407039</v>
      </c>
      <c r="K42" s="50">
        <f t="shared" si="13"/>
        <v>99995</v>
      </c>
      <c r="L42" s="51">
        <f t="shared" si="14"/>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x14ac:dyDescent="0.2">
      <c r="A43" s="87" t="s">
        <v>152</v>
      </c>
      <c r="B43" s="415" t="s">
        <v>185</v>
      </c>
      <c r="C43" s="30" t="str">
        <f t="shared" si="5"/>
        <v xml:space="preserve">England – CCGs - Buckinghamshire </v>
      </c>
      <c r="D43" s="51">
        <f t="shared" si="6"/>
        <v>20418</v>
      </c>
      <c r="E43" s="51">
        <f t="shared" si="7"/>
        <v>80477</v>
      </c>
      <c r="F43" s="52">
        <f t="shared" si="8"/>
        <v>563488</v>
      </c>
      <c r="G43" s="52">
        <f t="shared" si="9"/>
        <v>275644</v>
      </c>
      <c r="H43" s="53">
        <f t="shared" si="10"/>
        <v>287844</v>
      </c>
      <c r="I43" s="53">
        <f t="shared" si="11"/>
        <v>211021</v>
      </c>
      <c r="J43" s="53">
        <f t="shared" si="12"/>
        <v>225900</v>
      </c>
      <c r="K43" s="50">
        <f t="shared" si="13"/>
        <v>64623</v>
      </c>
      <c r="L43" s="51">
        <f t="shared" si="14"/>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x14ac:dyDescent="0.2">
      <c r="A44" s="87" t="s">
        <v>152</v>
      </c>
      <c r="B44" s="415" t="s">
        <v>186</v>
      </c>
      <c r="C44" s="30" t="str">
        <f t="shared" si="5"/>
        <v xml:space="preserve">England – CCGs - Bury </v>
      </c>
      <c r="D44" s="51">
        <f t="shared" si="6"/>
        <v>6472</v>
      </c>
      <c r="E44" s="51">
        <f t="shared" si="7"/>
        <v>26413</v>
      </c>
      <c r="F44" s="52">
        <f t="shared" si="8"/>
        <v>194606</v>
      </c>
      <c r="G44" s="52">
        <f t="shared" si="9"/>
        <v>95665</v>
      </c>
      <c r="H44" s="53">
        <f t="shared" si="10"/>
        <v>98941</v>
      </c>
      <c r="I44" s="53">
        <f t="shared" si="11"/>
        <v>73049</v>
      </c>
      <c r="J44" s="53">
        <f t="shared" si="12"/>
        <v>77651</v>
      </c>
      <c r="K44" s="50">
        <f t="shared" si="13"/>
        <v>22616</v>
      </c>
      <c r="L44" s="51">
        <f t="shared" si="14"/>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x14ac:dyDescent="0.2">
      <c r="A45" s="87" t="s">
        <v>152</v>
      </c>
      <c r="B45" s="415" t="s">
        <v>187</v>
      </c>
      <c r="C45" s="30" t="str">
        <f t="shared" si="5"/>
        <v xml:space="preserve">England – CCGs - Calderdale </v>
      </c>
      <c r="D45" s="51">
        <f t="shared" si="6"/>
        <v>6652</v>
      </c>
      <c r="E45" s="51">
        <f t="shared" si="7"/>
        <v>30480</v>
      </c>
      <c r="F45" s="52">
        <f t="shared" si="8"/>
        <v>207699</v>
      </c>
      <c r="G45" s="52">
        <f t="shared" si="9"/>
        <v>101550</v>
      </c>
      <c r="H45" s="53">
        <f t="shared" si="10"/>
        <v>106149</v>
      </c>
      <c r="I45" s="53">
        <f t="shared" si="11"/>
        <v>78458</v>
      </c>
      <c r="J45" s="53">
        <f t="shared" si="12"/>
        <v>84126</v>
      </c>
      <c r="K45" s="50">
        <f t="shared" si="13"/>
        <v>23092</v>
      </c>
      <c r="L45" s="51">
        <f t="shared" si="14"/>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x14ac:dyDescent="0.2">
      <c r="A46" s="87" t="s">
        <v>152</v>
      </c>
      <c r="B46" s="415" t="s">
        <v>188</v>
      </c>
      <c r="C46" s="30" t="str">
        <f t="shared" si="5"/>
        <v xml:space="preserve">England – CCGs - Cambridgeshire and Peterborough </v>
      </c>
      <c r="D46" s="51">
        <f t="shared" si="6"/>
        <v>32323</v>
      </c>
      <c r="E46" s="51">
        <f t="shared" si="7"/>
        <v>124455</v>
      </c>
      <c r="F46" s="52">
        <f t="shared" si="8"/>
        <v>944517</v>
      </c>
      <c r="G46" s="52">
        <f t="shared" si="9"/>
        <v>466419</v>
      </c>
      <c r="H46" s="53">
        <f t="shared" si="10"/>
        <v>478098</v>
      </c>
      <c r="I46" s="53">
        <f t="shared" si="11"/>
        <v>364079</v>
      </c>
      <c r="J46" s="53">
        <f t="shared" si="12"/>
        <v>381082</v>
      </c>
      <c r="K46" s="50">
        <f t="shared" si="13"/>
        <v>102340</v>
      </c>
      <c r="L46" s="51">
        <f t="shared" si="14"/>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x14ac:dyDescent="0.2">
      <c r="A47" s="87" t="s">
        <v>152</v>
      </c>
      <c r="B47" s="415" t="s">
        <v>189</v>
      </c>
      <c r="C47" s="30" t="str">
        <f t="shared" si="5"/>
        <v xml:space="preserve">England – CCGs - Cannock Chase </v>
      </c>
      <c r="D47" s="51">
        <f t="shared" si="6"/>
        <v>4104</v>
      </c>
      <c r="E47" s="51">
        <f t="shared" si="7"/>
        <v>19741</v>
      </c>
      <c r="F47" s="52">
        <f t="shared" si="8"/>
        <v>137726</v>
      </c>
      <c r="G47" s="52">
        <f t="shared" si="9"/>
        <v>67795</v>
      </c>
      <c r="H47" s="53">
        <f t="shared" si="10"/>
        <v>69931</v>
      </c>
      <c r="I47" s="53">
        <f t="shared" si="11"/>
        <v>53814</v>
      </c>
      <c r="J47" s="53">
        <f t="shared" si="12"/>
        <v>56470</v>
      </c>
      <c r="K47" s="50">
        <f t="shared" si="13"/>
        <v>13981</v>
      </c>
      <c r="L47" s="51">
        <f t="shared" si="14"/>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x14ac:dyDescent="0.2">
      <c r="A48" s="87" t="s">
        <v>152</v>
      </c>
      <c r="B48" s="415" t="s">
        <v>190</v>
      </c>
      <c r="C48" s="30" t="str">
        <f t="shared" si="5"/>
        <v xml:space="preserve">England – CCGs - Castle Point and Rochford </v>
      </c>
      <c r="D48" s="51">
        <f t="shared" si="6"/>
        <v>5315</v>
      </c>
      <c r="E48" s="51">
        <f t="shared" si="7"/>
        <v>25389</v>
      </c>
      <c r="F48" s="52">
        <f t="shared" si="8"/>
        <v>176947</v>
      </c>
      <c r="G48" s="52">
        <f t="shared" si="9"/>
        <v>85739</v>
      </c>
      <c r="H48" s="53">
        <f t="shared" si="10"/>
        <v>91208</v>
      </c>
      <c r="I48" s="53">
        <f t="shared" si="11"/>
        <v>68069</v>
      </c>
      <c r="J48" s="53">
        <f t="shared" si="12"/>
        <v>74355</v>
      </c>
      <c r="K48" s="50">
        <f t="shared" si="13"/>
        <v>17670</v>
      </c>
      <c r="L48" s="51">
        <f t="shared" si="14"/>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x14ac:dyDescent="0.2">
      <c r="A49" s="87" t="s">
        <v>152</v>
      </c>
      <c r="B49" s="415" t="s">
        <v>191</v>
      </c>
      <c r="C49" s="30" t="str">
        <f t="shared" si="5"/>
        <v xml:space="preserve">England – CCGs - Cheshire </v>
      </c>
      <c r="D49" s="51">
        <f t="shared" si="6"/>
        <v>23819</v>
      </c>
      <c r="E49" s="51">
        <f t="shared" si="7"/>
        <v>112506</v>
      </c>
      <c r="F49" s="52">
        <f t="shared" si="8"/>
        <v>768221</v>
      </c>
      <c r="G49" s="52">
        <f t="shared" si="9"/>
        <v>376029</v>
      </c>
      <c r="H49" s="53">
        <f t="shared" si="10"/>
        <v>392192</v>
      </c>
      <c r="I49" s="53">
        <f t="shared" si="11"/>
        <v>298582</v>
      </c>
      <c r="J49" s="53">
        <f t="shared" si="12"/>
        <v>318975</v>
      </c>
      <c r="K49" s="50">
        <f t="shared" si="13"/>
        <v>77447</v>
      </c>
      <c r="L49" s="51">
        <f t="shared" si="14"/>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x14ac:dyDescent="0.2">
      <c r="A50" s="87" t="s">
        <v>152</v>
      </c>
      <c r="B50" s="415" t="s">
        <v>192</v>
      </c>
      <c r="C50" s="30" t="str">
        <f t="shared" si="5"/>
        <v xml:space="preserve">England – CCGs - Chorley and South Ribble </v>
      </c>
      <c r="D50" s="51">
        <f t="shared" si="6"/>
        <v>5658</v>
      </c>
      <c r="E50" s="51">
        <f t="shared" si="7"/>
        <v>25948</v>
      </c>
      <c r="F50" s="52">
        <f t="shared" si="8"/>
        <v>180465</v>
      </c>
      <c r="G50" s="52">
        <f t="shared" si="9"/>
        <v>89548</v>
      </c>
      <c r="H50" s="53">
        <f t="shared" si="10"/>
        <v>90917</v>
      </c>
      <c r="I50" s="53">
        <f t="shared" si="11"/>
        <v>70741</v>
      </c>
      <c r="J50" s="53">
        <f t="shared" si="12"/>
        <v>73178</v>
      </c>
      <c r="K50" s="50">
        <f t="shared" si="13"/>
        <v>18807</v>
      </c>
      <c r="L50" s="51">
        <f t="shared" si="14"/>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x14ac:dyDescent="0.2">
      <c r="A51" s="87" t="s">
        <v>152</v>
      </c>
      <c r="B51" s="415" t="s">
        <v>193</v>
      </c>
      <c r="C51" s="30" t="str">
        <f t="shared" si="5"/>
        <v xml:space="preserve">England – CCGs - County Durham </v>
      </c>
      <c r="D51" s="51">
        <f t="shared" si="6"/>
        <v>15672</v>
      </c>
      <c r="E51" s="51">
        <f t="shared" si="7"/>
        <v>76455</v>
      </c>
      <c r="F51" s="52">
        <f t="shared" si="8"/>
        <v>528127</v>
      </c>
      <c r="G51" s="52">
        <f t="shared" si="9"/>
        <v>257850</v>
      </c>
      <c r="H51" s="53">
        <f t="shared" si="10"/>
        <v>270277</v>
      </c>
      <c r="I51" s="53">
        <f t="shared" si="11"/>
        <v>206649</v>
      </c>
      <c r="J51" s="53">
        <f t="shared" si="12"/>
        <v>221937</v>
      </c>
      <c r="K51" s="50">
        <f t="shared" si="13"/>
        <v>51201</v>
      </c>
      <c r="L51" s="51">
        <f t="shared" si="14"/>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x14ac:dyDescent="0.2">
      <c r="A52" s="87" t="s">
        <v>152</v>
      </c>
      <c r="B52" s="415" t="s">
        <v>194</v>
      </c>
      <c r="C52" s="30" t="str">
        <f t="shared" si="5"/>
        <v xml:space="preserve">England – CCGs - Coventry and Warwickshire </v>
      </c>
      <c r="D52" s="51">
        <f t="shared" si="6"/>
        <v>30912</v>
      </c>
      <c r="E52" s="51">
        <f t="shared" si="7"/>
        <v>124596</v>
      </c>
      <c r="F52" s="52">
        <f t="shared" si="8"/>
        <v>963204</v>
      </c>
      <c r="G52" s="52">
        <f t="shared" si="9"/>
        <v>477693</v>
      </c>
      <c r="H52" s="53">
        <f t="shared" si="10"/>
        <v>485511</v>
      </c>
      <c r="I52" s="53">
        <f t="shared" si="11"/>
        <v>374777</v>
      </c>
      <c r="J52" s="53">
        <f t="shared" si="12"/>
        <v>386977</v>
      </c>
      <c r="K52" s="50">
        <f t="shared" si="13"/>
        <v>102916</v>
      </c>
      <c r="L52" s="51">
        <f t="shared" si="14"/>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x14ac:dyDescent="0.2">
      <c r="A53" s="87" t="s">
        <v>152</v>
      </c>
      <c r="B53" s="415" t="s">
        <v>195</v>
      </c>
      <c r="C53" s="30" t="str">
        <f t="shared" si="5"/>
        <v xml:space="preserve">England – CCGs - Derby and Derbyshire </v>
      </c>
      <c r="D53" s="51">
        <f t="shared" si="6"/>
        <v>31579</v>
      </c>
      <c r="E53" s="51">
        <f t="shared" si="7"/>
        <v>148524</v>
      </c>
      <c r="F53" s="52">
        <f t="shared" si="8"/>
        <v>1033491</v>
      </c>
      <c r="G53" s="52">
        <f t="shared" si="9"/>
        <v>508629</v>
      </c>
      <c r="H53" s="53">
        <f t="shared" si="10"/>
        <v>524862</v>
      </c>
      <c r="I53" s="53">
        <f t="shared" si="11"/>
        <v>403652</v>
      </c>
      <c r="J53" s="53">
        <f t="shared" si="12"/>
        <v>423874</v>
      </c>
      <c r="K53" s="50">
        <f t="shared" si="13"/>
        <v>104977</v>
      </c>
      <c r="L53" s="51">
        <f t="shared" si="14"/>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x14ac:dyDescent="0.2">
      <c r="A54" s="87" t="s">
        <v>152</v>
      </c>
      <c r="B54" s="415" t="s">
        <v>196</v>
      </c>
      <c r="C54" s="30" t="str">
        <f t="shared" si="5"/>
        <v xml:space="preserve">England – CCGs - Devon </v>
      </c>
      <c r="D54" s="51">
        <f t="shared" si="6"/>
        <v>35208</v>
      </c>
      <c r="E54" s="51">
        <f t="shared" si="7"/>
        <v>177024</v>
      </c>
      <c r="F54" s="52">
        <f t="shared" si="8"/>
        <v>1232660</v>
      </c>
      <c r="G54" s="52">
        <f t="shared" si="9"/>
        <v>600962</v>
      </c>
      <c r="H54" s="53">
        <f t="shared" si="10"/>
        <v>631698</v>
      </c>
      <c r="I54" s="53">
        <f t="shared" si="11"/>
        <v>486049</v>
      </c>
      <c r="J54" s="53">
        <f t="shared" si="12"/>
        <v>522875</v>
      </c>
      <c r="K54" s="50">
        <f t="shared" si="13"/>
        <v>114913</v>
      </c>
      <c r="L54" s="51">
        <f t="shared" si="14"/>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x14ac:dyDescent="0.2">
      <c r="A55" s="87" t="s">
        <v>152</v>
      </c>
      <c r="B55" s="415" t="s">
        <v>197</v>
      </c>
      <c r="C55" s="30" t="str">
        <f t="shared" si="5"/>
        <v xml:space="preserve">England – CCGs - Doncaster </v>
      </c>
      <c r="D55" s="51">
        <f t="shared" si="6"/>
        <v>9287</v>
      </c>
      <c r="E55" s="51">
        <f t="shared" si="7"/>
        <v>43011</v>
      </c>
      <c r="F55" s="52">
        <f t="shared" si="8"/>
        <v>311027</v>
      </c>
      <c r="G55" s="52">
        <f t="shared" si="9"/>
        <v>154552</v>
      </c>
      <c r="H55" s="53">
        <f t="shared" si="10"/>
        <v>156475</v>
      </c>
      <c r="I55" s="53">
        <f t="shared" si="11"/>
        <v>121112</v>
      </c>
      <c r="J55" s="53">
        <f t="shared" si="12"/>
        <v>124796</v>
      </c>
      <c r="K55" s="50">
        <f t="shared" si="13"/>
        <v>33440</v>
      </c>
      <c r="L55" s="51">
        <f t="shared" si="14"/>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x14ac:dyDescent="0.2">
      <c r="A56" s="87" t="s">
        <v>152</v>
      </c>
      <c r="B56" s="415" t="s">
        <v>198</v>
      </c>
      <c r="C56" s="30" t="str">
        <f t="shared" si="5"/>
        <v xml:space="preserve">England – CCGs - Dorset </v>
      </c>
      <c r="D56" s="51">
        <f t="shared" si="6"/>
        <v>23436</v>
      </c>
      <c r="E56" s="51">
        <f t="shared" si="7"/>
        <v>112138</v>
      </c>
      <c r="F56" s="52">
        <f t="shared" si="8"/>
        <v>785172</v>
      </c>
      <c r="G56" s="52">
        <f t="shared" si="9"/>
        <v>382244</v>
      </c>
      <c r="H56" s="53">
        <f t="shared" si="10"/>
        <v>402928</v>
      </c>
      <c r="I56" s="53">
        <f t="shared" si="11"/>
        <v>310533</v>
      </c>
      <c r="J56" s="53">
        <f t="shared" si="12"/>
        <v>334681</v>
      </c>
      <c r="K56" s="50">
        <f t="shared" si="13"/>
        <v>71711</v>
      </c>
      <c r="L56" s="51">
        <f t="shared" si="14"/>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x14ac:dyDescent="0.2">
      <c r="A57" s="87" t="s">
        <v>152</v>
      </c>
      <c r="B57" s="415" t="s">
        <v>199</v>
      </c>
      <c r="C57" s="30" t="str">
        <f t="shared" si="5"/>
        <v xml:space="preserve">England – CCGs - East and North Hertfordshire </v>
      </c>
      <c r="D57" s="51">
        <f t="shared" si="6"/>
        <v>20454</v>
      </c>
      <c r="E57" s="51">
        <f t="shared" si="7"/>
        <v>79640</v>
      </c>
      <c r="F57" s="52">
        <f t="shared" si="8"/>
        <v>574319</v>
      </c>
      <c r="G57" s="52">
        <f t="shared" si="9"/>
        <v>280730</v>
      </c>
      <c r="H57" s="53">
        <f t="shared" si="10"/>
        <v>293589</v>
      </c>
      <c r="I57" s="53">
        <f t="shared" si="11"/>
        <v>216500</v>
      </c>
      <c r="J57" s="53">
        <f t="shared" si="12"/>
        <v>232375</v>
      </c>
      <c r="K57" s="50">
        <f t="shared" si="13"/>
        <v>64230</v>
      </c>
      <c r="L57" s="51">
        <f t="shared" si="14"/>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x14ac:dyDescent="0.2">
      <c r="A58" s="87" t="s">
        <v>152</v>
      </c>
      <c r="B58" s="415" t="s">
        <v>200</v>
      </c>
      <c r="C58" s="30" t="str">
        <f t="shared" si="5"/>
        <v xml:space="preserve">England – CCGs - East Lancashire </v>
      </c>
      <c r="D58" s="51">
        <f t="shared" si="6"/>
        <v>12520</v>
      </c>
      <c r="E58" s="51">
        <f t="shared" si="7"/>
        <v>54648</v>
      </c>
      <c r="F58" s="52">
        <f t="shared" si="8"/>
        <v>397081</v>
      </c>
      <c r="G58" s="52">
        <f t="shared" si="9"/>
        <v>195994</v>
      </c>
      <c r="H58" s="53">
        <f t="shared" si="10"/>
        <v>201087</v>
      </c>
      <c r="I58" s="53">
        <f t="shared" si="11"/>
        <v>150451</v>
      </c>
      <c r="J58" s="53">
        <f t="shared" si="12"/>
        <v>157689</v>
      </c>
      <c r="K58" s="50">
        <f t="shared" si="13"/>
        <v>45543</v>
      </c>
      <c r="L58" s="51">
        <f t="shared" si="14"/>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x14ac:dyDescent="0.2">
      <c r="A59" s="87" t="s">
        <v>152</v>
      </c>
      <c r="B59" s="415" t="s">
        <v>201</v>
      </c>
      <c r="C59" s="30" t="str">
        <f t="shared" si="5"/>
        <v xml:space="preserve">England – CCGs - East Leicestershire and Rutland </v>
      </c>
      <c r="D59" s="51">
        <f t="shared" si="6"/>
        <v>10963</v>
      </c>
      <c r="E59" s="51">
        <f t="shared" si="7"/>
        <v>50769</v>
      </c>
      <c r="F59" s="52">
        <f t="shared" si="8"/>
        <v>350329</v>
      </c>
      <c r="G59" s="52">
        <f t="shared" si="9"/>
        <v>172533</v>
      </c>
      <c r="H59" s="53">
        <f t="shared" si="10"/>
        <v>177796</v>
      </c>
      <c r="I59" s="53">
        <f t="shared" si="11"/>
        <v>136127</v>
      </c>
      <c r="J59" s="53">
        <f t="shared" si="12"/>
        <v>143488</v>
      </c>
      <c r="K59" s="50">
        <f t="shared" si="13"/>
        <v>36406</v>
      </c>
      <c r="L59" s="51">
        <f t="shared" si="14"/>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x14ac:dyDescent="0.2">
      <c r="A60" s="87" t="s">
        <v>152</v>
      </c>
      <c r="B60" s="415" t="s">
        <v>202</v>
      </c>
      <c r="C60" s="30" t="str">
        <f t="shared" si="5"/>
        <v xml:space="preserve">England – CCGs - East Riding of Yorkshire </v>
      </c>
      <c r="D60" s="51">
        <f t="shared" si="6"/>
        <v>8898</v>
      </c>
      <c r="E60" s="51">
        <f t="shared" si="7"/>
        <v>49353</v>
      </c>
      <c r="F60" s="52">
        <f t="shared" si="8"/>
        <v>321772</v>
      </c>
      <c r="G60" s="52">
        <f t="shared" si="9"/>
        <v>157610</v>
      </c>
      <c r="H60" s="53">
        <f t="shared" si="10"/>
        <v>164162</v>
      </c>
      <c r="I60" s="53">
        <f t="shared" si="11"/>
        <v>127859</v>
      </c>
      <c r="J60" s="53">
        <f t="shared" si="12"/>
        <v>136544</v>
      </c>
      <c r="K60" s="50">
        <f t="shared" si="13"/>
        <v>29751</v>
      </c>
      <c r="L60" s="51">
        <f t="shared" si="14"/>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x14ac:dyDescent="0.2">
      <c r="A61" s="87" t="s">
        <v>152</v>
      </c>
      <c r="B61" s="415" t="s">
        <v>203</v>
      </c>
      <c r="C61" s="30" t="str">
        <f t="shared" si="5"/>
        <v xml:space="preserve">England – CCGs - East Staffordshire </v>
      </c>
      <c r="D61" s="51">
        <f t="shared" si="6"/>
        <v>4180</v>
      </c>
      <c r="E61" s="51">
        <f t="shared" si="7"/>
        <v>19081</v>
      </c>
      <c r="F61" s="52">
        <f t="shared" si="8"/>
        <v>136641</v>
      </c>
      <c r="G61" s="52">
        <f t="shared" si="9"/>
        <v>68173</v>
      </c>
      <c r="H61" s="53">
        <f t="shared" si="10"/>
        <v>68468</v>
      </c>
      <c r="I61" s="53">
        <f t="shared" si="11"/>
        <v>53308</v>
      </c>
      <c r="J61" s="53">
        <f t="shared" si="12"/>
        <v>54265</v>
      </c>
      <c r="K61" s="50">
        <f t="shared" si="13"/>
        <v>14865</v>
      </c>
      <c r="L61" s="51">
        <f t="shared" si="14"/>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x14ac:dyDescent="0.2">
      <c r="A62" s="87" t="s">
        <v>152</v>
      </c>
      <c r="B62" s="415" t="s">
        <v>204</v>
      </c>
      <c r="C62" s="30" t="str">
        <f t="shared" si="5"/>
        <v xml:space="preserve">England – CCGs - East Sussex </v>
      </c>
      <c r="D62" s="51">
        <f t="shared" si="6"/>
        <v>16130</v>
      </c>
      <c r="E62" s="51">
        <f t="shared" si="7"/>
        <v>82885</v>
      </c>
      <c r="F62" s="52">
        <f t="shared" si="8"/>
        <v>550720</v>
      </c>
      <c r="G62" s="52">
        <f t="shared" si="9"/>
        <v>264509</v>
      </c>
      <c r="H62" s="53">
        <f t="shared" si="10"/>
        <v>286211</v>
      </c>
      <c r="I62" s="53">
        <f t="shared" si="11"/>
        <v>211669</v>
      </c>
      <c r="J62" s="53">
        <f t="shared" si="12"/>
        <v>236310</v>
      </c>
      <c r="K62" s="50">
        <f t="shared" si="13"/>
        <v>52840</v>
      </c>
      <c r="L62" s="51">
        <f t="shared" si="14"/>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x14ac:dyDescent="0.2">
      <c r="A63" s="87" t="s">
        <v>152</v>
      </c>
      <c r="B63" s="415" t="s">
        <v>205</v>
      </c>
      <c r="C63" s="30" t="str">
        <f t="shared" si="5"/>
        <v xml:space="preserve">England – CCGs - Frimley </v>
      </c>
      <c r="D63" s="51">
        <f t="shared" si="6"/>
        <v>29480</v>
      </c>
      <c r="E63" s="51">
        <f t="shared" si="7"/>
        <v>104579</v>
      </c>
      <c r="F63" s="52">
        <f t="shared" si="8"/>
        <v>773481</v>
      </c>
      <c r="G63" s="52">
        <f t="shared" si="9"/>
        <v>382291</v>
      </c>
      <c r="H63" s="53">
        <f t="shared" si="10"/>
        <v>391190</v>
      </c>
      <c r="I63" s="53">
        <f t="shared" si="11"/>
        <v>291456</v>
      </c>
      <c r="J63" s="53">
        <f t="shared" si="12"/>
        <v>305607</v>
      </c>
      <c r="K63" s="50">
        <f t="shared" si="13"/>
        <v>90835</v>
      </c>
      <c r="L63" s="51">
        <f t="shared" si="14"/>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x14ac:dyDescent="0.2">
      <c r="A64" s="87" t="s">
        <v>152</v>
      </c>
      <c r="B64" s="415" t="s">
        <v>206</v>
      </c>
      <c r="C64" s="30" t="str">
        <f t="shared" si="5"/>
        <v xml:space="preserve">England – CCGs - Fylde and Wyre </v>
      </c>
      <c r="D64" s="51">
        <f t="shared" si="6"/>
        <v>5321</v>
      </c>
      <c r="E64" s="51">
        <f t="shared" si="7"/>
        <v>30589</v>
      </c>
      <c r="F64" s="52">
        <f t="shared" si="8"/>
        <v>200205</v>
      </c>
      <c r="G64" s="52">
        <f t="shared" si="9"/>
        <v>97647</v>
      </c>
      <c r="H64" s="53">
        <f t="shared" si="10"/>
        <v>102558</v>
      </c>
      <c r="I64" s="53">
        <f t="shared" si="11"/>
        <v>79777</v>
      </c>
      <c r="J64" s="53">
        <f t="shared" si="12"/>
        <v>85496</v>
      </c>
      <c r="K64" s="50">
        <f t="shared" si="13"/>
        <v>17870</v>
      </c>
      <c r="L64" s="51">
        <f t="shared" si="14"/>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x14ac:dyDescent="0.2">
      <c r="A65" s="87" t="s">
        <v>152</v>
      </c>
      <c r="B65" s="415" t="s">
        <v>207</v>
      </c>
      <c r="C65" s="30" t="str">
        <f t="shared" si="5"/>
        <v xml:space="preserve">England – CCGs - Gloucestershire </v>
      </c>
      <c r="D65" s="51">
        <f t="shared" si="6"/>
        <v>20482</v>
      </c>
      <c r="E65" s="51">
        <f t="shared" si="7"/>
        <v>93948</v>
      </c>
      <c r="F65" s="52">
        <f t="shared" si="8"/>
        <v>652409</v>
      </c>
      <c r="G65" s="52">
        <f t="shared" si="9"/>
        <v>318898</v>
      </c>
      <c r="H65" s="53">
        <f t="shared" si="10"/>
        <v>333511</v>
      </c>
      <c r="I65" s="53">
        <f t="shared" si="11"/>
        <v>253430</v>
      </c>
      <c r="J65" s="53">
        <f t="shared" si="12"/>
        <v>270225</v>
      </c>
      <c r="K65" s="50">
        <f t="shared" si="13"/>
        <v>65468</v>
      </c>
      <c r="L65" s="51">
        <f t="shared" si="14"/>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x14ac:dyDescent="0.2">
      <c r="A66" s="87" t="s">
        <v>152</v>
      </c>
      <c r="B66" s="415" t="s">
        <v>208</v>
      </c>
      <c r="C66" s="30" t="str">
        <f t="shared" si="5"/>
        <v xml:space="preserve">England – CCGs - Greater Preston </v>
      </c>
      <c r="D66" s="51">
        <f t="shared" si="6"/>
        <v>6465</v>
      </c>
      <c r="E66" s="51">
        <f t="shared" si="7"/>
        <v>27627</v>
      </c>
      <c r="F66" s="52">
        <f t="shared" si="8"/>
        <v>211590</v>
      </c>
      <c r="G66" s="52">
        <f t="shared" si="9"/>
        <v>105156</v>
      </c>
      <c r="H66" s="53">
        <f t="shared" si="10"/>
        <v>106434</v>
      </c>
      <c r="I66" s="53">
        <f t="shared" si="11"/>
        <v>82261</v>
      </c>
      <c r="J66" s="53">
        <f t="shared" si="12"/>
        <v>84615</v>
      </c>
      <c r="K66" s="50">
        <f t="shared" si="13"/>
        <v>22895</v>
      </c>
      <c r="L66" s="51">
        <f t="shared" si="14"/>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x14ac:dyDescent="0.2">
      <c r="A67" s="87" t="s">
        <v>152</v>
      </c>
      <c r="B67" s="415" t="s">
        <v>209</v>
      </c>
      <c r="C67" s="30" t="str">
        <f t="shared" si="5"/>
        <v xml:space="preserve">England – CCGs - Halton </v>
      </c>
      <c r="D67" s="51">
        <f t="shared" si="6"/>
        <v>4165</v>
      </c>
      <c r="E67" s="51">
        <f t="shared" si="7"/>
        <v>18375</v>
      </c>
      <c r="F67" s="52">
        <f t="shared" si="8"/>
        <v>128964</v>
      </c>
      <c r="G67" s="52">
        <f t="shared" si="9"/>
        <v>63227</v>
      </c>
      <c r="H67" s="53">
        <f t="shared" si="10"/>
        <v>65737</v>
      </c>
      <c r="I67" s="53">
        <f t="shared" si="11"/>
        <v>49092</v>
      </c>
      <c r="J67" s="53">
        <f t="shared" si="12"/>
        <v>52326</v>
      </c>
      <c r="K67" s="50">
        <f t="shared" si="13"/>
        <v>14135</v>
      </c>
      <c r="L67" s="51">
        <f t="shared" si="14"/>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x14ac:dyDescent="0.2">
      <c r="A68" s="87" t="s">
        <v>152</v>
      </c>
      <c r="B68" s="415" t="s">
        <v>210</v>
      </c>
      <c r="C68" s="30" t="str">
        <f t="shared" si="5"/>
        <v xml:space="preserve">England – CCGs - Hampshire, Southampton and Isle of Wight </v>
      </c>
      <c r="D68" s="51">
        <f t="shared" si="6"/>
        <v>51044</v>
      </c>
      <c r="E68" s="51">
        <f t="shared" si="7"/>
        <v>230328</v>
      </c>
      <c r="F68" s="52">
        <f t="shared" si="8"/>
        <v>1633632</v>
      </c>
      <c r="G68" s="52">
        <f t="shared" si="9"/>
        <v>799558</v>
      </c>
      <c r="H68" s="53">
        <f t="shared" si="10"/>
        <v>834074</v>
      </c>
      <c r="I68" s="53">
        <f t="shared" si="11"/>
        <v>635840</v>
      </c>
      <c r="J68" s="53">
        <f t="shared" si="12"/>
        <v>678433</v>
      </c>
      <c r="K68" s="50">
        <f t="shared" si="13"/>
        <v>163718</v>
      </c>
      <c r="L68" s="51">
        <f t="shared" si="14"/>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x14ac:dyDescent="0.2">
      <c r="A69" s="87" t="s">
        <v>152</v>
      </c>
      <c r="B69" s="415" t="s">
        <v>211</v>
      </c>
      <c r="C69" s="30" t="str">
        <f t="shared" si="5"/>
        <v xml:space="preserve">England – CCGs - Herefordshire and Worcestershire </v>
      </c>
      <c r="D69" s="51">
        <f t="shared" si="6"/>
        <v>23749</v>
      </c>
      <c r="E69" s="51">
        <f t="shared" si="7"/>
        <v>116703</v>
      </c>
      <c r="F69" s="52">
        <f t="shared" si="8"/>
        <v>797935</v>
      </c>
      <c r="G69" s="52">
        <f t="shared" si="9"/>
        <v>390507</v>
      </c>
      <c r="H69" s="53">
        <f t="shared" si="10"/>
        <v>407428</v>
      </c>
      <c r="I69" s="53">
        <f t="shared" si="11"/>
        <v>311771</v>
      </c>
      <c r="J69" s="53">
        <f t="shared" si="12"/>
        <v>333199</v>
      </c>
      <c r="K69" s="50">
        <f t="shared" si="13"/>
        <v>78736</v>
      </c>
      <c r="L69" s="51">
        <f t="shared" si="14"/>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x14ac:dyDescent="0.2">
      <c r="A70" s="87" t="s">
        <v>152</v>
      </c>
      <c r="B70" s="415" t="s">
        <v>212</v>
      </c>
      <c r="C70" s="30" t="str">
        <f t="shared" si="5"/>
        <v xml:space="preserve">England – CCGs - Herts Valleys </v>
      </c>
      <c r="D70" s="51">
        <f t="shared" si="6"/>
        <v>24233</v>
      </c>
      <c r="E70" s="51">
        <f t="shared" si="7"/>
        <v>85293</v>
      </c>
      <c r="F70" s="52">
        <f t="shared" si="8"/>
        <v>609741</v>
      </c>
      <c r="G70" s="52">
        <f t="shared" si="9"/>
        <v>297532</v>
      </c>
      <c r="H70" s="53">
        <f t="shared" si="10"/>
        <v>312209</v>
      </c>
      <c r="I70" s="53">
        <f t="shared" si="11"/>
        <v>225346</v>
      </c>
      <c r="J70" s="53">
        <f t="shared" si="12"/>
        <v>243317</v>
      </c>
      <c r="K70" s="50">
        <f t="shared" si="13"/>
        <v>72186</v>
      </c>
      <c r="L70" s="51">
        <f t="shared" si="14"/>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x14ac:dyDescent="0.2">
      <c r="A71" s="87" t="s">
        <v>152</v>
      </c>
      <c r="B71" s="415" t="s">
        <v>213</v>
      </c>
      <c r="C71" s="30" t="str">
        <f t="shared" si="5"/>
        <v xml:space="preserve">England – CCGs - Heywood, Middleton and Rochdale </v>
      </c>
      <c r="D71" s="51">
        <f t="shared" si="6"/>
        <v>7685</v>
      </c>
      <c r="E71" s="51">
        <f t="shared" si="7"/>
        <v>29288</v>
      </c>
      <c r="F71" s="52">
        <f t="shared" si="8"/>
        <v>226992</v>
      </c>
      <c r="G71" s="52">
        <f t="shared" si="9"/>
        <v>111355</v>
      </c>
      <c r="H71" s="53">
        <f t="shared" si="10"/>
        <v>115637</v>
      </c>
      <c r="I71" s="53">
        <f t="shared" si="11"/>
        <v>82750</v>
      </c>
      <c r="J71" s="53">
        <f t="shared" si="12"/>
        <v>88568</v>
      </c>
      <c r="K71" s="50">
        <f t="shared" si="13"/>
        <v>28605</v>
      </c>
      <c r="L71" s="51">
        <f t="shared" si="14"/>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x14ac:dyDescent="0.2">
      <c r="A72" s="87" t="s">
        <v>152</v>
      </c>
      <c r="B72" s="415" t="s">
        <v>214</v>
      </c>
      <c r="C72" s="30" t="str">
        <f t="shared" si="5"/>
        <v xml:space="preserve">England – CCGs - Hull </v>
      </c>
      <c r="D72" s="51">
        <f t="shared" si="6"/>
        <v>8079</v>
      </c>
      <c r="E72" s="51">
        <f t="shared" si="7"/>
        <v>33353</v>
      </c>
      <c r="F72" s="52">
        <f t="shared" si="8"/>
        <v>268852</v>
      </c>
      <c r="G72" s="52">
        <f t="shared" si="9"/>
        <v>134568</v>
      </c>
      <c r="H72" s="53">
        <f t="shared" si="10"/>
        <v>134284</v>
      </c>
      <c r="I72" s="53">
        <f t="shared" si="11"/>
        <v>103768</v>
      </c>
      <c r="J72" s="53">
        <f t="shared" si="12"/>
        <v>104915</v>
      </c>
      <c r="K72" s="50">
        <f t="shared" si="13"/>
        <v>30800</v>
      </c>
      <c r="L72" s="51">
        <f t="shared" si="14"/>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x14ac:dyDescent="0.2">
      <c r="A73" s="87" t="s">
        <v>152</v>
      </c>
      <c r="B73" s="415" t="s">
        <v>215</v>
      </c>
      <c r="C73" s="30" t="str">
        <f t="shared" si="5"/>
        <v xml:space="preserve">England – CCGs - Ipswich and East Suffolk </v>
      </c>
      <c r="D73" s="51">
        <f t="shared" si="6"/>
        <v>12483</v>
      </c>
      <c r="E73" s="51">
        <f t="shared" si="7"/>
        <v>59783</v>
      </c>
      <c r="F73" s="52">
        <f t="shared" si="8"/>
        <v>414449</v>
      </c>
      <c r="G73" s="52">
        <f t="shared" si="9"/>
        <v>204167</v>
      </c>
      <c r="H73" s="53">
        <f t="shared" si="10"/>
        <v>210282</v>
      </c>
      <c r="I73" s="53">
        <f t="shared" si="11"/>
        <v>162999</v>
      </c>
      <c r="J73" s="53">
        <f t="shared" si="12"/>
        <v>170803</v>
      </c>
      <c r="K73" s="50">
        <f t="shared" si="13"/>
        <v>41168</v>
      </c>
      <c r="L73" s="51">
        <f t="shared" si="14"/>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x14ac:dyDescent="0.2">
      <c r="A74" s="87" t="s">
        <v>152</v>
      </c>
      <c r="B74" s="415" t="s">
        <v>216</v>
      </c>
      <c r="C74" s="30" t="str">
        <f t="shared" si="5"/>
        <v xml:space="preserve">England – CCGs - Kent and Medway </v>
      </c>
      <c r="D74" s="51">
        <f t="shared" si="6"/>
        <v>62262</v>
      </c>
      <c r="E74" s="51">
        <f t="shared" si="7"/>
        <v>259519</v>
      </c>
      <c r="F74" s="52">
        <f t="shared" si="8"/>
        <v>1875893</v>
      </c>
      <c r="G74" s="52">
        <f t="shared" si="9"/>
        <v>914637</v>
      </c>
      <c r="H74" s="53">
        <f t="shared" si="10"/>
        <v>961256</v>
      </c>
      <c r="I74" s="53">
        <f t="shared" si="11"/>
        <v>705391</v>
      </c>
      <c r="J74" s="53">
        <f t="shared" si="12"/>
        <v>762802</v>
      </c>
      <c r="K74" s="50">
        <f t="shared" si="13"/>
        <v>209246</v>
      </c>
      <c r="L74" s="51">
        <f t="shared" si="14"/>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x14ac:dyDescent="0.2">
      <c r="A75" s="87" t="s">
        <v>152</v>
      </c>
      <c r="B75" s="415" t="s">
        <v>217</v>
      </c>
      <c r="C75" s="30" t="str">
        <f t="shared" si="5"/>
        <v xml:space="preserve">England – CCGs - Kernow </v>
      </c>
      <c r="D75" s="51">
        <f t="shared" si="6"/>
        <v>16590</v>
      </c>
      <c r="E75" s="51">
        <f t="shared" si="7"/>
        <v>87029</v>
      </c>
      <c r="F75" s="52">
        <f t="shared" si="8"/>
        <v>577694</v>
      </c>
      <c r="G75" s="52">
        <f t="shared" si="9"/>
        <v>280361</v>
      </c>
      <c r="H75" s="53">
        <f t="shared" si="10"/>
        <v>297333</v>
      </c>
      <c r="I75" s="53">
        <f t="shared" si="11"/>
        <v>226093</v>
      </c>
      <c r="J75" s="53">
        <f t="shared" si="12"/>
        <v>245842</v>
      </c>
      <c r="K75" s="50">
        <f t="shared" si="13"/>
        <v>54268</v>
      </c>
      <c r="L75" s="51">
        <f t="shared" si="14"/>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x14ac:dyDescent="0.2">
      <c r="A76" s="87" t="s">
        <v>152</v>
      </c>
      <c r="B76" s="415" t="s">
        <v>218</v>
      </c>
      <c r="C76" s="30" t="str">
        <f t="shared" si="5"/>
        <v xml:space="preserve">England – CCGs - Kirklees </v>
      </c>
      <c r="D76" s="51">
        <f t="shared" si="6"/>
        <v>14538</v>
      </c>
      <c r="E76" s="51">
        <f t="shared" si="7"/>
        <v>58867</v>
      </c>
      <c r="F76" s="52">
        <f t="shared" si="8"/>
        <v>437593</v>
      </c>
      <c r="G76" s="52">
        <f t="shared" si="9"/>
        <v>215001</v>
      </c>
      <c r="H76" s="53">
        <f t="shared" si="10"/>
        <v>222592</v>
      </c>
      <c r="I76" s="53">
        <f t="shared" si="11"/>
        <v>164518</v>
      </c>
      <c r="J76" s="53">
        <f t="shared" si="12"/>
        <v>174599</v>
      </c>
      <c r="K76" s="50">
        <f t="shared" si="13"/>
        <v>50483</v>
      </c>
      <c r="L76" s="51">
        <f t="shared" si="14"/>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x14ac:dyDescent="0.2">
      <c r="A77" s="87" t="s">
        <v>152</v>
      </c>
      <c r="B77" s="415" t="s">
        <v>219</v>
      </c>
      <c r="C77" s="30" t="str">
        <f t="shared" si="5"/>
        <v xml:space="preserve">England – CCGs - Knowsley </v>
      </c>
      <c r="D77" s="51">
        <f t="shared" si="6"/>
        <v>4937</v>
      </c>
      <c r="E77" s="51">
        <f t="shared" si="7"/>
        <v>22504</v>
      </c>
      <c r="F77" s="52">
        <f t="shared" si="8"/>
        <v>157103</v>
      </c>
      <c r="G77" s="52">
        <f t="shared" si="9"/>
        <v>75222</v>
      </c>
      <c r="H77" s="53">
        <f t="shared" si="10"/>
        <v>81881</v>
      </c>
      <c r="I77" s="53">
        <f t="shared" si="11"/>
        <v>57340</v>
      </c>
      <c r="J77" s="53">
        <f t="shared" si="12"/>
        <v>64955</v>
      </c>
      <c r="K77" s="50">
        <f t="shared" si="13"/>
        <v>17882</v>
      </c>
      <c r="L77" s="51">
        <f t="shared" si="14"/>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x14ac:dyDescent="0.2">
      <c r="A78" s="87" t="s">
        <v>152</v>
      </c>
      <c r="B78" s="415" t="s">
        <v>220</v>
      </c>
      <c r="C78" s="30" t="str">
        <f t="shared" si="5"/>
        <v xml:space="preserve">England – CCGs - Leeds </v>
      </c>
      <c r="D78" s="51">
        <f t="shared" si="6"/>
        <v>26981</v>
      </c>
      <c r="E78" s="51">
        <f t="shared" si="7"/>
        <v>99222</v>
      </c>
      <c r="F78" s="52">
        <f t="shared" si="8"/>
        <v>822483</v>
      </c>
      <c r="G78" s="52">
        <f t="shared" si="9"/>
        <v>402324</v>
      </c>
      <c r="H78" s="53">
        <f t="shared" si="10"/>
        <v>420159</v>
      </c>
      <c r="I78" s="53">
        <f t="shared" si="11"/>
        <v>313860</v>
      </c>
      <c r="J78" s="53">
        <f t="shared" si="12"/>
        <v>335972</v>
      </c>
      <c r="K78" s="50">
        <f t="shared" si="13"/>
        <v>88464</v>
      </c>
      <c r="L78" s="51">
        <f t="shared" si="14"/>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x14ac:dyDescent="0.2">
      <c r="A79" s="87" t="s">
        <v>152</v>
      </c>
      <c r="B79" s="415" t="s">
        <v>221</v>
      </c>
      <c r="C79" s="30" t="str">
        <f t="shared" si="5"/>
        <v xml:space="preserve">England – CCGs - Leicester City </v>
      </c>
      <c r="D79" s="51">
        <f t="shared" si="6"/>
        <v>12738</v>
      </c>
      <c r="E79" s="51">
        <f t="shared" si="7"/>
        <v>42480</v>
      </c>
      <c r="F79" s="52">
        <f t="shared" si="8"/>
        <v>373399</v>
      </c>
      <c r="G79" s="52">
        <f t="shared" si="9"/>
        <v>186254</v>
      </c>
      <c r="H79" s="53">
        <f t="shared" si="10"/>
        <v>187145</v>
      </c>
      <c r="I79" s="53">
        <f t="shared" si="11"/>
        <v>140844</v>
      </c>
      <c r="J79" s="53">
        <f t="shared" si="12"/>
        <v>144720</v>
      </c>
      <c r="K79" s="50">
        <f t="shared" si="13"/>
        <v>45410</v>
      </c>
      <c r="L79" s="51">
        <f t="shared" si="14"/>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x14ac:dyDescent="0.2">
      <c r="A80" s="87" t="s">
        <v>152</v>
      </c>
      <c r="B80" s="415" t="s">
        <v>222</v>
      </c>
      <c r="C80" s="30" t="str">
        <f t="shared" si="5"/>
        <v xml:space="preserve">England – CCGs - Lincolnshire </v>
      </c>
      <c r="D80" s="51">
        <f t="shared" si="6"/>
        <v>22195</v>
      </c>
      <c r="E80" s="51">
        <f t="shared" si="7"/>
        <v>113229</v>
      </c>
      <c r="F80" s="52">
        <f t="shared" si="8"/>
        <v>775524</v>
      </c>
      <c r="G80" s="52">
        <f t="shared" si="9"/>
        <v>380037</v>
      </c>
      <c r="H80" s="53">
        <f t="shared" si="10"/>
        <v>395487</v>
      </c>
      <c r="I80" s="53">
        <f t="shared" si="11"/>
        <v>305377</v>
      </c>
      <c r="J80" s="53">
        <f t="shared" si="12"/>
        <v>324135</v>
      </c>
      <c r="K80" s="50">
        <f t="shared" si="13"/>
        <v>74660</v>
      </c>
      <c r="L80" s="51">
        <f t="shared" si="14"/>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x14ac:dyDescent="0.2">
      <c r="A81" s="87" t="s">
        <v>152</v>
      </c>
      <c r="B81" s="415" t="s">
        <v>223</v>
      </c>
      <c r="C81" s="30" t="str">
        <f t="shared" si="5"/>
        <v xml:space="preserve">England – CCGs - Liverpool </v>
      </c>
      <c r="D81" s="51">
        <f t="shared" si="6"/>
        <v>14702</v>
      </c>
      <c r="E81" s="51">
        <f t="shared" si="7"/>
        <v>60224</v>
      </c>
      <c r="F81" s="52">
        <f t="shared" si="8"/>
        <v>496770</v>
      </c>
      <c r="G81" s="52">
        <f t="shared" si="9"/>
        <v>243137</v>
      </c>
      <c r="H81" s="53">
        <f t="shared" si="10"/>
        <v>253633</v>
      </c>
      <c r="I81" s="53">
        <f t="shared" si="11"/>
        <v>194715</v>
      </c>
      <c r="J81" s="53">
        <f t="shared" si="12"/>
        <v>207573</v>
      </c>
      <c r="K81" s="50">
        <f t="shared" si="13"/>
        <v>48422</v>
      </c>
      <c r="L81" s="51">
        <f t="shared" si="14"/>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x14ac:dyDescent="0.2">
      <c r="A82" s="87" t="s">
        <v>152</v>
      </c>
      <c r="B82" s="415" t="s">
        <v>224</v>
      </c>
      <c r="C82" s="30" t="str">
        <f t="shared" si="5"/>
        <v xml:space="preserve">England – CCGs - Manchester </v>
      </c>
      <c r="D82" s="51">
        <f t="shared" si="6"/>
        <v>18702</v>
      </c>
      <c r="E82" s="51">
        <f t="shared" si="7"/>
        <v>56477</v>
      </c>
      <c r="F82" s="52">
        <f t="shared" si="8"/>
        <v>568996</v>
      </c>
      <c r="G82" s="52">
        <f t="shared" si="9"/>
        <v>282913</v>
      </c>
      <c r="H82" s="53">
        <f t="shared" si="10"/>
        <v>286083</v>
      </c>
      <c r="I82" s="53">
        <f t="shared" si="11"/>
        <v>217609</v>
      </c>
      <c r="J82" s="53">
        <f t="shared" si="12"/>
        <v>223000</v>
      </c>
      <c r="K82" s="50">
        <f t="shared" si="13"/>
        <v>65304</v>
      </c>
      <c r="L82" s="51">
        <f t="shared" si="14"/>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x14ac:dyDescent="0.2">
      <c r="A83" s="87" t="s">
        <v>152</v>
      </c>
      <c r="B83" s="415" t="s">
        <v>225</v>
      </c>
      <c r="C83" s="30" t="str">
        <f t="shared" si="5"/>
        <v xml:space="preserve">England – CCGs - Mid Essex </v>
      </c>
      <c r="D83" s="51">
        <f t="shared" si="6"/>
        <v>13323</v>
      </c>
      <c r="E83" s="51">
        <f t="shared" si="7"/>
        <v>58058</v>
      </c>
      <c r="F83" s="52">
        <f t="shared" si="8"/>
        <v>408561</v>
      </c>
      <c r="G83" s="52">
        <f t="shared" si="9"/>
        <v>199952</v>
      </c>
      <c r="H83" s="53">
        <f t="shared" si="10"/>
        <v>208609</v>
      </c>
      <c r="I83" s="53">
        <f t="shared" si="11"/>
        <v>156868</v>
      </c>
      <c r="J83" s="53">
        <f t="shared" si="12"/>
        <v>167704</v>
      </c>
      <c r="K83" s="50">
        <f t="shared" si="13"/>
        <v>43084</v>
      </c>
      <c r="L83" s="51">
        <f t="shared" si="14"/>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x14ac:dyDescent="0.2">
      <c r="A84" s="87" t="s">
        <v>152</v>
      </c>
      <c r="B84" s="415" t="s">
        <v>226</v>
      </c>
      <c r="C84" s="30" t="str">
        <f t="shared" si="5"/>
        <v xml:space="preserve">England – CCGs - Morecambe Bay </v>
      </c>
      <c r="D84" s="51">
        <f t="shared" si="6"/>
        <v>9155</v>
      </c>
      <c r="E84" s="51">
        <f t="shared" si="7"/>
        <v>47755</v>
      </c>
      <c r="F84" s="52">
        <f t="shared" si="8"/>
        <v>331197</v>
      </c>
      <c r="G84" s="52">
        <f t="shared" si="9"/>
        <v>162689</v>
      </c>
      <c r="H84" s="53">
        <f t="shared" si="10"/>
        <v>168508</v>
      </c>
      <c r="I84" s="53">
        <f t="shared" si="11"/>
        <v>132762</v>
      </c>
      <c r="J84" s="53">
        <f t="shared" si="12"/>
        <v>139899</v>
      </c>
      <c r="K84" s="50">
        <f t="shared" si="13"/>
        <v>29927</v>
      </c>
      <c r="L84" s="51">
        <f t="shared" si="14"/>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x14ac:dyDescent="0.2">
      <c r="A85" s="87" t="s">
        <v>152</v>
      </c>
      <c r="B85" s="415" t="s">
        <v>227</v>
      </c>
      <c r="C85" s="30" t="str">
        <f t="shared" si="5"/>
        <v xml:space="preserve">England – CCGs - Newcastle Gateshead </v>
      </c>
      <c r="D85" s="51">
        <f t="shared" si="6"/>
        <v>15197</v>
      </c>
      <c r="E85" s="51">
        <f t="shared" si="7"/>
        <v>61906</v>
      </c>
      <c r="F85" s="52">
        <f t="shared" si="8"/>
        <v>505287</v>
      </c>
      <c r="G85" s="52">
        <f t="shared" si="9"/>
        <v>249878</v>
      </c>
      <c r="H85" s="53">
        <f t="shared" si="10"/>
        <v>255409</v>
      </c>
      <c r="I85" s="53">
        <f t="shared" si="11"/>
        <v>199650</v>
      </c>
      <c r="J85" s="53">
        <f t="shared" si="12"/>
        <v>207359</v>
      </c>
      <c r="K85" s="50">
        <f t="shared" si="13"/>
        <v>50228</v>
      </c>
      <c r="L85" s="51">
        <f t="shared" si="14"/>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x14ac:dyDescent="0.2">
      <c r="A86" s="87" t="s">
        <v>152</v>
      </c>
      <c r="B86" s="415" t="s">
        <v>228</v>
      </c>
      <c r="C86" s="30" t="str">
        <f t="shared" si="5"/>
        <v xml:space="preserve">England – CCGs - Norfolk and Waveney </v>
      </c>
      <c r="D86" s="51">
        <f t="shared" si="6"/>
        <v>29516</v>
      </c>
      <c r="E86" s="51">
        <f t="shared" si="7"/>
        <v>147339</v>
      </c>
      <c r="F86" s="52">
        <f t="shared" si="8"/>
        <v>1041932</v>
      </c>
      <c r="G86" s="52">
        <f t="shared" si="9"/>
        <v>510572</v>
      </c>
      <c r="H86" s="53">
        <f t="shared" si="10"/>
        <v>531360</v>
      </c>
      <c r="I86" s="53">
        <f t="shared" si="11"/>
        <v>413052</v>
      </c>
      <c r="J86" s="53">
        <f t="shared" si="12"/>
        <v>438783</v>
      </c>
      <c r="K86" s="50">
        <f t="shared" si="13"/>
        <v>97520</v>
      </c>
      <c r="L86" s="51">
        <f t="shared" si="14"/>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x14ac:dyDescent="0.2">
      <c r="A87" s="87" t="s">
        <v>152</v>
      </c>
      <c r="B87" s="415" t="s">
        <v>229</v>
      </c>
      <c r="C87" s="30" t="str">
        <f t="shared" si="5"/>
        <v xml:space="preserve">England – CCGs - North Central London </v>
      </c>
      <c r="D87" s="51">
        <f t="shared" si="6"/>
        <v>54991</v>
      </c>
      <c r="E87" s="51">
        <f t="shared" si="7"/>
        <v>183169</v>
      </c>
      <c r="F87" s="52">
        <f t="shared" si="8"/>
        <v>1416558</v>
      </c>
      <c r="G87" s="52">
        <f t="shared" si="9"/>
        <v>677387</v>
      </c>
      <c r="H87" s="53">
        <f t="shared" si="10"/>
        <v>739171</v>
      </c>
      <c r="I87" s="53">
        <f t="shared" si="11"/>
        <v>525382</v>
      </c>
      <c r="J87" s="53">
        <f t="shared" si="12"/>
        <v>593171</v>
      </c>
      <c r="K87" s="50">
        <f t="shared" si="13"/>
        <v>152005</v>
      </c>
      <c r="L87" s="51">
        <f t="shared" si="14"/>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x14ac:dyDescent="0.2">
      <c r="A88" s="87" t="s">
        <v>152</v>
      </c>
      <c r="B88" s="415" t="s">
        <v>230</v>
      </c>
      <c r="C88" s="30" t="str">
        <f t="shared" si="5"/>
        <v xml:space="preserve">England – CCGs - North Cumbria </v>
      </c>
      <c r="D88" s="51">
        <f t="shared" si="6"/>
        <v>8909</v>
      </c>
      <c r="E88" s="51">
        <f t="shared" si="7"/>
        <v>49141</v>
      </c>
      <c r="F88" s="52">
        <f t="shared" si="8"/>
        <v>322479</v>
      </c>
      <c r="G88" s="52">
        <f t="shared" si="9"/>
        <v>158765</v>
      </c>
      <c r="H88" s="53">
        <f t="shared" si="10"/>
        <v>163714</v>
      </c>
      <c r="I88" s="53">
        <f t="shared" si="11"/>
        <v>128441</v>
      </c>
      <c r="J88" s="53">
        <f t="shared" si="12"/>
        <v>134791</v>
      </c>
      <c r="K88" s="50">
        <f t="shared" si="13"/>
        <v>30324</v>
      </c>
      <c r="L88" s="51">
        <f t="shared" si="14"/>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x14ac:dyDescent="0.2">
      <c r="A89" s="87" t="s">
        <v>152</v>
      </c>
      <c r="B89" s="415" t="s">
        <v>231</v>
      </c>
      <c r="C89" s="30" t="str">
        <f t="shared" si="5"/>
        <v xml:space="preserve">England – CCGs - North East Essex </v>
      </c>
      <c r="D89" s="51">
        <f t="shared" si="6"/>
        <v>10510</v>
      </c>
      <c r="E89" s="51">
        <f t="shared" si="7"/>
        <v>47409</v>
      </c>
      <c r="F89" s="52">
        <f t="shared" si="8"/>
        <v>345845</v>
      </c>
      <c r="G89" s="52">
        <f t="shared" si="9"/>
        <v>168263</v>
      </c>
      <c r="H89" s="53">
        <f t="shared" si="10"/>
        <v>177582</v>
      </c>
      <c r="I89" s="53">
        <f t="shared" si="11"/>
        <v>133386</v>
      </c>
      <c r="J89" s="53">
        <f t="shared" si="12"/>
        <v>144225</v>
      </c>
      <c r="K89" s="50">
        <f t="shared" si="13"/>
        <v>34877</v>
      </c>
      <c r="L89" s="51">
        <f t="shared" si="14"/>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x14ac:dyDescent="0.2">
      <c r="A90" s="87" t="s">
        <v>152</v>
      </c>
      <c r="B90" s="415" t="s">
        <v>232</v>
      </c>
      <c r="C90" s="30" t="str">
        <f t="shared" si="5"/>
        <v xml:space="preserve">England – CCGs - North East Lincolnshire </v>
      </c>
      <c r="D90" s="51">
        <f t="shared" si="6"/>
        <v>4526</v>
      </c>
      <c r="E90" s="51">
        <f t="shared" si="7"/>
        <v>22520</v>
      </c>
      <c r="F90" s="52">
        <f t="shared" si="8"/>
        <v>157754</v>
      </c>
      <c r="G90" s="52">
        <f t="shared" si="9"/>
        <v>77352</v>
      </c>
      <c r="H90" s="53">
        <f t="shared" si="10"/>
        <v>80402</v>
      </c>
      <c r="I90" s="53">
        <f t="shared" si="11"/>
        <v>60371</v>
      </c>
      <c r="J90" s="53">
        <f t="shared" si="12"/>
        <v>64235</v>
      </c>
      <c r="K90" s="50">
        <f t="shared" si="13"/>
        <v>16981</v>
      </c>
      <c r="L90" s="51">
        <f t="shared" si="14"/>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x14ac:dyDescent="0.2">
      <c r="A91" s="87" t="s">
        <v>152</v>
      </c>
      <c r="B91" s="415" t="s">
        <v>233</v>
      </c>
      <c r="C91" s="30" t="str">
        <f t="shared" si="5"/>
        <v xml:space="preserve">England – CCGs - North East London </v>
      </c>
      <c r="D91" s="51">
        <f t="shared" si="6"/>
        <v>78066</v>
      </c>
      <c r="E91" s="51">
        <f t="shared" si="7"/>
        <v>226226</v>
      </c>
      <c r="F91" s="52">
        <f t="shared" si="8"/>
        <v>2028265</v>
      </c>
      <c r="G91" s="52">
        <f t="shared" si="9"/>
        <v>998819</v>
      </c>
      <c r="H91" s="53">
        <f t="shared" si="10"/>
        <v>1029446</v>
      </c>
      <c r="I91" s="53">
        <f t="shared" si="11"/>
        <v>760944</v>
      </c>
      <c r="J91" s="53">
        <f t="shared" si="12"/>
        <v>800228</v>
      </c>
      <c r="K91" s="50">
        <f t="shared" si="13"/>
        <v>237875</v>
      </c>
      <c r="L91" s="51">
        <f t="shared" si="14"/>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x14ac:dyDescent="0.2">
      <c r="A92" s="87" t="s">
        <v>152</v>
      </c>
      <c r="B92" s="415" t="s">
        <v>234</v>
      </c>
      <c r="C92" s="30" t="str">
        <f t="shared" si="5"/>
        <v xml:space="preserve">England – CCGs - North Lincolnshire </v>
      </c>
      <c r="D92" s="51">
        <f t="shared" si="6"/>
        <v>4867</v>
      </c>
      <c r="E92" s="51">
        <f t="shared" si="7"/>
        <v>24627</v>
      </c>
      <c r="F92" s="52">
        <f t="shared" si="8"/>
        <v>170042</v>
      </c>
      <c r="G92" s="52">
        <f t="shared" si="9"/>
        <v>83843</v>
      </c>
      <c r="H92" s="53">
        <f t="shared" si="10"/>
        <v>86199</v>
      </c>
      <c r="I92" s="53">
        <f t="shared" si="11"/>
        <v>66371</v>
      </c>
      <c r="J92" s="53">
        <f t="shared" si="12"/>
        <v>69310</v>
      </c>
      <c r="K92" s="50">
        <f t="shared" si="13"/>
        <v>17472</v>
      </c>
      <c r="L92" s="51">
        <f t="shared" si="14"/>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x14ac:dyDescent="0.2">
      <c r="A93" s="87" t="s">
        <v>152</v>
      </c>
      <c r="B93" s="415" t="s">
        <v>235</v>
      </c>
      <c r="C93" s="30" t="str">
        <f t="shared" ref="C93:C134" si="15">CONCATENATE(A93," - ",B93)</f>
        <v xml:space="preserve">England – CCGs - North Staffordshire </v>
      </c>
      <c r="D93" s="51">
        <f t="shared" ref="D93:D134" si="16">SUM(EN93:ER93)</f>
        <v>6000</v>
      </c>
      <c r="E93" s="51">
        <f t="shared" ref="E93:E134" si="17">SUM(ES93:FM93)</f>
        <v>30936</v>
      </c>
      <c r="F93" s="52">
        <f t="shared" si="8"/>
        <v>213148</v>
      </c>
      <c r="G93" s="52">
        <f t="shared" si="9"/>
        <v>104607</v>
      </c>
      <c r="H93" s="53">
        <f t="shared" si="10"/>
        <v>108541</v>
      </c>
      <c r="I93" s="53">
        <f t="shared" si="11"/>
        <v>84689</v>
      </c>
      <c r="J93" s="53">
        <f t="shared" si="12"/>
        <v>89801</v>
      </c>
      <c r="K93" s="50">
        <f t="shared" si="13"/>
        <v>19918</v>
      </c>
      <c r="L93" s="51">
        <f t="shared" si="14"/>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x14ac:dyDescent="0.2">
      <c r="A94" s="87" t="s">
        <v>152</v>
      </c>
      <c r="B94" s="415" t="s">
        <v>236</v>
      </c>
      <c r="C94" s="30" t="str">
        <f t="shared" si="15"/>
        <v xml:space="preserve">England – CCGs - North Tyneside </v>
      </c>
      <c r="D94" s="51">
        <f t="shared" si="16"/>
        <v>7316</v>
      </c>
      <c r="E94" s="51">
        <f t="shared" si="17"/>
        <v>30488</v>
      </c>
      <c r="F94" s="52">
        <f t="shared" si="8"/>
        <v>210487</v>
      </c>
      <c r="G94" s="52">
        <f t="shared" si="9"/>
        <v>102303</v>
      </c>
      <c r="H94" s="53">
        <f t="shared" si="10"/>
        <v>108184</v>
      </c>
      <c r="I94" s="53">
        <f t="shared" si="11"/>
        <v>80464</v>
      </c>
      <c r="J94" s="53">
        <f t="shared" si="12"/>
        <v>87929</v>
      </c>
      <c r="K94" s="50">
        <f t="shared" si="13"/>
        <v>21839</v>
      </c>
      <c r="L94" s="51">
        <f t="shared" si="14"/>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x14ac:dyDescent="0.2">
      <c r="A95" s="87" t="s">
        <v>152</v>
      </c>
      <c r="B95" s="415" t="s">
        <v>237</v>
      </c>
      <c r="C95" s="30" t="str">
        <f t="shared" si="15"/>
        <v xml:space="preserve">England – CCGs - North West London </v>
      </c>
      <c r="D95" s="51">
        <f t="shared" si="16"/>
        <v>81899</v>
      </c>
      <c r="E95" s="51">
        <f t="shared" si="17"/>
        <v>272546</v>
      </c>
      <c r="F95" s="52">
        <f t="shared" ref="F95:F134" si="18">G95+H95</f>
        <v>2116269</v>
      </c>
      <c r="G95" s="52">
        <f t="shared" ref="G95:G134" si="19">SUM(M95:CY95)</f>
        <v>1035418</v>
      </c>
      <c r="H95" s="53">
        <f t="shared" ref="H95:H134" si="20">SUM(CZ95:GL95)</f>
        <v>1080851</v>
      </c>
      <c r="I95" s="53">
        <f t="shared" ref="I95:I134" si="21">SUM(AE95:CY95)</f>
        <v>811699</v>
      </c>
      <c r="J95" s="53">
        <f t="shared" ref="J95:J134" si="22">SUM(DR95:GL95)</f>
        <v>867923</v>
      </c>
      <c r="K95" s="50">
        <f t="shared" ref="K95:K134" si="23">SUM(M95:AD95)</f>
        <v>223719</v>
      </c>
      <c r="L95" s="51">
        <f t="shared" ref="L95:L134" si="24">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x14ac:dyDescent="0.2">
      <c r="A96" s="87" t="s">
        <v>152</v>
      </c>
      <c r="B96" s="415" t="s">
        <v>238</v>
      </c>
      <c r="C96" s="30" t="str">
        <f t="shared" si="15"/>
        <v xml:space="preserve">England – CCGs - North Yorkshire </v>
      </c>
      <c r="D96" s="51">
        <f t="shared" si="16"/>
        <v>12115</v>
      </c>
      <c r="E96" s="51">
        <f t="shared" si="17"/>
        <v>66558</v>
      </c>
      <c r="F96" s="52">
        <f t="shared" si="18"/>
        <v>430179</v>
      </c>
      <c r="G96" s="52">
        <f t="shared" si="19"/>
        <v>211387</v>
      </c>
      <c r="H96" s="53">
        <f t="shared" si="20"/>
        <v>218792</v>
      </c>
      <c r="I96" s="53">
        <f t="shared" si="21"/>
        <v>170980</v>
      </c>
      <c r="J96" s="53">
        <f t="shared" si="22"/>
        <v>180877</v>
      </c>
      <c r="K96" s="50">
        <f t="shared" si="23"/>
        <v>40407</v>
      </c>
      <c r="L96" s="51">
        <f t="shared" si="24"/>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x14ac:dyDescent="0.2">
      <c r="A97" s="87" t="s">
        <v>152</v>
      </c>
      <c r="B97" s="415" t="s">
        <v>239</v>
      </c>
      <c r="C97" s="30" t="str">
        <f t="shared" si="15"/>
        <v xml:space="preserve">England – CCGs - Northamptonshire </v>
      </c>
      <c r="D97" s="51">
        <f t="shared" si="16"/>
        <v>26547</v>
      </c>
      <c r="E97" s="51">
        <f t="shared" si="17"/>
        <v>105976</v>
      </c>
      <c r="F97" s="52">
        <f t="shared" si="18"/>
        <v>775246</v>
      </c>
      <c r="G97" s="52">
        <f t="shared" si="19"/>
        <v>382651</v>
      </c>
      <c r="H97" s="53">
        <f t="shared" si="20"/>
        <v>392595</v>
      </c>
      <c r="I97" s="53">
        <f t="shared" si="21"/>
        <v>296036</v>
      </c>
      <c r="J97" s="53">
        <f t="shared" si="22"/>
        <v>309301</v>
      </c>
      <c r="K97" s="50">
        <f t="shared" si="23"/>
        <v>86615</v>
      </c>
      <c r="L97" s="51">
        <f t="shared" si="24"/>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x14ac:dyDescent="0.2">
      <c r="A98" s="87" t="s">
        <v>152</v>
      </c>
      <c r="B98" s="415" t="s">
        <v>240</v>
      </c>
      <c r="C98" s="30" t="str">
        <f t="shared" si="15"/>
        <v xml:space="preserve">England – CCGs - Northumberland </v>
      </c>
      <c r="D98" s="51">
        <f t="shared" si="16"/>
        <v>9395</v>
      </c>
      <c r="E98" s="51">
        <f t="shared" si="17"/>
        <v>50451</v>
      </c>
      <c r="F98" s="52">
        <f t="shared" si="18"/>
        <v>324362</v>
      </c>
      <c r="G98" s="52">
        <f t="shared" si="19"/>
        <v>158454</v>
      </c>
      <c r="H98" s="53">
        <f t="shared" si="20"/>
        <v>165908</v>
      </c>
      <c r="I98" s="53">
        <f t="shared" si="21"/>
        <v>128234</v>
      </c>
      <c r="J98" s="53">
        <f t="shared" si="22"/>
        <v>137538</v>
      </c>
      <c r="K98" s="50">
        <f t="shared" si="23"/>
        <v>30220</v>
      </c>
      <c r="L98" s="51">
        <f t="shared" si="24"/>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x14ac:dyDescent="0.2">
      <c r="A99" s="87" t="s">
        <v>152</v>
      </c>
      <c r="B99" s="415" t="s">
        <v>241</v>
      </c>
      <c r="C99" s="30" t="str">
        <f t="shared" si="15"/>
        <v xml:space="preserve">England – CCGs - Nottingham and Nottinghamshire </v>
      </c>
      <c r="D99" s="51">
        <f t="shared" si="16"/>
        <v>31907</v>
      </c>
      <c r="E99" s="51">
        <f t="shared" si="17"/>
        <v>135975</v>
      </c>
      <c r="F99" s="52">
        <f t="shared" si="18"/>
        <v>1043323</v>
      </c>
      <c r="G99" s="52">
        <f t="shared" si="19"/>
        <v>511972</v>
      </c>
      <c r="H99" s="53">
        <f t="shared" si="20"/>
        <v>531351</v>
      </c>
      <c r="I99" s="53">
        <f t="shared" si="21"/>
        <v>404579</v>
      </c>
      <c r="J99" s="53">
        <f t="shared" si="22"/>
        <v>429003</v>
      </c>
      <c r="K99" s="50">
        <f t="shared" si="23"/>
        <v>107393</v>
      </c>
      <c r="L99" s="51">
        <f t="shared" si="24"/>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x14ac:dyDescent="0.2">
      <c r="A100" s="87" t="s">
        <v>152</v>
      </c>
      <c r="B100" s="415" t="s">
        <v>242</v>
      </c>
      <c r="C100" s="30" t="str">
        <f t="shared" si="15"/>
        <v xml:space="preserve">England – CCGs - Oldham </v>
      </c>
      <c r="D100" s="51">
        <f t="shared" si="16"/>
        <v>8088</v>
      </c>
      <c r="E100" s="51">
        <f t="shared" si="17"/>
        <v>30436</v>
      </c>
      <c r="F100" s="52">
        <f t="shared" si="18"/>
        <v>243912</v>
      </c>
      <c r="G100" s="52">
        <f t="shared" si="19"/>
        <v>119371</v>
      </c>
      <c r="H100" s="53">
        <f t="shared" si="20"/>
        <v>124541</v>
      </c>
      <c r="I100" s="53">
        <f t="shared" si="21"/>
        <v>87601</v>
      </c>
      <c r="J100" s="53">
        <f t="shared" si="22"/>
        <v>93872</v>
      </c>
      <c r="K100" s="50">
        <f t="shared" si="23"/>
        <v>31770</v>
      </c>
      <c r="L100" s="51">
        <f t="shared" si="24"/>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x14ac:dyDescent="0.2">
      <c r="A101" s="87" t="s">
        <v>152</v>
      </c>
      <c r="B101" s="415" t="s">
        <v>243</v>
      </c>
      <c r="C101" s="30" t="str">
        <f t="shared" si="15"/>
        <v xml:space="preserve">England – CCGs - Oxfordshire </v>
      </c>
      <c r="D101" s="51">
        <f t="shared" si="16"/>
        <v>23743</v>
      </c>
      <c r="E101" s="51">
        <f t="shared" si="17"/>
        <v>95836</v>
      </c>
      <c r="F101" s="52">
        <f t="shared" si="18"/>
        <v>721245</v>
      </c>
      <c r="G101" s="52">
        <f t="shared" si="19"/>
        <v>356252</v>
      </c>
      <c r="H101" s="53">
        <f t="shared" si="20"/>
        <v>364993</v>
      </c>
      <c r="I101" s="53">
        <f t="shared" si="21"/>
        <v>281211</v>
      </c>
      <c r="J101" s="53">
        <f t="shared" si="22"/>
        <v>294623</v>
      </c>
      <c r="K101" s="50">
        <f t="shared" si="23"/>
        <v>75041</v>
      </c>
      <c r="L101" s="51">
        <f t="shared" si="24"/>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x14ac:dyDescent="0.2">
      <c r="A102" s="87" t="s">
        <v>152</v>
      </c>
      <c r="B102" s="415" t="s">
        <v>244</v>
      </c>
      <c r="C102" s="30" t="str">
        <f t="shared" si="15"/>
        <v xml:space="preserve">England – CCGs - Portsmouth </v>
      </c>
      <c r="D102" s="51">
        <f t="shared" si="16"/>
        <v>6466</v>
      </c>
      <c r="E102" s="51">
        <f t="shared" si="17"/>
        <v>25145</v>
      </c>
      <c r="F102" s="52">
        <f t="shared" si="18"/>
        <v>208420</v>
      </c>
      <c r="G102" s="52">
        <f t="shared" si="19"/>
        <v>103763</v>
      </c>
      <c r="H102" s="53">
        <f t="shared" si="20"/>
        <v>104657</v>
      </c>
      <c r="I102" s="53">
        <f t="shared" si="21"/>
        <v>82264</v>
      </c>
      <c r="J102" s="53">
        <f t="shared" si="22"/>
        <v>84108</v>
      </c>
      <c r="K102" s="50">
        <f t="shared" si="23"/>
        <v>21499</v>
      </c>
      <c r="L102" s="51">
        <f t="shared" si="24"/>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x14ac:dyDescent="0.2">
      <c r="A103" s="87" t="s">
        <v>152</v>
      </c>
      <c r="B103" s="415" t="s">
        <v>245</v>
      </c>
      <c r="C103" s="30" t="str">
        <f t="shared" si="15"/>
        <v xml:space="preserve">England – CCGs - Rotherham </v>
      </c>
      <c r="D103" s="51">
        <f t="shared" si="16"/>
        <v>8278</v>
      </c>
      <c r="E103" s="51">
        <f t="shared" si="17"/>
        <v>37189</v>
      </c>
      <c r="F103" s="52">
        <f t="shared" si="18"/>
        <v>268354</v>
      </c>
      <c r="G103" s="52">
        <f t="shared" si="19"/>
        <v>131784</v>
      </c>
      <c r="H103" s="53">
        <f t="shared" si="20"/>
        <v>136570</v>
      </c>
      <c r="I103" s="53">
        <f t="shared" si="21"/>
        <v>102546</v>
      </c>
      <c r="J103" s="53">
        <f t="shared" si="22"/>
        <v>108578</v>
      </c>
      <c r="K103" s="50">
        <f t="shared" si="23"/>
        <v>29238</v>
      </c>
      <c r="L103" s="51">
        <f t="shared" si="24"/>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x14ac:dyDescent="0.2">
      <c r="A104" s="87" t="s">
        <v>152</v>
      </c>
      <c r="B104" s="415" t="s">
        <v>246</v>
      </c>
      <c r="C104" s="30" t="str">
        <f t="shared" si="15"/>
        <v xml:space="preserve">England – CCGs - Salford </v>
      </c>
      <c r="D104" s="51">
        <f t="shared" si="16"/>
        <v>8479</v>
      </c>
      <c r="E104" s="51">
        <f t="shared" si="17"/>
        <v>29632</v>
      </c>
      <c r="F104" s="52">
        <f t="shared" si="18"/>
        <v>278064</v>
      </c>
      <c r="G104" s="52">
        <f t="shared" si="19"/>
        <v>139829</v>
      </c>
      <c r="H104" s="53">
        <f t="shared" si="20"/>
        <v>138235</v>
      </c>
      <c r="I104" s="53">
        <f t="shared" si="21"/>
        <v>108861</v>
      </c>
      <c r="J104" s="53">
        <f t="shared" si="22"/>
        <v>108908</v>
      </c>
      <c r="K104" s="50">
        <f t="shared" si="23"/>
        <v>30968</v>
      </c>
      <c r="L104" s="51">
        <f t="shared" si="24"/>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x14ac:dyDescent="0.2">
      <c r="A105" s="87" t="s">
        <v>152</v>
      </c>
      <c r="B105" s="415" t="s">
        <v>247</v>
      </c>
      <c r="C105" s="30" t="str">
        <f t="shared" si="15"/>
        <v xml:space="preserve">England – CCGs - Sheffield </v>
      </c>
      <c r="D105" s="51">
        <f t="shared" si="16"/>
        <v>16821</v>
      </c>
      <c r="E105" s="51">
        <f t="shared" si="17"/>
        <v>68932</v>
      </c>
      <c r="F105" s="52">
        <f t="shared" si="18"/>
        <v>566242</v>
      </c>
      <c r="G105" s="52">
        <f t="shared" si="19"/>
        <v>280173</v>
      </c>
      <c r="H105" s="53">
        <f t="shared" si="20"/>
        <v>286069</v>
      </c>
      <c r="I105" s="53">
        <f t="shared" si="21"/>
        <v>221985</v>
      </c>
      <c r="J105" s="53">
        <f t="shared" si="22"/>
        <v>230539</v>
      </c>
      <c r="K105" s="50">
        <f t="shared" si="23"/>
        <v>58188</v>
      </c>
      <c r="L105" s="51">
        <f t="shared" si="24"/>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x14ac:dyDescent="0.2">
      <c r="A106" s="87" t="s">
        <v>152</v>
      </c>
      <c r="B106" s="415" t="s">
        <v>248</v>
      </c>
      <c r="C106" s="30" t="str">
        <f t="shared" si="15"/>
        <v xml:space="preserve">England – CCGs - Shropshire, Telford and Wrekin </v>
      </c>
      <c r="D106" s="51">
        <f t="shared" si="16"/>
        <v>14821</v>
      </c>
      <c r="E106" s="51">
        <f t="shared" si="17"/>
        <v>75424</v>
      </c>
      <c r="F106" s="52">
        <f t="shared" si="18"/>
        <v>516049</v>
      </c>
      <c r="G106" s="52">
        <f t="shared" si="19"/>
        <v>254197</v>
      </c>
      <c r="H106" s="53">
        <f t="shared" si="20"/>
        <v>261852</v>
      </c>
      <c r="I106" s="53">
        <f t="shared" si="21"/>
        <v>202333</v>
      </c>
      <c r="J106" s="53">
        <f t="shared" si="22"/>
        <v>212592</v>
      </c>
      <c r="K106" s="50">
        <f t="shared" si="23"/>
        <v>51864</v>
      </c>
      <c r="L106" s="51">
        <f t="shared" si="24"/>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x14ac:dyDescent="0.2">
      <c r="A107" s="87" t="s">
        <v>152</v>
      </c>
      <c r="B107" s="415" t="s">
        <v>249</v>
      </c>
      <c r="C107" s="30" t="str">
        <f t="shared" si="15"/>
        <v xml:space="preserve">England – CCGs - Somerset </v>
      </c>
      <c r="D107" s="51">
        <f t="shared" si="16"/>
        <v>16235</v>
      </c>
      <c r="E107" s="51">
        <f t="shared" si="17"/>
        <v>84896</v>
      </c>
      <c r="F107" s="52">
        <f t="shared" si="18"/>
        <v>576852</v>
      </c>
      <c r="G107" s="52">
        <f t="shared" si="19"/>
        <v>282176</v>
      </c>
      <c r="H107" s="53">
        <f t="shared" si="20"/>
        <v>294676</v>
      </c>
      <c r="I107" s="53">
        <f t="shared" si="21"/>
        <v>225653</v>
      </c>
      <c r="J107" s="53">
        <f t="shared" si="22"/>
        <v>240687</v>
      </c>
      <c r="K107" s="50">
        <f t="shared" si="23"/>
        <v>56523</v>
      </c>
      <c r="L107" s="51">
        <f t="shared" si="24"/>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x14ac:dyDescent="0.2">
      <c r="A108" s="87" t="s">
        <v>152</v>
      </c>
      <c r="B108" s="415" t="s">
        <v>250</v>
      </c>
      <c r="C108" s="30" t="str">
        <f t="shared" si="15"/>
        <v xml:space="preserve">England – CCGs - South East London </v>
      </c>
      <c r="D108" s="51">
        <f t="shared" si="16"/>
        <v>69830</v>
      </c>
      <c r="E108" s="51">
        <f t="shared" si="17"/>
        <v>232761</v>
      </c>
      <c r="F108" s="52">
        <f t="shared" si="18"/>
        <v>1795871</v>
      </c>
      <c r="G108" s="52">
        <f t="shared" si="19"/>
        <v>865549</v>
      </c>
      <c r="H108" s="53">
        <f t="shared" si="20"/>
        <v>930322</v>
      </c>
      <c r="I108" s="53">
        <f t="shared" si="21"/>
        <v>677404</v>
      </c>
      <c r="J108" s="53">
        <f t="shared" si="22"/>
        <v>749378</v>
      </c>
      <c r="K108" s="50">
        <f t="shared" si="23"/>
        <v>188145</v>
      </c>
      <c r="L108" s="51">
        <f t="shared" si="24"/>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x14ac:dyDescent="0.2">
      <c r="A109" s="87" t="s">
        <v>152</v>
      </c>
      <c r="B109" s="415" t="s">
        <v>251</v>
      </c>
      <c r="C109" s="30" t="str">
        <f t="shared" si="15"/>
        <v xml:space="preserve">England – CCGs - South East Staffordshire and Seisdon Peninsula </v>
      </c>
      <c r="D109" s="51">
        <f t="shared" si="16"/>
        <v>6805</v>
      </c>
      <c r="E109" s="51">
        <f t="shared" si="17"/>
        <v>33040</v>
      </c>
      <c r="F109" s="52">
        <f t="shared" si="18"/>
        <v>231486</v>
      </c>
      <c r="G109" s="52">
        <f t="shared" si="19"/>
        <v>114941</v>
      </c>
      <c r="H109" s="53">
        <f t="shared" si="20"/>
        <v>116545</v>
      </c>
      <c r="I109" s="53">
        <f t="shared" si="21"/>
        <v>92288</v>
      </c>
      <c r="J109" s="53">
        <f t="shared" si="22"/>
        <v>94976</v>
      </c>
      <c r="K109" s="50">
        <f t="shared" si="23"/>
        <v>22653</v>
      </c>
      <c r="L109" s="51">
        <f t="shared" si="24"/>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x14ac:dyDescent="0.2">
      <c r="A110" s="87" t="s">
        <v>152</v>
      </c>
      <c r="B110" s="415" t="s">
        <v>252</v>
      </c>
      <c r="C110" s="30" t="str">
        <f t="shared" si="15"/>
        <v xml:space="preserve">England – CCGs - South Sefton </v>
      </c>
      <c r="D110" s="51">
        <f t="shared" si="16"/>
        <v>5109</v>
      </c>
      <c r="E110" s="51">
        <f t="shared" si="17"/>
        <v>24211</v>
      </c>
      <c r="F110" s="52">
        <f t="shared" si="18"/>
        <v>163768</v>
      </c>
      <c r="G110" s="52">
        <f t="shared" si="19"/>
        <v>79420</v>
      </c>
      <c r="H110" s="53">
        <f t="shared" si="20"/>
        <v>84348</v>
      </c>
      <c r="I110" s="53">
        <f t="shared" si="21"/>
        <v>62707</v>
      </c>
      <c r="J110" s="53">
        <f t="shared" si="22"/>
        <v>68552</v>
      </c>
      <c r="K110" s="50">
        <f t="shared" si="23"/>
        <v>16713</v>
      </c>
      <c r="L110" s="51">
        <f t="shared" si="24"/>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x14ac:dyDescent="0.2">
      <c r="A111" s="87" t="s">
        <v>152</v>
      </c>
      <c r="B111" s="415" t="s">
        <v>253</v>
      </c>
      <c r="C111" s="30" t="str">
        <f t="shared" si="15"/>
        <v xml:space="preserve">England – CCGs - South Tyneside </v>
      </c>
      <c r="D111" s="51">
        <f t="shared" si="16"/>
        <v>4639</v>
      </c>
      <c r="E111" s="51">
        <f t="shared" si="17"/>
        <v>21591</v>
      </c>
      <c r="F111" s="52">
        <f t="shared" si="18"/>
        <v>148667</v>
      </c>
      <c r="G111" s="52">
        <f t="shared" si="19"/>
        <v>72355</v>
      </c>
      <c r="H111" s="53">
        <f t="shared" si="20"/>
        <v>76312</v>
      </c>
      <c r="I111" s="53">
        <f t="shared" si="21"/>
        <v>56904</v>
      </c>
      <c r="J111" s="53">
        <f t="shared" si="22"/>
        <v>61816</v>
      </c>
      <c r="K111" s="50">
        <f t="shared" si="23"/>
        <v>15451</v>
      </c>
      <c r="L111" s="51">
        <f t="shared" si="24"/>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x14ac:dyDescent="0.2">
      <c r="A112" s="87" t="s">
        <v>152</v>
      </c>
      <c r="B112" s="415" t="s">
        <v>254</v>
      </c>
      <c r="C112" s="30" t="str">
        <f t="shared" si="15"/>
        <v xml:space="preserve">England – CCGs - South West London </v>
      </c>
      <c r="D112" s="51">
        <f t="shared" si="16"/>
        <v>62194</v>
      </c>
      <c r="E112" s="51">
        <f t="shared" si="17"/>
        <v>200302</v>
      </c>
      <c r="F112" s="52">
        <f t="shared" si="18"/>
        <v>1509217</v>
      </c>
      <c r="G112" s="52">
        <f t="shared" si="19"/>
        <v>725443</v>
      </c>
      <c r="H112" s="53">
        <f t="shared" si="20"/>
        <v>783774</v>
      </c>
      <c r="I112" s="53">
        <f t="shared" si="21"/>
        <v>558793</v>
      </c>
      <c r="J112" s="53">
        <f t="shared" si="22"/>
        <v>624396</v>
      </c>
      <c r="K112" s="50">
        <f t="shared" si="23"/>
        <v>166650</v>
      </c>
      <c r="L112" s="51">
        <f t="shared" si="24"/>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x14ac:dyDescent="0.2">
      <c r="A113" s="87" t="s">
        <v>152</v>
      </c>
      <c r="B113" s="415" t="s">
        <v>255</v>
      </c>
      <c r="C113" s="30" t="str">
        <f t="shared" si="15"/>
        <v xml:space="preserve">England – CCGs - Southend </v>
      </c>
      <c r="D113" s="51">
        <f t="shared" si="16"/>
        <v>6346</v>
      </c>
      <c r="E113" s="51">
        <f t="shared" si="17"/>
        <v>25037</v>
      </c>
      <c r="F113" s="52">
        <f t="shared" si="18"/>
        <v>180915</v>
      </c>
      <c r="G113" s="52">
        <f t="shared" si="19"/>
        <v>88198</v>
      </c>
      <c r="H113" s="53">
        <f t="shared" si="20"/>
        <v>92717</v>
      </c>
      <c r="I113" s="53">
        <f t="shared" si="21"/>
        <v>68646</v>
      </c>
      <c r="J113" s="53">
        <f t="shared" si="22"/>
        <v>73948</v>
      </c>
      <c r="K113" s="50">
        <f t="shared" si="23"/>
        <v>19552</v>
      </c>
      <c r="L113" s="51">
        <f t="shared" si="24"/>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x14ac:dyDescent="0.2">
      <c r="A114" s="87" t="s">
        <v>152</v>
      </c>
      <c r="B114" s="415" t="s">
        <v>256</v>
      </c>
      <c r="C114" s="30" t="str">
        <f t="shared" si="15"/>
        <v xml:space="preserve">England – CCGs - Southport and Formby </v>
      </c>
      <c r="D114" s="51">
        <f t="shared" si="16"/>
        <v>3293</v>
      </c>
      <c r="E114" s="51">
        <f t="shared" si="17"/>
        <v>17511</v>
      </c>
      <c r="F114" s="52">
        <f t="shared" si="18"/>
        <v>117259</v>
      </c>
      <c r="G114" s="52">
        <f t="shared" si="19"/>
        <v>56893</v>
      </c>
      <c r="H114" s="53">
        <f t="shared" si="20"/>
        <v>60366</v>
      </c>
      <c r="I114" s="53">
        <f t="shared" si="21"/>
        <v>46142</v>
      </c>
      <c r="J114" s="53">
        <f t="shared" si="22"/>
        <v>50191</v>
      </c>
      <c r="K114" s="50">
        <f t="shared" si="23"/>
        <v>10751</v>
      </c>
      <c r="L114" s="51">
        <f t="shared" si="24"/>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x14ac:dyDescent="0.2">
      <c r="A115" s="87" t="s">
        <v>152</v>
      </c>
      <c r="B115" s="415" t="s">
        <v>257</v>
      </c>
      <c r="C115" s="30" t="str">
        <f t="shared" si="15"/>
        <v xml:space="preserve">England – CCGs - St Helens </v>
      </c>
      <c r="D115" s="51">
        <f t="shared" si="16"/>
        <v>5654</v>
      </c>
      <c r="E115" s="51">
        <f t="shared" si="17"/>
        <v>26145</v>
      </c>
      <c r="F115" s="52">
        <f t="shared" si="18"/>
        <v>184728</v>
      </c>
      <c r="G115" s="52">
        <f t="shared" si="19"/>
        <v>90663</v>
      </c>
      <c r="H115" s="53">
        <f t="shared" si="20"/>
        <v>94065</v>
      </c>
      <c r="I115" s="53">
        <f t="shared" si="21"/>
        <v>71708</v>
      </c>
      <c r="J115" s="53">
        <f t="shared" si="22"/>
        <v>76120</v>
      </c>
      <c r="K115" s="50">
        <f t="shared" si="23"/>
        <v>18955</v>
      </c>
      <c r="L115" s="51">
        <f t="shared" si="24"/>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x14ac:dyDescent="0.2">
      <c r="A116" s="87" t="s">
        <v>152</v>
      </c>
      <c r="B116" s="415" t="s">
        <v>258</v>
      </c>
      <c r="C116" s="30" t="str">
        <f t="shared" si="15"/>
        <v xml:space="preserve">England – CCGs - Stafford and Surrounds </v>
      </c>
      <c r="D116" s="51">
        <f t="shared" si="16"/>
        <v>4772</v>
      </c>
      <c r="E116" s="51">
        <f t="shared" si="17"/>
        <v>23200</v>
      </c>
      <c r="F116" s="52">
        <f t="shared" si="18"/>
        <v>159235</v>
      </c>
      <c r="G116" s="52">
        <f t="shared" si="19"/>
        <v>78425</v>
      </c>
      <c r="H116" s="53">
        <f t="shared" si="20"/>
        <v>80810</v>
      </c>
      <c r="I116" s="53">
        <f t="shared" si="21"/>
        <v>63125</v>
      </c>
      <c r="J116" s="53">
        <f t="shared" si="22"/>
        <v>66058</v>
      </c>
      <c r="K116" s="50">
        <f t="shared" si="23"/>
        <v>15300</v>
      </c>
      <c r="L116" s="51">
        <f t="shared" si="24"/>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x14ac:dyDescent="0.2">
      <c r="A117" s="87" t="s">
        <v>152</v>
      </c>
      <c r="B117" s="415" t="s">
        <v>259</v>
      </c>
      <c r="C117" s="30" t="str">
        <f t="shared" si="15"/>
        <v xml:space="preserve">England – CCGs - Stockport </v>
      </c>
      <c r="D117" s="51">
        <f t="shared" si="16"/>
        <v>10312</v>
      </c>
      <c r="E117" s="51">
        <f t="shared" si="17"/>
        <v>41036</v>
      </c>
      <c r="F117" s="52">
        <f t="shared" si="18"/>
        <v>297107</v>
      </c>
      <c r="G117" s="52">
        <f t="shared" si="19"/>
        <v>144724</v>
      </c>
      <c r="H117" s="53">
        <f t="shared" si="20"/>
        <v>152383</v>
      </c>
      <c r="I117" s="53">
        <f t="shared" si="21"/>
        <v>112123</v>
      </c>
      <c r="J117" s="53">
        <f t="shared" si="22"/>
        <v>121529</v>
      </c>
      <c r="K117" s="50">
        <f t="shared" si="23"/>
        <v>32601</v>
      </c>
      <c r="L117" s="51">
        <f t="shared" si="24"/>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x14ac:dyDescent="0.2">
      <c r="A118" s="87" t="s">
        <v>152</v>
      </c>
      <c r="B118" s="415" t="s">
        <v>260</v>
      </c>
      <c r="C118" s="30" t="str">
        <f t="shared" si="15"/>
        <v xml:space="preserve">England – CCGs - Stoke on Trent </v>
      </c>
      <c r="D118" s="51">
        <f t="shared" si="16"/>
        <v>8365</v>
      </c>
      <c r="E118" s="51">
        <f t="shared" si="17"/>
        <v>33603</v>
      </c>
      <c r="F118" s="52">
        <f t="shared" si="18"/>
        <v>268013</v>
      </c>
      <c r="G118" s="52">
        <f t="shared" si="19"/>
        <v>133508</v>
      </c>
      <c r="H118" s="53">
        <f t="shared" si="20"/>
        <v>134505</v>
      </c>
      <c r="I118" s="53">
        <f t="shared" si="21"/>
        <v>102841</v>
      </c>
      <c r="J118" s="53">
        <f t="shared" si="22"/>
        <v>104656</v>
      </c>
      <c r="K118" s="50">
        <f t="shared" si="23"/>
        <v>30667</v>
      </c>
      <c r="L118" s="51">
        <f t="shared" si="24"/>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x14ac:dyDescent="0.2">
      <c r="A119" s="87" t="s">
        <v>152</v>
      </c>
      <c r="B119" s="415" t="s">
        <v>261</v>
      </c>
      <c r="C119" s="30" t="str">
        <f t="shared" si="15"/>
        <v xml:space="preserve">England – CCGs - Sunderland </v>
      </c>
      <c r="D119" s="51">
        <f t="shared" si="16"/>
        <v>8570</v>
      </c>
      <c r="E119" s="51">
        <f t="shared" si="17"/>
        <v>39818</v>
      </c>
      <c r="F119" s="52">
        <f t="shared" si="18"/>
        <v>277354</v>
      </c>
      <c r="G119" s="52">
        <f t="shared" si="19"/>
        <v>135038</v>
      </c>
      <c r="H119" s="53">
        <f t="shared" si="20"/>
        <v>142316</v>
      </c>
      <c r="I119" s="53">
        <f t="shared" si="21"/>
        <v>106856</v>
      </c>
      <c r="J119" s="53">
        <f t="shared" si="22"/>
        <v>115417</v>
      </c>
      <c r="K119" s="50">
        <f t="shared" si="23"/>
        <v>28182</v>
      </c>
      <c r="L119" s="51">
        <f t="shared" si="24"/>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x14ac:dyDescent="0.2">
      <c r="A120" s="87" t="s">
        <v>152</v>
      </c>
      <c r="B120" s="415" t="s">
        <v>262</v>
      </c>
      <c r="C120" s="30" t="str">
        <f t="shared" si="15"/>
        <v xml:space="preserve">England – CCGs - Surrey Heartlands </v>
      </c>
      <c r="D120" s="51">
        <f t="shared" si="16"/>
        <v>39681</v>
      </c>
      <c r="E120" s="51">
        <f t="shared" si="17"/>
        <v>151998</v>
      </c>
      <c r="F120" s="52">
        <f t="shared" si="18"/>
        <v>1065363</v>
      </c>
      <c r="G120" s="52">
        <f t="shared" si="19"/>
        <v>519878</v>
      </c>
      <c r="H120" s="53">
        <f t="shared" si="20"/>
        <v>545485</v>
      </c>
      <c r="I120" s="53">
        <f t="shared" si="21"/>
        <v>401515</v>
      </c>
      <c r="J120" s="53">
        <f t="shared" si="22"/>
        <v>431954</v>
      </c>
      <c r="K120" s="50">
        <f t="shared" si="23"/>
        <v>118363</v>
      </c>
      <c r="L120" s="51">
        <f t="shared" si="24"/>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x14ac:dyDescent="0.2">
      <c r="A121" s="87" t="s">
        <v>152</v>
      </c>
      <c r="B121" s="415" t="s">
        <v>263</v>
      </c>
      <c r="C121" s="30" t="str">
        <f t="shared" si="15"/>
        <v xml:space="preserve">England – CCGs - Tameside and Glossop </v>
      </c>
      <c r="D121" s="51">
        <f t="shared" si="16"/>
        <v>8618</v>
      </c>
      <c r="E121" s="51">
        <f t="shared" si="17"/>
        <v>37112</v>
      </c>
      <c r="F121" s="52">
        <f t="shared" si="18"/>
        <v>266216</v>
      </c>
      <c r="G121" s="52">
        <f t="shared" si="19"/>
        <v>130586</v>
      </c>
      <c r="H121" s="53">
        <f t="shared" si="20"/>
        <v>135630</v>
      </c>
      <c r="I121" s="53">
        <f t="shared" si="21"/>
        <v>100701</v>
      </c>
      <c r="J121" s="53">
        <f t="shared" si="22"/>
        <v>107305</v>
      </c>
      <c r="K121" s="50">
        <f t="shared" si="23"/>
        <v>29885</v>
      </c>
      <c r="L121" s="51">
        <f t="shared" si="24"/>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x14ac:dyDescent="0.2">
      <c r="A122" s="87" t="s">
        <v>152</v>
      </c>
      <c r="B122" s="415" t="s">
        <v>264</v>
      </c>
      <c r="C122" s="30" t="str">
        <f t="shared" si="15"/>
        <v xml:space="preserve">England – CCGs - Tees Valley </v>
      </c>
      <c r="D122" s="51">
        <f t="shared" si="16"/>
        <v>20946</v>
      </c>
      <c r="E122" s="51">
        <f t="shared" si="17"/>
        <v>96099</v>
      </c>
      <c r="F122" s="52">
        <f t="shared" si="18"/>
        <v>688756</v>
      </c>
      <c r="G122" s="52">
        <f t="shared" si="19"/>
        <v>338264</v>
      </c>
      <c r="H122" s="53">
        <f t="shared" si="20"/>
        <v>350492</v>
      </c>
      <c r="I122" s="53">
        <f t="shared" si="21"/>
        <v>262723</v>
      </c>
      <c r="J122" s="53">
        <f t="shared" si="22"/>
        <v>278313</v>
      </c>
      <c r="K122" s="50">
        <f t="shared" si="23"/>
        <v>75541</v>
      </c>
      <c r="L122" s="51">
        <f t="shared" si="24"/>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x14ac:dyDescent="0.2">
      <c r="A123" s="87" t="s">
        <v>152</v>
      </c>
      <c r="B123" s="415" t="s">
        <v>265</v>
      </c>
      <c r="C123" s="30" t="str">
        <f t="shared" si="15"/>
        <v xml:space="preserve">England – CCGs - Thurrock </v>
      </c>
      <c r="D123" s="51">
        <f t="shared" si="16"/>
        <v>6628</v>
      </c>
      <c r="E123" s="51">
        <f t="shared" si="17"/>
        <v>22228</v>
      </c>
      <c r="F123" s="52">
        <f t="shared" si="18"/>
        <v>176877</v>
      </c>
      <c r="G123" s="52">
        <f t="shared" si="19"/>
        <v>86665</v>
      </c>
      <c r="H123" s="53">
        <f t="shared" si="20"/>
        <v>90212</v>
      </c>
      <c r="I123" s="53">
        <f t="shared" si="21"/>
        <v>63582</v>
      </c>
      <c r="J123" s="53">
        <f t="shared" si="22"/>
        <v>68415</v>
      </c>
      <c r="K123" s="50">
        <f t="shared" si="23"/>
        <v>23083</v>
      </c>
      <c r="L123" s="51">
        <f t="shared" si="24"/>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x14ac:dyDescent="0.2">
      <c r="A124" s="87" t="s">
        <v>152</v>
      </c>
      <c r="B124" s="415" t="s">
        <v>266</v>
      </c>
      <c r="C124" s="30" t="str">
        <f t="shared" si="15"/>
        <v xml:space="preserve">England – CCGs - Trafford </v>
      </c>
      <c r="D124" s="51">
        <f t="shared" si="16"/>
        <v>9383</v>
      </c>
      <c r="E124" s="51">
        <f t="shared" si="17"/>
        <v>32617</v>
      </c>
      <c r="F124" s="52">
        <f t="shared" si="18"/>
        <v>236301</v>
      </c>
      <c r="G124" s="52">
        <f t="shared" si="19"/>
        <v>115249</v>
      </c>
      <c r="H124" s="53">
        <f t="shared" si="20"/>
        <v>121052</v>
      </c>
      <c r="I124" s="53">
        <f t="shared" si="21"/>
        <v>86869</v>
      </c>
      <c r="J124" s="53">
        <f t="shared" si="22"/>
        <v>94098</v>
      </c>
      <c r="K124" s="50">
        <f t="shared" si="23"/>
        <v>28380</v>
      </c>
      <c r="L124" s="51">
        <f t="shared" si="24"/>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x14ac:dyDescent="0.2">
      <c r="A125" s="87" t="s">
        <v>152</v>
      </c>
      <c r="B125" s="415" t="s">
        <v>267</v>
      </c>
      <c r="C125" s="30" t="str">
        <f t="shared" si="15"/>
        <v xml:space="preserve">England – CCGs - Vale of York </v>
      </c>
      <c r="D125" s="51">
        <f t="shared" si="16"/>
        <v>11046</v>
      </c>
      <c r="E125" s="51">
        <f t="shared" si="17"/>
        <v>50530</v>
      </c>
      <c r="F125" s="52">
        <f t="shared" si="18"/>
        <v>364606</v>
      </c>
      <c r="G125" s="52">
        <f t="shared" si="19"/>
        <v>176409</v>
      </c>
      <c r="H125" s="53">
        <f t="shared" si="20"/>
        <v>188197</v>
      </c>
      <c r="I125" s="53">
        <f t="shared" si="21"/>
        <v>143110</v>
      </c>
      <c r="J125" s="53">
        <f t="shared" si="22"/>
        <v>156416</v>
      </c>
      <c r="K125" s="50">
        <f t="shared" si="23"/>
        <v>33299</v>
      </c>
      <c r="L125" s="51">
        <f t="shared" si="24"/>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x14ac:dyDescent="0.2">
      <c r="A126" s="87" t="s">
        <v>152</v>
      </c>
      <c r="B126" s="415" t="s">
        <v>268</v>
      </c>
      <c r="C126" s="30" t="str">
        <f t="shared" si="15"/>
        <v xml:space="preserve">England – CCGs - Wakefield </v>
      </c>
      <c r="D126" s="51">
        <f t="shared" si="16"/>
        <v>11136</v>
      </c>
      <c r="E126" s="51">
        <f t="shared" si="17"/>
        <v>49858</v>
      </c>
      <c r="F126" s="52">
        <f t="shared" si="18"/>
        <v>357729</v>
      </c>
      <c r="G126" s="52">
        <f t="shared" si="19"/>
        <v>176034</v>
      </c>
      <c r="H126" s="53">
        <f t="shared" si="20"/>
        <v>181695</v>
      </c>
      <c r="I126" s="53">
        <f t="shared" si="21"/>
        <v>137621</v>
      </c>
      <c r="J126" s="53">
        <f t="shared" si="22"/>
        <v>145330</v>
      </c>
      <c r="K126" s="50">
        <f t="shared" si="23"/>
        <v>38413</v>
      </c>
      <c r="L126" s="51">
        <f t="shared" si="24"/>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x14ac:dyDescent="0.2">
      <c r="A127" s="87" t="s">
        <v>152</v>
      </c>
      <c r="B127" s="415" t="s">
        <v>269</v>
      </c>
      <c r="C127" s="30" t="str">
        <f t="shared" si="15"/>
        <v xml:space="preserve">England – CCGs - Warrington </v>
      </c>
      <c r="D127" s="51">
        <f t="shared" si="16"/>
        <v>7083</v>
      </c>
      <c r="E127" s="51">
        <f t="shared" si="17"/>
        <v>30751</v>
      </c>
      <c r="F127" s="52">
        <f t="shared" si="18"/>
        <v>211580</v>
      </c>
      <c r="G127" s="52">
        <f t="shared" si="19"/>
        <v>104613</v>
      </c>
      <c r="H127" s="53">
        <f t="shared" si="20"/>
        <v>106967</v>
      </c>
      <c r="I127" s="53">
        <f t="shared" si="21"/>
        <v>82284</v>
      </c>
      <c r="J127" s="53">
        <f t="shared" si="22"/>
        <v>85828</v>
      </c>
      <c r="K127" s="50">
        <f t="shared" si="23"/>
        <v>22329</v>
      </c>
      <c r="L127" s="51">
        <f t="shared" si="24"/>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x14ac:dyDescent="0.2">
      <c r="A128" s="87" t="s">
        <v>152</v>
      </c>
      <c r="B128" s="415" t="s">
        <v>270</v>
      </c>
      <c r="C128" s="30" t="str">
        <f t="shared" si="15"/>
        <v xml:space="preserve">England – CCGs - West Essex </v>
      </c>
      <c r="D128" s="51">
        <f t="shared" si="16"/>
        <v>11478</v>
      </c>
      <c r="E128" s="51">
        <f t="shared" si="17"/>
        <v>45345</v>
      </c>
      <c r="F128" s="52">
        <f t="shared" si="18"/>
        <v>321976</v>
      </c>
      <c r="G128" s="52">
        <f t="shared" si="19"/>
        <v>156557</v>
      </c>
      <c r="H128" s="53">
        <f t="shared" si="20"/>
        <v>165419</v>
      </c>
      <c r="I128" s="53">
        <f t="shared" si="21"/>
        <v>120034</v>
      </c>
      <c r="J128" s="53">
        <f t="shared" si="22"/>
        <v>130657</v>
      </c>
      <c r="K128" s="50">
        <f t="shared" si="23"/>
        <v>36523</v>
      </c>
      <c r="L128" s="51">
        <f t="shared" si="24"/>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x14ac:dyDescent="0.2">
      <c r="A129" s="87" t="s">
        <v>152</v>
      </c>
      <c r="B129" s="415" t="s">
        <v>271</v>
      </c>
      <c r="C129" s="30" t="str">
        <f t="shared" si="15"/>
        <v xml:space="preserve">England – CCGs - West Lancashire </v>
      </c>
      <c r="D129" s="51">
        <f t="shared" si="16"/>
        <v>3247</v>
      </c>
      <c r="E129" s="51">
        <f t="shared" si="17"/>
        <v>17241</v>
      </c>
      <c r="F129" s="52">
        <f t="shared" si="18"/>
        <v>119367</v>
      </c>
      <c r="G129" s="52">
        <f t="shared" si="19"/>
        <v>57283</v>
      </c>
      <c r="H129" s="53">
        <f t="shared" si="20"/>
        <v>62084</v>
      </c>
      <c r="I129" s="53">
        <f t="shared" si="21"/>
        <v>45960</v>
      </c>
      <c r="J129" s="53">
        <f t="shared" si="22"/>
        <v>51265</v>
      </c>
      <c r="K129" s="50">
        <f t="shared" si="23"/>
        <v>11323</v>
      </c>
      <c r="L129" s="51">
        <f t="shared" si="24"/>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x14ac:dyDescent="0.2">
      <c r="A130" s="87" t="s">
        <v>152</v>
      </c>
      <c r="B130" s="415" t="s">
        <v>272</v>
      </c>
      <c r="C130" s="30" t="str">
        <f t="shared" si="15"/>
        <v xml:space="preserve">England – CCGs - West Leicestershire </v>
      </c>
      <c r="D130" s="51">
        <f t="shared" si="16"/>
        <v>12933</v>
      </c>
      <c r="E130" s="51">
        <f t="shared" si="17"/>
        <v>56754</v>
      </c>
      <c r="F130" s="52">
        <f t="shared" si="18"/>
        <v>412977</v>
      </c>
      <c r="G130" s="52">
        <f t="shared" si="19"/>
        <v>205194</v>
      </c>
      <c r="H130" s="53">
        <f t="shared" si="20"/>
        <v>207783</v>
      </c>
      <c r="I130" s="53">
        <f t="shared" si="21"/>
        <v>163839</v>
      </c>
      <c r="J130" s="53">
        <f t="shared" si="22"/>
        <v>168979</v>
      </c>
      <c r="K130" s="50">
        <f t="shared" si="23"/>
        <v>41355</v>
      </c>
      <c r="L130" s="51">
        <f t="shared" si="24"/>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x14ac:dyDescent="0.2">
      <c r="A131" s="87" t="s">
        <v>152</v>
      </c>
      <c r="B131" s="415" t="s">
        <v>273</v>
      </c>
      <c r="C131" s="30" t="str">
        <f t="shared" si="15"/>
        <v xml:space="preserve">England – CCGs - West Suffolk </v>
      </c>
      <c r="D131" s="51">
        <f t="shared" si="16"/>
        <v>6995</v>
      </c>
      <c r="E131" s="51">
        <f t="shared" si="17"/>
        <v>32342</v>
      </c>
      <c r="F131" s="52">
        <f t="shared" si="18"/>
        <v>237473</v>
      </c>
      <c r="G131" s="52">
        <f t="shared" si="19"/>
        <v>117832</v>
      </c>
      <c r="H131" s="53">
        <f t="shared" si="20"/>
        <v>119641</v>
      </c>
      <c r="I131" s="53">
        <f t="shared" si="21"/>
        <v>93865</v>
      </c>
      <c r="J131" s="53">
        <f t="shared" si="22"/>
        <v>97308</v>
      </c>
      <c r="K131" s="50">
        <f t="shared" si="23"/>
        <v>23967</v>
      </c>
      <c r="L131" s="51">
        <f t="shared" si="24"/>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x14ac:dyDescent="0.2">
      <c r="A132" s="87" t="s">
        <v>152</v>
      </c>
      <c r="B132" s="415" t="s">
        <v>274</v>
      </c>
      <c r="C132" s="30" t="str">
        <f t="shared" si="15"/>
        <v xml:space="preserve">England – CCGs - West Sussex </v>
      </c>
      <c r="D132" s="51">
        <f t="shared" si="16"/>
        <v>29010</v>
      </c>
      <c r="E132" s="51">
        <f t="shared" si="17"/>
        <v>126585</v>
      </c>
      <c r="F132" s="52">
        <f t="shared" si="18"/>
        <v>885492</v>
      </c>
      <c r="G132" s="52">
        <f t="shared" si="19"/>
        <v>429875</v>
      </c>
      <c r="H132" s="53">
        <f t="shared" si="20"/>
        <v>455617</v>
      </c>
      <c r="I132" s="53">
        <f t="shared" si="21"/>
        <v>339620</v>
      </c>
      <c r="J132" s="53">
        <f t="shared" si="22"/>
        <v>370138</v>
      </c>
      <c r="K132" s="50">
        <f t="shared" si="23"/>
        <v>90255</v>
      </c>
      <c r="L132" s="51">
        <f t="shared" si="24"/>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x14ac:dyDescent="0.2">
      <c r="A133" s="87" t="s">
        <v>152</v>
      </c>
      <c r="B133" s="415" t="s">
        <v>275</v>
      </c>
      <c r="C133" s="30" t="str">
        <f t="shared" si="15"/>
        <v xml:space="preserve">England – CCGs - Wigan Borough </v>
      </c>
      <c r="D133" s="51">
        <f t="shared" si="16"/>
        <v>10356</v>
      </c>
      <c r="E133" s="51">
        <f t="shared" si="17"/>
        <v>46413</v>
      </c>
      <c r="F133" s="52">
        <f t="shared" si="18"/>
        <v>334110</v>
      </c>
      <c r="G133" s="52">
        <f t="shared" si="19"/>
        <v>165612</v>
      </c>
      <c r="H133" s="53">
        <f t="shared" si="20"/>
        <v>168498</v>
      </c>
      <c r="I133" s="53">
        <f t="shared" si="21"/>
        <v>129821</v>
      </c>
      <c r="J133" s="53">
        <f t="shared" si="22"/>
        <v>134943</v>
      </c>
      <c r="K133" s="50">
        <f t="shared" si="23"/>
        <v>35791</v>
      </c>
      <c r="L133" s="51">
        <f t="shared" si="24"/>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x14ac:dyDescent="0.2">
      <c r="A134" s="87" t="s">
        <v>152</v>
      </c>
      <c r="B134" s="415" t="s">
        <v>276</v>
      </c>
      <c r="C134" s="30" t="str">
        <f t="shared" si="15"/>
        <v xml:space="preserve">England – CCGs - Wirral </v>
      </c>
      <c r="D134" s="51">
        <f t="shared" si="16"/>
        <v>9813</v>
      </c>
      <c r="E134" s="51">
        <f t="shared" si="17"/>
        <v>47236</v>
      </c>
      <c r="F134" s="52">
        <f t="shared" si="18"/>
        <v>322453</v>
      </c>
      <c r="G134" s="52">
        <f t="shared" si="19"/>
        <v>156079</v>
      </c>
      <c r="H134" s="53">
        <f t="shared" si="20"/>
        <v>166374</v>
      </c>
      <c r="I134" s="53">
        <f t="shared" si="21"/>
        <v>122282</v>
      </c>
      <c r="J134" s="53">
        <f t="shared" si="22"/>
        <v>134481</v>
      </c>
      <c r="K134" s="50">
        <f t="shared" si="23"/>
        <v>33797</v>
      </c>
      <c r="L134" s="51">
        <f t="shared" si="24"/>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5" customFormat="1" ht="15" x14ac:dyDescent="0.25">
      <c r="A135" s="112"/>
      <c r="B135" s="416"/>
      <c r="C135" s="112"/>
      <c r="D135" s="114">
        <f t="shared" ref="D135:L135" si="25">SUM(D29:D134)</f>
        <v>1887736</v>
      </c>
      <c r="E135" s="135">
        <f t="shared" si="25"/>
        <v>7720096</v>
      </c>
      <c r="F135" s="114">
        <f t="shared" si="25"/>
        <v>57106398</v>
      </c>
      <c r="G135" s="135">
        <f t="shared" si="25"/>
        <v>27983290</v>
      </c>
      <c r="H135" s="135">
        <f t="shared" si="25"/>
        <v>29123108</v>
      </c>
      <c r="I135" s="135">
        <f t="shared" si="25"/>
        <v>21895402</v>
      </c>
      <c r="J135" s="135">
        <f t="shared" si="25"/>
        <v>23324090</v>
      </c>
      <c r="K135" s="135">
        <f t="shared" si="25"/>
        <v>6087888</v>
      </c>
      <c r="L135" s="135">
        <f t="shared" si="25"/>
        <v>5799018</v>
      </c>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c r="AQ135" s="114"/>
      <c r="AR135" s="114"/>
      <c r="AS135" s="114"/>
      <c r="AT135" s="114"/>
      <c r="AU135" s="114"/>
      <c r="AV135" s="114"/>
      <c r="AW135" s="114"/>
      <c r="AX135" s="114"/>
      <c r="AY135" s="114"/>
      <c r="AZ135" s="114"/>
      <c r="BA135" s="114"/>
      <c r="BB135" s="114"/>
      <c r="BC135" s="114"/>
      <c r="BD135" s="114"/>
      <c r="BE135" s="114"/>
      <c r="BF135" s="114"/>
      <c r="BG135" s="114"/>
      <c r="BH135" s="114"/>
      <c r="BI135" s="114"/>
      <c r="BJ135" s="114"/>
      <c r="BK135" s="114"/>
      <c r="BL135" s="114"/>
      <c r="BM135" s="114"/>
      <c r="BN135" s="114"/>
      <c r="BO135" s="114"/>
      <c r="BP135" s="114"/>
      <c r="BQ135" s="114"/>
      <c r="BR135" s="114"/>
      <c r="BS135" s="114"/>
      <c r="BT135" s="114"/>
      <c r="BU135" s="114"/>
      <c r="BV135" s="114"/>
      <c r="BW135" s="114"/>
      <c r="BX135" s="114"/>
      <c r="BY135" s="114"/>
      <c r="BZ135" s="114"/>
      <c r="CA135" s="114"/>
      <c r="CB135" s="114"/>
      <c r="CC135" s="114"/>
      <c r="CD135" s="114"/>
      <c r="CE135" s="114"/>
      <c r="CF135" s="114"/>
      <c r="CG135" s="114"/>
      <c r="CH135" s="114"/>
      <c r="CI135" s="114"/>
      <c r="CJ135" s="114"/>
      <c r="CK135" s="114"/>
      <c r="CL135" s="114"/>
      <c r="CM135" s="114"/>
      <c r="CN135" s="114"/>
      <c r="CO135" s="114"/>
      <c r="CP135" s="114"/>
      <c r="CQ135" s="114"/>
      <c r="CR135" s="114"/>
      <c r="CS135" s="114"/>
      <c r="CT135" s="114"/>
      <c r="CU135" s="114"/>
      <c r="CV135" s="114"/>
      <c r="CW135" s="114"/>
      <c r="CX135" s="114"/>
      <c r="CY135" s="113"/>
      <c r="CZ135" s="114"/>
      <c r="DA135" s="114"/>
      <c r="DB135" s="114"/>
      <c r="DC135" s="114"/>
      <c r="DD135" s="114"/>
      <c r="DE135" s="114"/>
      <c r="DF135" s="114"/>
      <c r="DG135" s="114"/>
      <c r="DH135" s="114"/>
      <c r="DI135" s="114"/>
      <c r="DJ135" s="114"/>
      <c r="DK135" s="114"/>
      <c r="DL135" s="114"/>
      <c r="DM135" s="114"/>
      <c r="DN135" s="114"/>
      <c r="DO135" s="114"/>
      <c r="DP135" s="114"/>
      <c r="DQ135" s="114"/>
      <c r="DR135" s="114"/>
      <c r="DS135" s="114"/>
      <c r="DT135" s="114"/>
      <c r="DU135" s="114"/>
      <c r="DV135" s="114"/>
      <c r="DW135" s="114"/>
      <c r="DX135" s="114"/>
      <c r="DY135" s="114"/>
      <c r="DZ135" s="114"/>
      <c r="EA135" s="114"/>
      <c r="EB135" s="114"/>
      <c r="EC135" s="114"/>
      <c r="ED135" s="114"/>
      <c r="EE135" s="114"/>
      <c r="EF135" s="114"/>
      <c r="EG135" s="114"/>
      <c r="EH135" s="114"/>
      <c r="EI135" s="114"/>
      <c r="EJ135" s="114"/>
      <c r="EK135" s="114"/>
      <c r="EL135" s="114"/>
      <c r="EM135" s="114"/>
      <c r="EN135" s="114"/>
      <c r="EO135" s="114"/>
      <c r="EP135" s="114"/>
      <c r="EQ135" s="114"/>
      <c r="ER135" s="114"/>
      <c r="ES135" s="114"/>
      <c r="ET135" s="114"/>
      <c r="EU135" s="114"/>
      <c r="EV135" s="114"/>
      <c r="EW135" s="114"/>
      <c r="EX135" s="114"/>
      <c r="EY135" s="114"/>
      <c r="EZ135" s="114"/>
      <c r="FA135" s="114"/>
      <c r="FB135" s="114"/>
      <c r="FC135" s="114"/>
      <c r="FD135" s="114"/>
      <c r="FE135" s="114"/>
      <c r="FF135" s="114"/>
      <c r="FG135" s="114"/>
      <c r="FH135" s="114"/>
      <c r="FI135" s="114"/>
      <c r="FJ135" s="114"/>
      <c r="FK135" s="114"/>
      <c r="FL135" s="114"/>
      <c r="FM135" s="114"/>
      <c r="FN135" s="114"/>
      <c r="FO135" s="114"/>
      <c r="FP135" s="114"/>
      <c r="FQ135" s="114"/>
      <c r="FR135" s="114"/>
      <c r="FS135" s="114"/>
      <c r="FT135" s="114"/>
      <c r="FU135" s="114"/>
      <c r="FV135" s="114"/>
      <c r="FW135" s="114"/>
      <c r="FX135" s="114"/>
      <c r="FY135" s="114"/>
      <c r="FZ135" s="114"/>
      <c r="GA135" s="114"/>
      <c r="GB135" s="114"/>
      <c r="GC135" s="114"/>
      <c r="GD135" s="114"/>
      <c r="GE135" s="114"/>
      <c r="GF135" s="114"/>
      <c r="GG135" s="114"/>
      <c r="GH135" s="114"/>
      <c r="GI135" s="114"/>
      <c r="GJ135" s="114"/>
      <c r="GK135" s="114"/>
      <c r="GL135" s="113"/>
    </row>
    <row r="136" spans="1:194" s="1" customFormat="1" x14ac:dyDescent="0.2">
      <c r="A136" s="54" t="s">
        <v>134</v>
      </c>
      <c r="B136" s="417" t="s">
        <v>277</v>
      </c>
      <c r="C136" s="30" t="str">
        <f t="shared" ref="C136:C142" si="26">CONCATENATE(A136," - ",B136)</f>
        <v xml:space="preserve">Wales – Health Boards - Aneurin Bevan University Health Board </v>
      </c>
      <c r="D136" s="51">
        <f t="shared" ref="D136:D142" si="27">SUM(EN136:ER136)</f>
        <v>18426</v>
      </c>
      <c r="E136" s="51">
        <f t="shared" ref="E136:E142" si="28">SUM(ES136:FM136)</f>
        <v>83527</v>
      </c>
      <c r="F136" s="52">
        <f t="shared" ref="F136:F142" si="29">G136+H136</f>
        <v>591396</v>
      </c>
      <c r="G136" s="52">
        <f t="shared" ref="G136:G142" si="30">SUM(M136:CY136)</f>
        <v>289759</v>
      </c>
      <c r="H136" s="53">
        <f t="shared" ref="H136:H142" si="31">SUM(CZ136:GL136)</f>
        <v>301637</v>
      </c>
      <c r="I136" s="53">
        <f t="shared" ref="I136:I142" si="32">SUM(AE136:CY136)</f>
        <v>227112</v>
      </c>
      <c r="J136" s="53">
        <f t="shared" ref="J136:J142" si="33">SUM(DR136:GL136)</f>
        <v>242057</v>
      </c>
      <c r="K136" s="50">
        <f t="shared" ref="K136:K142" si="34">SUM(M136:AD136)</f>
        <v>62647</v>
      </c>
      <c r="L136" s="51">
        <f t="shared" ref="L136:L142" si="35">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x14ac:dyDescent="0.2">
      <c r="A137" s="54" t="s">
        <v>134</v>
      </c>
      <c r="B137" s="418" t="s">
        <v>278</v>
      </c>
      <c r="C137" s="30" t="str">
        <f t="shared" si="26"/>
        <v xml:space="preserve">Wales – Health Boards - Betsi Cadwaladr University Health Board </v>
      </c>
      <c r="D137" s="51">
        <f t="shared" si="27"/>
        <v>19649</v>
      </c>
      <c r="E137" s="51">
        <f t="shared" si="28"/>
        <v>101334</v>
      </c>
      <c r="F137" s="52">
        <f t="shared" si="29"/>
        <v>688201</v>
      </c>
      <c r="G137" s="52">
        <f t="shared" si="30"/>
        <v>337029</v>
      </c>
      <c r="H137" s="53">
        <f t="shared" si="31"/>
        <v>351172</v>
      </c>
      <c r="I137" s="53">
        <f t="shared" si="32"/>
        <v>268446</v>
      </c>
      <c r="J137" s="53">
        <f t="shared" si="33"/>
        <v>286121</v>
      </c>
      <c r="K137" s="50">
        <f t="shared" si="34"/>
        <v>68583</v>
      </c>
      <c r="L137" s="51">
        <f t="shared" si="35"/>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x14ac:dyDescent="0.2">
      <c r="A138" s="54" t="s">
        <v>134</v>
      </c>
      <c r="B138" s="418" t="s">
        <v>279</v>
      </c>
      <c r="C138" s="30" t="str">
        <f t="shared" si="26"/>
        <v xml:space="preserve">Wales – Health Boards - Cardiff and Vale University Health Board </v>
      </c>
      <c r="D138" s="51">
        <f t="shared" si="27"/>
        <v>16086</v>
      </c>
      <c r="E138" s="51">
        <f t="shared" si="28"/>
        <v>61902</v>
      </c>
      <c r="F138" s="52">
        <f t="shared" si="29"/>
        <v>505581</v>
      </c>
      <c r="G138" s="52">
        <f t="shared" si="30"/>
        <v>246725</v>
      </c>
      <c r="H138" s="53">
        <f t="shared" si="31"/>
        <v>258856</v>
      </c>
      <c r="I138" s="53">
        <f t="shared" si="32"/>
        <v>194209</v>
      </c>
      <c r="J138" s="53">
        <f t="shared" si="33"/>
        <v>208417</v>
      </c>
      <c r="K138" s="50">
        <f t="shared" si="34"/>
        <v>52516</v>
      </c>
      <c r="L138" s="51">
        <f t="shared" si="35"/>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x14ac:dyDescent="0.2">
      <c r="A139" s="54" t="s">
        <v>134</v>
      </c>
      <c r="B139" s="418" t="s">
        <v>280</v>
      </c>
      <c r="C139" s="30" t="str">
        <f t="shared" si="26"/>
        <v xml:space="preserve">Wales – Health Boards - Cwm Taf Morgannwg University Health Board </v>
      </c>
      <c r="D139" s="51">
        <f t="shared" si="27"/>
        <v>13564</v>
      </c>
      <c r="E139" s="51">
        <f t="shared" si="28"/>
        <v>62509</v>
      </c>
      <c r="F139" s="52">
        <f t="shared" si="29"/>
        <v>444037</v>
      </c>
      <c r="G139" s="52">
        <f t="shared" si="30"/>
        <v>218245</v>
      </c>
      <c r="H139" s="53">
        <f t="shared" si="31"/>
        <v>225792</v>
      </c>
      <c r="I139" s="53">
        <f t="shared" si="32"/>
        <v>171617</v>
      </c>
      <c r="J139" s="53">
        <f t="shared" si="33"/>
        <v>181544</v>
      </c>
      <c r="K139" s="50">
        <f t="shared" si="34"/>
        <v>46628</v>
      </c>
      <c r="L139" s="51">
        <f t="shared" si="35"/>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x14ac:dyDescent="0.2">
      <c r="A140" s="54" t="s">
        <v>134</v>
      </c>
      <c r="B140" s="418" t="s">
        <v>281</v>
      </c>
      <c r="C140" s="30" t="str">
        <f t="shared" si="26"/>
        <v xml:space="preserve">Wales – Health Boards - Hywel Dda University Health Board </v>
      </c>
      <c r="D140" s="51">
        <f t="shared" si="27"/>
        <v>10557</v>
      </c>
      <c r="E140" s="51">
        <f t="shared" si="28"/>
        <v>57418</v>
      </c>
      <c r="F140" s="52">
        <f t="shared" si="29"/>
        <v>385094</v>
      </c>
      <c r="G140" s="52">
        <f t="shared" si="30"/>
        <v>187853</v>
      </c>
      <c r="H140" s="53">
        <f t="shared" si="31"/>
        <v>197241</v>
      </c>
      <c r="I140" s="53">
        <f t="shared" si="32"/>
        <v>151075</v>
      </c>
      <c r="J140" s="53">
        <f t="shared" si="33"/>
        <v>162263</v>
      </c>
      <c r="K140" s="50">
        <f t="shared" si="34"/>
        <v>36778</v>
      </c>
      <c r="L140" s="51">
        <f t="shared" si="35"/>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x14ac:dyDescent="0.2">
      <c r="A141" s="54" t="s">
        <v>134</v>
      </c>
      <c r="B141" s="418" t="s">
        <v>282</v>
      </c>
      <c r="C141" s="30" t="str">
        <f t="shared" si="26"/>
        <v xml:space="preserve">Wales – Health Boards - Powys Teaching Health Board </v>
      </c>
      <c r="D141" s="51">
        <f t="shared" si="27"/>
        <v>3376</v>
      </c>
      <c r="E141" s="51">
        <f t="shared" si="28"/>
        <v>20792</v>
      </c>
      <c r="F141" s="52">
        <f t="shared" si="29"/>
        <v>133891</v>
      </c>
      <c r="G141" s="52">
        <f t="shared" si="30"/>
        <v>66153</v>
      </c>
      <c r="H141" s="53">
        <f t="shared" si="31"/>
        <v>67738</v>
      </c>
      <c r="I141" s="53">
        <f t="shared" si="32"/>
        <v>53985</v>
      </c>
      <c r="J141" s="53">
        <f t="shared" si="33"/>
        <v>56355</v>
      </c>
      <c r="K141" s="50">
        <f t="shared" si="34"/>
        <v>12168</v>
      </c>
      <c r="L141" s="51">
        <f t="shared" si="35"/>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x14ac:dyDescent="0.2">
      <c r="A142" s="55" t="s">
        <v>134</v>
      </c>
      <c r="B142" s="419" t="s">
        <v>283</v>
      </c>
      <c r="C142" s="44" t="str">
        <f t="shared" si="26"/>
        <v xml:space="preserve">Wales – Health Boards - Swansea Bay University Health Board </v>
      </c>
      <c r="D142" s="57">
        <f t="shared" si="27"/>
        <v>11724</v>
      </c>
      <c r="E142" s="57">
        <f t="shared" si="28"/>
        <v>52322</v>
      </c>
      <c r="F142" s="48">
        <f t="shared" si="29"/>
        <v>383440</v>
      </c>
      <c r="G142" s="48">
        <f t="shared" si="30"/>
        <v>189120</v>
      </c>
      <c r="H142" s="49">
        <f t="shared" si="31"/>
        <v>194320</v>
      </c>
      <c r="I142" s="49">
        <f t="shared" si="32"/>
        <v>150610</v>
      </c>
      <c r="J142" s="49">
        <f t="shared" si="33"/>
        <v>158200</v>
      </c>
      <c r="K142" s="56">
        <f t="shared" si="34"/>
        <v>38510</v>
      </c>
      <c r="L142" s="57">
        <f t="shared" si="35"/>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5" customFormat="1" ht="15" x14ac:dyDescent="0.25">
      <c r="A143" s="116"/>
      <c r="B143" s="420"/>
      <c r="C143" s="116"/>
      <c r="D143" s="41">
        <f>SUM(D136:D142)</f>
        <v>93382</v>
      </c>
      <c r="E143" s="41">
        <f t="shared" ref="E143:L143" si="36">SUM(E136:E142)</f>
        <v>439804</v>
      </c>
      <c r="F143" s="41">
        <f t="shared" si="36"/>
        <v>3131640</v>
      </c>
      <c r="G143" s="41">
        <f t="shared" si="36"/>
        <v>1534884</v>
      </c>
      <c r="H143" s="41">
        <f t="shared" si="36"/>
        <v>1596756</v>
      </c>
      <c r="I143" s="41">
        <f t="shared" si="36"/>
        <v>1217054</v>
      </c>
      <c r="J143" s="41">
        <f t="shared" si="36"/>
        <v>1294957</v>
      </c>
      <c r="K143" s="41">
        <f t="shared" si="36"/>
        <v>317830</v>
      </c>
      <c r="L143" s="41">
        <f t="shared" si="36"/>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x14ac:dyDescent="0.2">
      <c r="A144" s="59" t="s">
        <v>137</v>
      </c>
      <c r="B144" s="417" t="s">
        <v>284</v>
      </c>
      <c r="C144" s="72" t="str">
        <f>CONCATENATE(A144," - ",B144)</f>
        <v>NI – Health and Social Care Trusts - Belfast Health and Social Care Trust</v>
      </c>
      <c r="D144" s="61">
        <f t="shared" ref="D144:D148" si="37">SUM(EN144:ER144)</f>
        <v>11913.838047538646</v>
      </c>
      <c r="E144" s="61">
        <f t="shared" ref="E144:E148" si="38">SUM(ES144:FM144)</f>
        <v>47486.661358151556</v>
      </c>
      <c r="F144" s="397">
        <f>G144+H144</f>
        <v>364103.61922965694</v>
      </c>
      <c r="G144" s="397">
        <f>SUM(M144:CY144)</f>
        <v>177508.17393508262</v>
      </c>
      <c r="H144" s="62">
        <f>SUM(CZ144:GL144)</f>
        <v>186595.44529457431</v>
      </c>
      <c r="I144" s="62">
        <f>SUM(AE144:CY144)</f>
        <v>138553.97738288154</v>
      </c>
      <c r="J144" s="62">
        <f>SUM(DR144:GL144)</f>
        <v>149546.65719477332</v>
      </c>
      <c r="K144" s="398">
        <f>SUM(M144:AD144)</f>
        <v>38954.196552201036</v>
      </c>
      <c r="L144" s="61">
        <f>SUM(CZ144:DQ144)</f>
        <v>37048.788099800979</v>
      </c>
      <c r="M144" s="398">
        <v>2017.8952120383037</v>
      </c>
      <c r="N144" s="398">
        <v>2031.4154300095463</v>
      </c>
      <c r="O144" s="398">
        <v>2025.5722779004586</v>
      </c>
      <c r="P144" s="398">
        <v>2036.6363244919048</v>
      </c>
      <c r="Q144" s="398">
        <v>2174.8657606103957</v>
      </c>
      <c r="R144" s="398">
        <v>2139.1275684252282</v>
      </c>
      <c r="S144" s="398">
        <v>2269.8788621098379</v>
      </c>
      <c r="T144" s="398">
        <v>2199.8731034482757</v>
      </c>
      <c r="U144" s="398">
        <v>2214.1918960244648</v>
      </c>
      <c r="V144" s="398">
        <v>2323.0202012443356</v>
      </c>
      <c r="W144" s="398">
        <v>2319.2258355916892</v>
      </c>
      <c r="X144" s="398">
        <v>2302.9974595842955</v>
      </c>
      <c r="Y144" s="398">
        <v>2256.5049293083684</v>
      </c>
      <c r="Z144" s="398">
        <v>2212.0418107754977</v>
      </c>
      <c r="AA144" s="398">
        <v>2229.1199141767324</v>
      </c>
      <c r="AB144" s="398">
        <v>2134.8894582108355</v>
      </c>
      <c r="AC144" s="398">
        <v>2012.6591474539725</v>
      </c>
      <c r="AD144" s="398">
        <v>2054.2813607968933</v>
      </c>
      <c r="AE144" s="398">
        <v>2265.0450211864404</v>
      </c>
      <c r="AF144" s="398">
        <v>2804.7232134687529</v>
      </c>
      <c r="AG144" s="398">
        <v>2878.6458486407055</v>
      </c>
      <c r="AH144" s="398">
        <v>2648.2416475163518</v>
      </c>
      <c r="AI144" s="398">
        <v>2812.8031562871206</v>
      </c>
      <c r="AJ144" s="398">
        <v>2819.1729711141679</v>
      </c>
      <c r="AK144" s="398">
        <v>2731.7522704339053</v>
      </c>
      <c r="AL144" s="398">
        <v>2754.8174718956493</v>
      </c>
      <c r="AM144" s="398">
        <v>2792.2450211225105</v>
      </c>
      <c r="AN144" s="398">
        <v>2709.9772329246935</v>
      </c>
      <c r="AO144" s="398">
        <v>2693.0545391183132</v>
      </c>
      <c r="AP144" s="398">
        <v>2739.741847362131</v>
      </c>
      <c r="AQ144" s="398">
        <v>2738.9105892047796</v>
      </c>
      <c r="AR144" s="398">
        <v>2711.0666008067833</v>
      </c>
      <c r="AS144" s="398">
        <v>2782.8070289619263</v>
      </c>
      <c r="AT144" s="398">
        <v>2691.3420944220152</v>
      </c>
      <c r="AU144" s="398">
        <v>2575.2371291098634</v>
      </c>
      <c r="AV144" s="398">
        <v>2616.3572226656024</v>
      </c>
      <c r="AW144" s="398">
        <v>2585.9089460686691</v>
      </c>
      <c r="AX144" s="398">
        <v>2533.264568094025</v>
      </c>
      <c r="AY144" s="398">
        <v>2413.1614349775782</v>
      </c>
      <c r="AZ144" s="398">
        <v>2431.4496314496314</v>
      </c>
      <c r="BA144" s="398">
        <v>2293.8903732491299</v>
      </c>
      <c r="BB144" s="398">
        <v>2344.819097470061</v>
      </c>
      <c r="BC144" s="398">
        <v>2403.7633319021038</v>
      </c>
      <c r="BD144" s="398">
        <v>2239.8626248466794</v>
      </c>
      <c r="BE144" s="398">
        <v>2047.4737312365976</v>
      </c>
      <c r="BF144" s="398">
        <v>2052.8353243075835</v>
      </c>
      <c r="BG144" s="398">
        <v>1984.3233076189651</v>
      </c>
      <c r="BH144" s="398">
        <v>1967.3126347206103</v>
      </c>
      <c r="BI144" s="398">
        <v>1977.5348837209303</v>
      </c>
      <c r="BJ144" s="398">
        <v>2084.857469993683</v>
      </c>
      <c r="BK144" s="398">
        <v>2131.2999446158715</v>
      </c>
      <c r="BL144" s="398">
        <v>2143.6819436775263</v>
      </c>
      <c r="BM144" s="398">
        <v>2073.8563380281689</v>
      </c>
      <c r="BN144" s="398">
        <v>2300.7910402197972</v>
      </c>
      <c r="BO144" s="398">
        <v>2326.6164287385909</v>
      </c>
      <c r="BP144" s="398">
        <v>2307.9060786106033</v>
      </c>
      <c r="BQ144" s="398">
        <v>2344.6145362640732</v>
      </c>
      <c r="BR144" s="398">
        <v>2368.012116504854</v>
      </c>
      <c r="BS144" s="398">
        <v>2252.978437722139</v>
      </c>
      <c r="BT144" s="398">
        <v>2241.3179516972359</v>
      </c>
      <c r="BU144" s="398">
        <v>2297.6054466954502</v>
      </c>
      <c r="BV144" s="398">
        <v>2198.0522088353414</v>
      </c>
      <c r="BW144" s="398">
        <v>2021.5031326614003</v>
      </c>
      <c r="BX144" s="398">
        <v>2002.5265144540601</v>
      </c>
      <c r="BY144" s="398">
        <v>1890.3538506703198</v>
      </c>
      <c r="BZ144" s="398">
        <v>1822.7951142631994</v>
      </c>
      <c r="CA144" s="398">
        <v>1687.8206664564279</v>
      </c>
      <c r="CB144" s="398">
        <v>1588.8602704443015</v>
      </c>
      <c r="CC144" s="398">
        <v>1552.3684032476319</v>
      </c>
      <c r="CD144" s="398">
        <v>1527.1244533743056</v>
      </c>
      <c r="CE144" s="398">
        <v>1273.9034871433603</v>
      </c>
      <c r="CF144" s="398">
        <v>1290.2680573978055</v>
      </c>
      <c r="CG144" s="398">
        <v>1292.323121170439</v>
      </c>
      <c r="CH144" s="398">
        <v>1203.3575933400607</v>
      </c>
      <c r="CI144" s="398">
        <v>1137.5975561687032</v>
      </c>
      <c r="CJ144" s="398">
        <v>1181.2559576345984</v>
      </c>
      <c r="CK144" s="398">
        <v>1033.272138554217</v>
      </c>
      <c r="CL144" s="398">
        <v>966.99722735674675</v>
      </c>
      <c r="CM144" s="398">
        <v>986.02355350742448</v>
      </c>
      <c r="CN144" s="398">
        <v>974.00968523002427</v>
      </c>
      <c r="CO144" s="398">
        <v>796.9</v>
      </c>
      <c r="CP144" s="398">
        <v>696.19117288466236</v>
      </c>
      <c r="CQ144" s="398">
        <v>621.99595857539782</v>
      </c>
      <c r="CR144" s="398">
        <v>600.77992957746471</v>
      </c>
      <c r="CS144" s="398">
        <v>583.85111740635818</v>
      </c>
      <c r="CT144" s="398">
        <v>522.79582712369597</v>
      </c>
      <c r="CU144" s="398">
        <v>452.41860465116281</v>
      </c>
      <c r="CV144" s="398">
        <v>372.84571129707109</v>
      </c>
      <c r="CW144" s="398">
        <v>312.34061135371184</v>
      </c>
      <c r="CX144" s="398">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x14ac:dyDescent="0.2">
      <c r="A145" s="59" t="s">
        <v>137</v>
      </c>
      <c r="B145" s="418" t="s">
        <v>285</v>
      </c>
      <c r="C145" s="30" t="str">
        <f>CONCATENATE(A145," - ",B145)</f>
        <v>NI – Health and Social Care Trusts - Northern Health and Social Care Trust</v>
      </c>
      <c r="D145" s="51">
        <f t="shared" si="37"/>
        <v>16145.307055153971</v>
      </c>
      <c r="E145" s="51">
        <f t="shared" si="38"/>
        <v>68502.346764600035</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x14ac:dyDescent="0.2">
      <c r="A146" s="59" t="s">
        <v>137</v>
      </c>
      <c r="B146" s="418" t="s">
        <v>286</v>
      </c>
      <c r="C146" s="30" t="str">
        <f>CONCATENATE(A146," - ",B146)</f>
        <v>NI – Health and Social Care Trusts - South Eastern Health and Social Care Trust</v>
      </c>
      <c r="D146" s="51">
        <f t="shared" si="37"/>
        <v>12688.977926708185</v>
      </c>
      <c r="E146" s="51">
        <f t="shared" si="38"/>
        <v>53033.939190907622</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x14ac:dyDescent="0.2">
      <c r="A147" s="59" t="s">
        <v>137</v>
      </c>
      <c r="B147" s="418" t="s">
        <v>287</v>
      </c>
      <c r="C147" s="30" t="str">
        <f>CONCATENATE(A147," - ",B147)</f>
        <v>NI – Health and Social Care Trusts - Southern Health and Social Care Trust</v>
      </c>
      <c r="D147" s="51">
        <f t="shared" si="37"/>
        <v>13482.796144473927</v>
      </c>
      <c r="E147" s="51">
        <f t="shared" si="38"/>
        <v>51469.64179873855</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x14ac:dyDescent="0.2">
      <c r="A148" s="63" t="s">
        <v>137</v>
      </c>
      <c r="B148" s="419" t="s">
        <v>288</v>
      </c>
      <c r="C148" s="44" t="str">
        <f>CONCATENATE(A148," - ",B148)</f>
        <v>NI – Health and Social Care Trusts - Western Health and Social Care Trust</v>
      </c>
      <c r="D148" s="57">
        <f t="shared" si="37"/>
        <v>10472.080826125268</v>
      </c>
      <c r="E148" s="57">
        <f t="shared" si="38"/>
        <v>42312.410887602236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5" customFormat="1" ht="15" x14ac:dyDescent="0.25">
      <c r="A149" s="116"/>
      <c r="B149" s="420"/>
      <c r="C149" s="116"/>
      <c r="D149" s="41">
        <f>SUM(D144:D148)</f>
        <v>64702.999999999993</v>
      </c>
      <c r="E149" s="41">
        <f t="shared" ref="E149:L149" si="39">SUM(E144:E148)</f>
        <v>262805</v>
      </c>
      <c r="F149" s="41">
        <f t="shared" si="39"/>
        <v>1910543</v>
      </c>
      <c r="G149" s="41">
        <f t="shared" si="39"/>
        <v>939947</v>
      </c>
      <c r="H149" s="41">
        <f t="shared" si="39"/>
        <v>970596.00000000012</v>
      </c>
      <c r="I149" s="41">
        <f t="shared" si="39"/>
        <v>716297</v>
      </c>
      <c r="J149" s="41">
        <f t="shared" si="39"/>
        <v>757541.00000000012</v>
      </c>
      <c r="K149" s="41">
        <f t="shared" si="39"/>
        <v>223649.99999999997</v>
      </c>
      <c r="L149" s="41">
        <f t="shared" si="39"/>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x14ac:dyDescent="0.2">
      <c r="A150" s="73" t="s">
        <v>132</v>
      </c>
      <c r="B150" s="421" t="s">
        <v>289</v>
      </c>
      <c r="C150" s="72" t="str">
        <f>CONCATENATE(A150," - ",B150)</f>
        <v>NHSE regions - East of England</v>
      </c>
      <c r="D150" s="61">
        <f t="shared" ref="D150:D156" si="40">SUM(EN150:ER150)</f>
        <v>213835</v>
      </c>
      <c r="E150" s="61">
        <f t="shared" ref="E150:E156" si="41">SUM(ES150:FM150)</f>
        <v>877656</v>
      </c>
      <c r="F150" s="397">
        <f t="shared" ref="F150:F156" si="42">G150+H150</f>
        <v>6398497</v>
      </c>
      <c r="G150" s="397">
        <f t="shared" ref="G150:G156" si="43">SUM(M150:CY150)</f>
        <v>3138914</v>
      </c>
      <c r="H150" s="62">
        <f t="shared" ref="H150:H156" si="44">SUM(CZ150:GL150)</f>
        <v>3259583</v>
      </c>
      <c r="I150" s="62">
        <f t="shared" ref="I150:I156" si="45">SUM(AE150:CY150)</f>
        <v>2447757</v>
      </c>
      <c r="J150" s="62">
        <f t="shared" ref="J150:J156" si="46">SUM(DR150:GL150)</f>
        <v>2602371</v>
      </c>
      <c r="K150" s="398">
        <f t="shared" ref="K150:K156" si="47">SUM(M150:AD150)</f>
        <v>691157</v>
      </c>
      <c r="L150" s="61">
        <f t="shared" ref="L150:L156" si="48">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x14ac:dyDescent="0.2">
      <c r="A151" s="64" t="s">
        <v>132</v>
      </c>
      <c r="B151" s="421" t="s">
        <v>290</v>
      </c>
      <c r="C151" s="30" t="str">
        <f>CONCATENATE(A151," - ",B151)</f>
        <v>NHSE regions - London</v>
      </c>
      <c r="D151" s="51">
        <f t="shared" si="40"/>
        <v>346980</v>
      </c>
      <c r="E151" s="51">
        <f t="shared" si="41"/>
        <v>1115004</v>
      </c>
      <c r="F151" s="52">
        <f t="shared" si="42"/>
        <v>8866180</v>
      </c>
      <c r="G151" s="52">
        <f t="shared" si="43"/>
        <v>4302616</v>
      </c>
      <c r="H151" s="53">
        <f t="shared" si="44"/>
        <v>4563564</v>
      </c>
      <c r="I151" s="53">
        <f t="shared" si="45"/>
        <v>3334222</v>
      </c>
      <c r="J151" s="53">
        <f t="shared" si="46"/>
        <v>3635096</v>
      </c>
      <c r="K151" s="50">
        <f t="shared" si="47"/>
        <v>968394</v>
      </c>
      <c r="L151" s="51">
        <f t="shared" si="48"/>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x14ac:dyDescent="0.2">
      <c r="A152" s="64" t="s">
        <v>132</v>
      </c>
      <c r="B152" s="421" t="s">
        <v>291</v>
      </c>
      <c r="C152" s="30" t="str">
        <f t="shared" ref="C152:C199" si="49">CONCATENATE(A152," - ",B152)</f>
        <v>NHSE regions - Midlands</v>
      </c>
      <c r="D152" s="51">
        <f t="shared" si="40"/>
        <v>344597</v>
      </c>
      <c r="E152" s="51">
        <f t="shared" si="41"/>
        <v>1476200</v>
      </c>
      <c r="F152" s="52">
        <f t="shared" si="42"/>
        <v>10956592</v>
      </c>
      <c r="G152" s="52">
        <f t="shared" si="43"/>
        <v>5398034</v>
      </c>
      <c r="H152" s="53">
        <f t="shared" si="44"/>
        <v>5558558</v>
      </c>
      <c r="I152" s="53">
        <f t="shared" si="45"/>
        <v>4213518</v>
      </c>
      <c r="J152" s="53">
        <f t="shared" si="46"/>
        <v>4430007</v>
      </c>
      <c r="K152" s="50">
        <f t="shared" si="47"/>
        <v>1184516</v>
      </c>
      <c r="L152" s="51">
        <f t="shared" si="48"/>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x14ac:dyDescent="0.2">
      <c r="A153" s="64" t="s">
        <v>132</v>
      </c>
      <c r="B153" s="421" t="s">
        <v>292</v>
      </c>
      <c r="C153" s="30" t="str">
        <f t="shared" si="49"/>
        <v>NHSE regions - North East and Yorkshire</v>
      </c>
      <c r="D153" s="51">
        <f t="shared" si="40"/>
        <v>253030</v>
      </c>
      <c r="E153" s="51">
        <f t="shared" si="41"/>
        <v>1123839</v>
      </c>
      <c r="F153" s="52">
        <f t="shared" si="42"/>
        <v>8224302</v>
      </c>
      <c r="G153" s="52">
        <f t="shared" si="43"/>
        <v>4037235</v>
      </c>
      <c r="H153" s="53">
        <f t="shared" si="44"/>
        <v>4187067</v>
      </c>
      <c r="I153" s="53">
        <f t="shared" si="45"/>
        <v>3172076</v>
      </c>
      <c r="J153" s="53">
        <f t="shared" si="46"/>
        <v>3363922</v>
      </c>
      <c r="K153" s="50">
        <f t="shared" si="47"/>
        <v>865159</v>
      </c>
      <c r="L153" s="51">
        <f t="shared" si="48"/>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x14ac:dyDescent="0.2">
      <c r="A154" s="64" t="s">
        <v>132</v>
      </c>
      <c r="B154" s="421" t="s">
        <v>293</v>
      </c>
      <c r="C154" s="30" t="str">
        <f t="shared" si="49"/>
        <v>NHSE regions - North West</v>
      </c>
      <c r="D154" s="51">
        <f t="shared" si="40"/>
        <v>235727</v>
      </c>
      <c r="E154" s="51">
        <f t="shared" si="41"/>
        <v>1013670</v>
      </c>
      <c r="F154" s="52">
        <f t="shared" si="42"/>
        <v>7516113</v>
      </c>
      <c r="G154" s="52">
        <f t="shared" si="43"/>
        <v>3693400</v>
      </c>
      <c r="H154" s="53">
        <f t="shared" si="44"/>
        <v>3822713</v>
      </c>
      <c r="I154" s="53">
        <f t="shared" si="45"/>
        <v>2882326</v>
      </c>
      <c r="J154" s="53">
        <f t="shared" si="46"/>
        <v>3051558</v>
      </c>
      <c r="K154" s="50">
        <f t="shared" si="47"/>
        <v>811074</v>
      </c>
      <c r="L154" s="51">
        <f t="shared" si="48"/>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x14ac:dyDescent="0.2">
      <c r="A155" s="64" t="s">
        <v>132</v>
      </c>
      <c r="B155" s="421" t="s">
        <v>294</v>
      </c>
      <c r="C155" s="30" t="str">
        <f t="shared" si="49"/>
        <v>NHSE regions - South East</v>
      </c>
      <c r="D155" s="51">
        <f t="shared" si="40"/>
        <v>319469</v>
      </c>
      <c r="E155" s="51">
        <f t="shared" si="41"/>
        <v>1304244</v>
      </c>
      <c r="F155" s="52">
        <f t="shared" si="42"/>
        <v>9379833</v>
      </c>
      <c r="G155" s="52">
        <f t="shared" si="43"/>
        <v>4590013</v>
      </c>
      <c r="H155" s="53">
        <f t="shared" si="44"/>
        <v>4789820</v>
      </c>
      <c r="I155" s="53">
        <f t="shared" si="45"/>
        <v>3583214</v>
      </c>
      <c r="J155" s="53">
        <f t="shared" si="46"/>
        <v>3833734</v>
      </c>
      <c r="K155" s="50">
        <f t="shared" si="47"/>
        <v>1006799</v>
      </c>
      <c r="L155" s="51">
        <f t="shared" si="48"/>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2">
      <c r="A156" s="139" t="s">
        <v>132</v>
      </c>
      <c r="B156" s="421" t="s">
        <v>295</v>
      </c>
      <c r="C156" s="30" t="str">
        <f t="shared" si="49"/>
        <v>NHSE regions - South West</v>
      </c>
      <c r="D156" s="51">
        <f t="shared" si="40"/>
        <v>174098</v>
      </c>
      <c r="E156" s="51">
        <f t="shared" si="41"/>
        <v>809483</v>
      </c>
      <c r="F156" s="52">
        <f t="shared" si="42"/>
        <v>5764881</v>
      </c>
      <c r="G156" s="52">
        <f t="shared" si="43"/>
        <v>2823078</v>
      </c>
      <c r="H156" s="53">
        <f t="shared" si="44"/>
        <v>2941803</v>
      </c>
      <c r="I156" s="53">
        <f t="shared" si="45"/>
        <v>2262289</v>
      </c>
      <c r="J156" s="53">
        <f t="shared" si="46"/>
        <v>2407402</v>
      </c>
      <c r="K156" s="50">
        <f t="shared" si="47"/>
        <v>560789</v>
      </c>
      <c r="L156" s="51">
        <f t="shared" si="48"/>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5" customFormat="1" ht="15" x14ac:dyDescent="0.25">
      <c r="A157" s="117"/>
      <c r="B157" s="422"/>
      <c r="C157" s="112"/>
      <c r="D157" s="118">
        <f>SUM(D150:D156)</f>
        <v>1887736</v>
      </c>
      <c r="E157" s="118">
        <f>SUM(E150:E156)</f>
        <v>7720096</v>
      </c>
      <c r="F157" s="118">
        <f>SUM(F150:F156)</f>
        <v>57106398</v>
      </c>
      <c r="G157" s="118">
        <f t="shared" ref="G157:L157" si="50">SUM(G150:G156)</f>
        <v>27983290</v>
      </c>
      <c r="H157" s="118">
        <f t="shared" si="50"/>
        <v>29123108</v>
      </c>
      <c r="I157" s="118">
        <f t="shared" si="50"/>
        <v>21895402</v>
      </c>
      <c r="J157" s="118">
        <f t="shared" si="50"/>
        <v>23324090</v>
      </c>
      <c r="K157" s="118">
        <f t="shared" si="50"/>
        <v>6087888</v>
      </c>
      <c r="L157" s="118">
        <f t="shared" si="50"/>
        <v>5799018</v>
      </c>
      <c r="M157" s="118"/>
      <c r="N157" s="396"/>
      <c r="O157" s="396"/>
      <c r="P157" s="396"/>
      <c r="Q157" s="396"/>
      <c r="R157" s="396"/>
      <c r="S157" s="396"/>
      <c r="T157" s="396"/>
      <c r="U157" s="396"/>
      <c r="V157" s="396"/>
      <c r="W157" s="396"/>
      <c r="X157" s="396"/>
      <c r="Y157" s="396"/>
      <c r="Z157" s="396"/>
      <c r="AA157" s="396"/>
      <c r="AB157" s="396"/>
      <c r="AC157" s="396"/>
      <c r="AD157" s="396"/>
      <c r="AE157" s="396"/>
      <c r="AF157" s="396"/>
      <c r="AG157" s="396"/>
      <c r="AH157" s="396"/>
      <c r="AI157" s="396"/>
      <c r="AJ157" s="396"/>
      <c r="AK157" s="396"/>
      <c r="AL157" s="396"/>
      <c r="AM157" s="396"/>
      <c r="AN157" s="396"/>
      <c r="AO157" s="396"/>
      <c r="AP157" s="396"/>
      <c r="AQ157" s="396"/>
      <c r="AR157" s="396"/>
      <c r="AS157" s="396"/>
      <c r="AT157" s="396"/>
      <c r="AU157" s="396"/>
      <c r="AV157" s="396"/>
      <c r="AW157" s="396"/>
      <c r="AX157" s="396"/>
      <c r="AY157" s="396"/>
      <c r="AZ157" s="396"/>
      <c r="BA157" s="396"/>
      <c r="BB157" s="396"/>
      <c r="BC157" s="396"/>
      <c r="BD157" s="396"/>
      <c r="BE157" s="396"/>
      <c r="BF157" s="396"/>
      <c r="BG157" s="396"/>
      <c r="BH157" s="396"/>
      <c r="BI157" s="396"/>
      <c r="BJ157" s="396"/>
      <c r="BK157" s="396"/>
      <c r="BL157" s="396"/>
      <c r="BM157" s="396"/>
      <c r="BN157" s="396"/>
      <c r="BO157" s="396"/>
      <c r="BP157" s="396"/>
      <c r="BQ157" s="396"/>
      <c r="BR157" s="396"/>
      <c r="BS157" s="396"/>
      <c r="BT157" s="396"/>
      <c r="BU157" s="396"/>
      <c r="BV157" s="396"/>
      <c r="BW157" s="396"/>
      <c r="BX157" s="396"/>
      <c r="BY157" s="396"/>
      <c r="BZ157" s="396"/>
      <c r="CA157" s="396"/>
      <c r="CB157" s="396"/>
      <c r="CC157" s="396"/>
      <c r="CD157" s="396"/>
      <c r="CE157" s="396"/>
      <c r="CF157" s="396"/>
      <c r="CG157" s="396"/>
      <c r="CH157" s="396"/>
      <c r="CI157" s="396"/>
      <c r="CJ157" s="396"/>
      <c r="CK157" s="396"/>
      <c r="CL157" s="396"/>
      <c r="CM157" s="396"/>
      <c r="CN157" s="396"/>
      <c r="CO157" s="396"/>
      <c r="CP157" s="396"/>
      <c r="CQ157" s="396"/>
      <c r="CR157" s="396"/>
      <c r="CS157" s="396"/>
      <c r="CT157" s="396"/>
      <c r="CU157" s="396"/>
      <c r="CV157" s="396"/>
      <c r="CW157" s="396"/>
      <c r="CX157" s="396"/>
      <c r="CY157" s="77"/>
      <c r="CZ157" s="118"/>
      <c r="DA157" s="396"/>
      <c r="DB157" s="396"/>
      <c r="DC157" s="396"/>
      <c r="DD157" s="396"/>
      <c r="DE157" s="396"/>
      <c r="DF157" s="396"/>
      <c r="DG157" s="396"/>
      <c r="DH157" s="396"/>
      <c r="DI157" s="396"/>
      <c r="DJ157" s="396"/>
      <c r="DK157" s="396"/>
      <c r="DL157" s="396"/>
      <c r="DM157" s="396"/>
      <c r="DN157" s="396"/>
      <c r="DO157" s="396"/>
      <c r="DP157" s="396"/>
      <c r="DQ157" s="396"/>
      <c r="DR157" s="396"/>
      <c r="DS157" s="396"/>
      <c r="DT157" s="396"/>
      <c r="DU157" s="396"/>
      <c r="DV157" s="396"/>
      <c r="DW157" s="396"/>
      <c r="DX157" s="396"/>
      <c r="DY157" s="396"/>
      <c r="DZ157" s="396"/>
      <c r="EA157" s="396"/>
      <c r="EB157" s="396"/>
      <c r="EC157" s="396"/>
      <c r="ED157" s="396"/>
      <c r="EE157" s="396"/>
      <c r="EF157" s="396"/>
      <c r="EG157" s="396"/>
      <c r="EH157" s="396"/>
      <c r="EI157" s="396"/>
      <c r="EJ157" s="396"/>
      <c r="EK157" s="396"/>
      <c r="EL157" s="396"/>
      <c r="EM157" s="396"/>
      <c r="EN157" s="396"/>
      <c r="EO157" s="396"/>
      <c r="EP157" s="396"/>
      <c r="EQ157" s="396"/>
      <c r="ER157" s="396"/>
      <c r="ES157" s="396"/>
      <c r="ET157" s="396"/>
      <c r="EU157" s="396"/>
      <c r="EV157" s="396"/>
      <c r="EW157" s="396"/>
      <c r="EX157" s="396"/>
      <c r="EY157" s="396"/>
      <c r="EZ157" s="396"/>
      <c r="FA157" s="396"/>
      <c r="FB157" s="396"/>
      <c r="FC157" s="396"/>
      <c r="FD157" s="396"/>
      <c r="FE157" s="396"/>
      <c r="FF157" s="396"/>
      <c r="FG157" s="396"/>
      <c r="FH157" s="396"/>
      <c r="FI157" s="396"/>
      <c r="FJ157" s="396"/>
      <c r="FK157" s="396"/>
      <c r="FL157" s="396"/>
      <c r="FM157" s="396"/>
      <c r="FN157" s="396"/>
      <c r="FO157" s="396"/>
      <c r="FP157" s="396"/>
      <c r="FQ157" s="396"/>
      <c r="FR157" s="396"/>
      <c r="FS157" s="396"/>
      <c r="FT157" s="396"/>
      <c r="FU157" s="396"/>
      <c r="FV157" s="396"/>
      <c r="FW157" s="396"/>
      <c r="FX157" s="396"/>
      <c r="FY157" s="396"/>
      <c r="FZ157" s="396"/>
      <c r="GA157" s="396"/>
      <c r="GB157" s="396"/>
      <c r="GC157" s="396"/>
      <c r="GD157" s="396"/>
      <c r="GE157" s="396"/>
      <c r="GF157" s="396"/>
      <c r="GG157" s="396"/>
      <c r="GH157" s="396"/>
      <c r="GI157" s="396"/>
      <c r="GJ157" s="396"/>
      <c r="GK157" s="396"/>
      <c r="GL157" s="77"/>
    </row>
    <row r="158" spans="1:194" s="1" customFormat="1" x14ac:dyDescent="0.2">
      <c r="A158" s="108" t="s">
        <v>731</v>
      </c>
      <c r="B158" s="423" t="s">
        <v>732</v>
      </c>
      <c r="C158" s="399" t="str">
        <f t="shared" si="49"/>
        <v>England ICB - NHS Bath and North East Somerset, Swindon and Wiltshire Integrated Care Board</v>
      </c>
      <c r="D158" s="79">
        <f t="shared" ref="D158:D199" si="51">SUM(EN158:ER158)</f>
        <v>29906</v>
      </c>
      <c r="E158" s="79">
        <f t="shared" ref="E158:E199" si="52">SUM(ES158:FM158)</f>
        <v>134180</v>
      </c>
      <c r="F158" s="109">
        <f t="shared" ref="F158:F163" si="53">G158+H158</f>
        <v>953852</v>
      </c>
      <c r="G158" s="397">
        <f t="shared" ref="G158:G163" si="54">SUM(M158:CY158)</f>
        <v>470982</v>
      </c>
      <c r="H158" s="62">
        <f t="shared" ref="H158:H163" si="55">SUM(CZ158:GL158)</f>
        <v>482870</v>
      </c>
      <c r="I158" s="397">
        <f t="shared" ref="I158:I163" si="56">SUM(AE158:CY158)</f>
        <v>372192</v>
      </c>
      <c r="J158" s="104">
        <f t="shared" ref="J158:J163" si="57">SUM(DR158:GL158)</f>
        <v>388592</v>
      </c>
      <c r="K158" s="106">
        <f t="shared" ref="K158:K163" si="58">SUM(M158:AD158)</f>
        <v>98790</v>
      </c>
      <c r="L158" s="61">
        <f t="shared" ref="L158:L163" si="59">SUM(CZ158:DQ158)</f>
        <v>94278</v>
      </c>
      <c r="M158" s="106">
        <v>4647</v>
      </c>
      <c r="N158" s="398">
        <v>4706</v>
      </c>
      <c r="O158" s="398">
        <v>4907</v>
      </c>
      <c r="P158" s="398">
        <v>5108</v>
      </c>
      <c r="Q158" s="398">
        <v>5293</v>
      </c>
      <c r="R158" s="398">
        <v>5287</v>
      </c>
      <c r="S158" s="398">
        <v>5628</v>
      </c>
      <c r="T158" s="398">
        <v>5623</v>
      </c>
      <c r="U158" s="398">
        <v>5617</v>
      </c>
      <c r="V158" s="398">
        <v>5799</v>
      </c>
      <c r="W158" s="398">
        <v>6160</v>
      </c>
      <c r="X158" s="398">
        <v>6033</v>
      </c>
      <c r="Y158" s="398">
        <v>5955</v>
      </c>
      <c r="Z158" s="398">
        <v>5803</v>
      </c>
      <c r="AA158" s="398">
        <v>5710</v>
      </c>
      <c r="AB158" s="398">
        <v>5605</v>
      </c>
      <c r="AC158" s="398">
        <v>5496</v>
      </c>
      <c r="AD158" s="398">
        <v>5413</v>
      </c>
      <c r="AE158" s="398">
        <v>5967</v>
      </c>
      <c r="AF158" s="398">
        <v>6678</v>
      </c>
      <c r="AG158" s="398">
        <v>6216</v>
      </c>
      <c r="AH158" s="398">
        <v>5569</v>
      </c>
      <c r="AI158" s="398">
        <v>5932</v>
      </c>
      <c r="AJ158" s="398">
        <v>5961</v>
      </c>
      <c r="AK158" s="398">
        <v>5644</v>
      </c>
      <c r="AL158" s="398">
        <v>5569</v>
      </c>
      <c r="AM158" s="398">
        <v>5603</v>
      </c>
      <c r="AN158" s="398">
        <v>5436</v>
      </c>
      <c r="AO158" s="398">
        <v>5723</v>
      </c>
      <c r="AP158" s="398">
        <v>5509</v>
      </c>
      <c r="AQ158" s="398">
        <v>5906</v>
      </c>
      <c r="AR158" s="398">
        <v>5926</v>
      </c>
      <c r="AS158" s="398">
        <v>5999</v>
      </c>
      <c r="AT158" s="398">
        <v>5968</v>
      </c>
      <c r="AU158" s="398">
        <v>6124</v>
      </c>
      <c r="AV158" s="398">
        <v>6089</v>
      </c>
      <c r="AW158" s="398">
        <v>6037</v>
      </c>
      <c r="AX158" s="398">
        <v>5950</v>
      </c>
      <c r="AY158" s="398">
        <v>6029</v>
      </c>
      <c r="AZ158" s="398">
        <v>5880</v>
      </c>
      <c r="BA158" s="398">
        <v>5821</v>
      </c>
      <c r="BB158" s="398">
        <v>5960</v>
      </c>
      <c r="BC158" s="398">
        <v>6033</v>
      </c>
      <c r="BD158" s="398">
        <v>5922</v>
      </c>
      <c r="BE158" s="398">
        <v>5375</v>
      </c>
      <c r="BF158" s="398">
        <v>5274</v>
      </c>
      <c r="BG158" s="398">
        <v>5437</v>
      </c>
      <c r="BH158" s="398">
        <v>5820</v>
      </c>
      <c r="BI158" s="398">
        <v>5866</v>
      </c>
      <c r="BJ158" s="398">
        <v>6432</v>
      </c>
      <c r="BK158" s="398">
        <v>6631</v>
      </c>
      <c r="BL158" s="398">
        <v>6700</v>
      </c>
      <c r="BM158" s="398">
        <v>6536</v>
      </c>
      <c r="BN158" s="398">
        <v>6527</v>
      </c>
      <c r="BO158" s="398">
        <v>6586</v>
      </c>
      <c r="BP158" s="398">
        <v>6746</v>
      </c>
      <c r="BQ158" s="398">
        <v>6723</v>
      </c>
      <c r="BR158" s="398">
        <v>6887</v>
      </c>
      <c r="BS158" s="398">
        <v>6661</v>
      </c>
      <c r="BT158" s="398">
        <v>6550</v>
      </c>
      <c r="BU158" s="398">
        <v>6440</v>
      </c>
      <c r="BV158" s="398">
        <v>6192</v>
      </c>
      <c r="BW158" s="398">
        <v>5977</v>
      </c>
      <c r="BX158" s="398">
        <v>5691</v>
      </c>
      <c r="BY158" s="398">
        <v>5371</v>
      </c>
      <c r="BZ158" s="398">
        <v>5135</v>
      </c>
      <c r="CA158" s="398">
        <v>4863</v>
      </c>
      <c r="CB158" s="398">
        <v>4730</v>
      </c>
      <c r="CC158" s="398">
        <v>4797</v>
      </c>
      <c r="CD158" s="398">
        <v>4544</v>
      </c>
      <c r="CE158" s="398">
        <v>4485</v>
      </c>
      <c r="CF158" s="398">
        <v>4422</v>
      </c>
      <c r="CG158" s="398">
        <v>4421</v>
      </c>
      <c r="CH158" s="398">
        <v>4529</v>
      </c>
      <c r="CI158" s="398">
        <v>4861</v>
      </c>
      <c r="CJ158" s="398">
        <v>5197</v>
      </c>
      <c r="CK158" s="398">
        <v>3865</v>
      </c>
      <c r="CL158" s="398">
        <v>3773</v>
      </c>
      <c r="CM158" s="398">
        <v>3497</v>
      </c>
      <c r="CN158" s="398">
        <v>3141</v>
      </c>
      <c r="CO158" s="398">
        <v>2804</v>
      </c>
      <c r="CP158" s="398">
        <v>2380</v>
      </c>
      <c r="CQ158" s="398">
        <v>2335</v>
      </c>
      <c r="CR158" s="398">
        <v>2209</v>
      </c>
      <c r="CS158" s="398">
        <v>2008</v>
      </c>
      <c r="CT158" s="398">
        <v>1804</v>
      </c>
      <c r="CU158" s="398">
        <v>1625</v>
      </c>
      <c r="CV158" s="398">
        <v>1368</v>
      </c>
      <c r="CW158" s="398">
        <v>1144</v>
      </c>
      <c r="CX158" s="398">
        <v>1023</v>
      </c>
      <c r="CY158" s="61">
        <v>3359</v>
      </c>
      <c r="CZ158" s="106">
        <v>4395</v>
      </c>
      <c r="DA158" s="398">
        <v>4569</v>
      </c>
      <c r="DB158" s="398">
        <v>4724</v>
      </c>
      <c r="DC158" s="398">
        <v>4830</v>
      </c>
      <c r="DD158" s="398">
        <v>5033</v>
      </c>
      <c r="DE158" s="398">
        <v>5193</v>
      </c>
      <c r="DF158" s="398">
        <v>5362</v>
      </c>
      <c r="DG158" s="398">
        <v>5295</v>
      </c>
      <c r="DH158" s="398">
        <v>5344</v>
      </c>
      <c r="DI158" s="398">
        <v>5565</v>
      </c>
      <c r="DJ158" s="398">
        <v>5551</v>
      </c>
      <c r="DK158" s="398">
        <v>5719</v>
      </c>
      <c r="DL158" s="398">
        <v>5546</v>
      </c>
      <c r="DM158" s="398">
        <v>5549</v>
      </c>
      <c r="DN158" s="398">
        <v>5624</v>
      </c>
      <c r="DO158" s="398">
        <v>5574</v>
      </c>
      <c r="DP158" s="398">
        <v>5184</v>
      </c>
      <c r="DQ158" s="398">
        <v>5221</v>
      </c>
      <c r="DR158" s="398">
        <v>5415</v>
      </c>
      <c r="DS158" s="398">
        <v>5600</v>
      </c>
      <c r="DT158" s="398">
        <v>5189</v>
      </c>
      <c r="DU158" s="398">
        <v>4912</v>
      </c>
      <c r="DV158" s="398">
        <v>5426</v>
      </c>
      <c r="DW158" s="398">
        <v>5137</v>
      </c>
      <c r="DX158" s="398">
        <v>5128</v>
      </c>
      <c r="DY158" s="398">
        <v>5294</v>
      </c>
      <c r="DZ158" s="398">
        <v>5013</v>
      </c>
      <c r="EA158" s="398">
        <v>5302</v>
      </c>
      <c r="EB158" s="398">
        <v>5698</v>
      </c>
      <c r="EC158" s="398">
        <v>5815</v>
      </c>
      <c r="ED158" s="398">
        <v>5939</v>
      </c>
      <c r="EE158" s="398">
        <v>6272</v>
      </c>
      <c r="EF158" s="398">
        <v>6263</v>
      </c>
      <c r="EG158" s="398">
        <v>6313</v>
      </c>
      <c r="EH158" s="398">
        <v>6318</v>
      </c>
      <c r="EI158" s="398">
        <v>6535</v>
      </c>
      <c r="EJ158" s="398">
        <v>6131</v>
      </c>
      <c r="EK158" s="398">
        <v>6244</v>
      </c>
      <c r="EL158" s="398">
        <v>6165</v>
      </c>
      <c r="EM158" s="398">
        <v>5942</v>
      </c>
      <c r="EN158" s="398">
        <v>6211</v>
      </c>
      <c r="EO158" s="398">
        <v>6218</v>
      </c>
      <c r="EP158" s="398">
        <v>6104</v>
      </c>
      <c r="EQ158" s="398">
        <v>5799</v>
      </c>
      <c r="ER158" s="398">
        <v>5574</v>
      </c>
      <c r="ES158" s="398">
        <v>5586</v>
      </c>
      <c r="ET158" s="398">
        <v>5770</v>
      </c>
      <c r="EU158" s="398">
        <v>5831</v>
      </c>
      <c r="EV158" s="398">
        <v>6251</v>
      </c>
      <c r="EW158" s="398">
        <v>6563</v>
      </c>
      <c r="EX158" s="398">
        <v>6923</v>
      </c>
      <c r="EY158" s="398">
        <v>6736</v>
      </c>
      <c r="EZ158" s="398">
        <v>6661</v>
      </c>
      <c r="FA158" s="398">
        <v>6860</v>
      </c>
      <c r="FB158" s="398">
        <v>6795</v>
      </c>
      <c r="FC158" s="398">
        <v>7093</v>
      </c>
      <c r="FD158" s="398">
        <v>7056</v>
      </c>
      <c r="FE158" s="398">
        <v>6890</v>
      </c>
      <c r="FF158" s="398">
        <v>6926</v>
      </c>
      <c r="FG158" s="398">
        <v>6551</v>
      </c>
      <c r="FH158" s="398">
        <v>6513</v>
      </c>
      <c r="FI158" s="398">
        <v>6413</v>
      </c>
      <c r="FJ158" s="398">
        <v>5897</v>
      </c>
      <c r="FK158" s="398">
        <v>5838</v>
      </c>
      <c r="FL158" s="398">
        <v>5643</v>
      </c>
      <c r="FM158" s="398">
        <v>5384</v>
      </c>
      <c r="FN158" s="398">
        <v>5189</v>
      </c>
      <c r="FO158" s="398">
        <v>5034</v>
      </c>
      <c r="FP158" s="398">
        <v>5088</v>
      </c>
      <c r="FQ158" s="398">
        <v>5112</v>
      </c>
      <c r="FR158" s="398">
        <v>4845</v>
      </c>
      <c r="FS158" s="398">
        <v>4831</v>
      </c>
      <c r="FT158" s="398">
        <v>4917</v>
      </c>
      <c r="FU158" s="398">
        <v>5074</v>
      </c>
      <c r="FV158" s="398">
        <v>5409</v>
      </c>
      <c r="FW158" s="398">
        <v>5546</v>
      </c>
      <c r="FX158" s="398">
        <v>4375</v>
      </c>
      <c r="FY158" s="398">
        <v>4296</v>
      </c>
      <c r="FZ158" s="398">
        <v>4189</v>
      </c>
      <c r="GA158" s="398">
        <v>3718</v>
      </c>
      <c r="GB158" s="398">
        <v>3306</v>
      </c>
      <c r="GC158" s="398">
        <v>2846</v>
      </c>
      <c r="GD158" s="398">
        <v>2931</v>
      </c>
      <c r="GE158" s="398">
        <v>2828</v>
      </c>
      <c r="GF158" s="398">
        <v>2632</v>
      </c>
      <c r="GG158" s="398">
        <v>2327</v>
      </c>
      <c r="GH158" s="398">
        <v>2137</v>
      </c>
      <c r="GI158" s="398">
        <v>1982</v>
      </c>
      <c r="GJ158" s="398">
        <v>1693</v>
      </c>
      <c r="GK158" s="398">
        <v>1476</v>
      </c>
      <c r="GL158" s="61">
        <v>6674</v>
      </c>
    </row>
    <row r="159" spans="1:194" s="1" customFormat="1" x14ac:dyDescent="0.2">
      <c r="A159" s="110" t="s">
        <v>731</v>
      </c>
      <c r="B159" s="424" t="s">
        <v>733</v>
      </c>
      <c r="C159" s="136" t="str">
        <f t="shared" si="49"/>
        <v>England ICB - NHS Bedfordshire, Luton and Milton Keynes Integrated Care Board</v>
      </c>
      <c r="D159" s="80">
        <f t="shared" si="51"/>
        <v>37743</v>
      </c>
      <c r="E159" s="80">
        <f t="shared" si="52"/>
        <v>131022</v>
      </c>
      <c r="F159" s="103">
        <f t="shared" si="53"/>
        <v>1015380</v>
      </c>
      <c r="G159" s="52">
        <f t="shared" si="54"/>
        <v>503181</v>
      </c>
      <c r="H159" s="53">
        <f t="shared" si="55"/>
        <v>512199</v>
      </c>
      <c r="I159" s="52">
        <f t="shared" si="56"/>
        <v>380018</v>
      </c>
      <c r="J159" s="105">
        <f t="shared" si="57"/>
        <v>395348</v>
      </c>
      <c r="K159" s="107">
        <f t="shared" si="58"/>
        <v>123163</v>
      </c>
      <c r="L159" s="51">
        <f t="shared" si="59"/>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2">
      <c r="A160" s="110" t="s">
        <v>731</v>
      </c>
      <c r="B160" s="424" t="s">
        <v>734</v>
      </c>
      <c r="C160" s="136" t="str">
        <f t="shared" si="49"/>
        <v>England ICB - NHS Birmingham and Solihull Integrated Care Board</v>
      </c>
      <c r="D160" s="80">
        <f t="shared" si="51"/>
        <v>46384</v>
      </c>
      <c r="E160" s="80">
        <f t="shared" si="52"/>
        <v>162412</v>
      </c>
      <c r="F160" s="103">
        <f t="shared" si="53"/>
        <v>1375281</v>
      </c>
      <c r="G160" s="52">
        <f t="shared" si="54"/>
        <v>674927</v>
      </c>
      <c r="H160" s="53">
        <f t="shared" si="55"/>
        <v>700354</v>
      </c>
      <c r="I160" s="52">
        <f t="shared" si="56"/>
        <v>503372</v>
      </c>
      <c r="J160" s="105">
        <f t="shared" si="57"/>
        <v>536150</v>
      </c>
      <c r="K160" s="107">
        <f t="shared" si="58"/>
        <v>171555</v>
      </c>
      <c r="L160" s="51">
        <f t="shared" si="59"/>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2">
      <c r="A161" s="110" t="s">
        <v>731</v>
      </c>
      <c r="B161" s="424" t="s">
        <v>735</v>
      </c>
      <c r="C161" s="136" t="str">
        <f t="shared" si="49"/>
        <v>England ICB - NHS Black Country Integrated Care Board</v>
      </c>
      <c r="D161" s="80">
        <f t="shared" si="51"/>
        <v>40626</v>
      </c>
      <c r="E161" s="80">
        <f t="shared" si="52"/>
        <v>158062</v>
      </c>
      <c r="F161" s="103">
        <f t="shared" si="53"/>
        <v>1222935</v>
      </c>
      <c r="G161" s="52">
        <f t="shared" si="54"/>
        <v>601713</v>
      </c>
      <c r="H161" s="53">
        <f t="shared" si="55"/>
        <v>621222</v>
      </c>
      <c r="I161" s="52">
        <f t="shared" si="56"/>
        <v>453894</v>
      </c>
      <c r="J161" s="105">
        <f t="shared" si="57"/>
        <v>481312</v>
      </c>
      <c r="K161" s="107">
        <f t="shared" si="58"/>
        <v>147819</v>
      </c>
      <c r="L161" s="51">
        <f t="shared" si="59"/>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2">
      <c r="A162" s="110" t="s">
        <v>731</v>
      </c>
      <c r="B162" s="424" t="s">
        <v>736</v>
      </c>
      <c r="C162" s="136" t="str">
        <f t="shared" si="49"/>
        <v>England ICB - NHS Bristol, North Somerset and South Gloucestershire Integrated Care Board</v>
      </c>
      <c r="D162" s="80">
        <f t="shared" si="51"/>
        <v>32488</v>
      </c>
      <c r="E162" s="80">
        <f t="shared" si="52"/>
        <v>121134</v>
      </c>
      <c r="F162" s="103">
        <f t="shared" si="53"/>
        <v>992934</v>
      </c>
      <c r="G162" s="52">
        <f t="shared" si="54"/>
        <v>490777</v>
      </c>
      <c r="H162" s="53">
        <f t="shared" si="55"/>
        <v>502157</v>
      </c>
      <c r="I162" s="52">
        <f t="shared" si="56"/>
        <v>390782</v>
      </c>
      <c r="J162" s="105">
        <f t="shared" si="57"/>
        <v>407039</v>
      </c>
      <c r="K162" s="107">
        <f t="shared" si="58"/>
        <v>99995</v>
      </c>
      <c r="L162" s="51">
        <f t="shared" si="59"/>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2">
      <c r="A163" s="110" t="s">
        <v>731</v>
      </c>
      <c r="B163" s="424" t="s">
        <v>737</v>
      </c>
      <c r="C163" s="136" t="str">
        <f t="shared" si="49"/>
        <v>England ICB - NHS Buckinghamshire, Oxfordshire and Berkshire West Integrated Care Board</v>
      </c>
      <c r="D163" s="80">
        <f t="shared" si="51"/>
        <v>63366</v>
      </c>
      <c r="E163" s="80">
        <f t="shared" si="52"/>
        <v>245560</v>
      </c>
      <c r="F163" s="103">
        <f t="shared" si="53"/>
        <v>1802735</v>
      </c>
      <c r="G163" s="52">
        <f t="shared" si="54"/>
        <v>888395</v>
      </c>
      <c r="H163" s="53">
        <f t="shared" si="55"/>
        <v>914340</v>
      </c>
      <c r="I163" s="52">
        <f t="shared" si="56"/>
        <v>690249</v>
      </c>
      <c r="J163" s="105">
        <f t="shared" si="57"/>
        <v>726442</v>
      </c>
      <c r="K163" s="107">
        <f t="shared" si="58"/>
        <v>198146</v>
      </c>
      <c r="L163" s="51">
        <f t="shared" si="59"/>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2">
      <c r="A164" s="110" t="s">
        <v>731</v>
      </c>
      <c r="B164" s="424" t="s">
        <v>738</v>
      </c>
      <c r="C164" s="136" t="str">
        <f t="shared" si="49"/>
        <v>England ICB - NHS Cambridgeshire and Peterborough Integrated Care Board</v>
      </c>
      <c r="D164" s="80">
        <f t="shared" si="51"/>
        <v>31841</v>
      </c>
      <c r="E164" s="80">
        <f t="shared" si="52"/>
        <v>121742</v>
      </c>
      <c r="F164" s="103">
        <f t="shared" ref="F164:F188" si="60">G164+H164</f>
        <v>927342</v>
      </c>
      <c r="G164" s="52">
        <f t="shared" ref="G164:G188" si="61">SUM(M164:CY164)</f>
        <v>457923</v>
      </c>
      <c r="H164" s="53">
        <f t="shared" ref="H164:H188" si="62">SUM(CZ164:GL164)</f>
        <v>469419</v>
      </c>
      <c r="I164" s="52">
        <f t="shared" ref="I164:I188" si="63">SUM(AE164:CY164)</f>
        <v>357567</v>
      </c>
      <c r="J164" s="105">
        <f t="shared" ref="J164:J188" si="64">SUM(DR164:GL164)</f>
        <v>374124</v>
      </c>
      <c r="K164" s="107">
        <f t="shared" ref="K164:K188" si="65">SUM(M164:AD164)</f>
        <v>100356</v>
      </c>
      <c r="L164" s="51">
        <f t="shared" ref="L164:L188" si="66">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2">
      <c r="A165" s="110" t="s">
        <v>731</v>
      </c>
      <c r="B165" s="424" t="s">
        <v>739</v>
      </c>
      <c r="C165" s="136" t="str">
        <f t="shared" si="49"/>
        <v>England ICB - NHS Cheshire and Merseyside Integrated Care Board</v>
      </c>
      <c r="D165" s="80">
        <f t="shared" si="51"/>
        <v>78575</v>
      </c>
      <c r="E165" s="80">
        <f t="shared" si="52"/>
        <v>359463</v>
      </c>
      <c r="F165" s="103">
        <f t="shared" si="60"/>
        <v>2550846</v>
      </c>
      <c r="G165" s="52">
        <f t="shared" si="61"/>
        <v>1245283</v>
      </c>
      <c r="H165" s="53">
        <f t="shared" si="62"/>
        <v>1305563</v>
      </c>
      <c r="I165" s="52">
        <f t="shared" si="63"/>
        <v>984852</v>
      </c>
      <c r="J165" s="105">
        <f t="shared" si="64"/>
        <v>1059001</v>
      </c>
      <c r="K165" s="107">
        <f t="shared" si="65"/>
        <v>260431</v>
      </c>
      <c r="L165" s="51">
        <f t="shared" si="66"/>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2">
      <c r="A166" s="110" t="s">
        <v>731</v>
      </c>
      <c r="B166" s="424" t="s">
        <v>740</v>
      </c>
      <c r="C166" s="136" t="str">
        <f t="shared" si="49"/>
        <v>England ICB - NHS Cornwall and the Isles of Scilly Integrated Care Board</v>
      </c>
      <c r="D166" s="80">
        <f t="shared" si="51"/>
        <v>16590</v>
      </c>
      <c r="E166" s="80">
        <f t="shared" si="52"/>
        <v>87029</v>
      </c>
      <c r="F166" s="103">
        <f t="shared" si="60"/>
        <v>577694</v>
      </c>
      <c r="G166" s="52">
        <f t="shared" si="61"/>
        <v>280361</v>
      </c>
      <c r="H166" s="53">
        <f t="shared" si="62"/>
        <v>297333</v>
      </c>
      <c r="I166" s="52">
        <f t="shared" si="63"/>
        <v>226093</v>
      </c>
      <c r="J166" s="105">
        <f t="shared" si="64"/>
        <v>245842</v>
      </c>
      <c r="K166" s="107">
        <f t="shared" si="65"/>
        <v>54268</v>
      </c>
      <c r="L166" s="51">
        <f t="shared" si="66"/>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2">
      <c r="A167" s="110" t="s">
        <v>731</v>
      </c>
      <c r="B167" s="424" t="s">
        <v>741</v>
      </c>
      <c r="C167" s="136" t="str">
        <f t="shared" si="49"/>
        <v>England ICB - NHS Coventry and Warwickshire Integrated Care Board</v>
      </c>
      <c r="D167" s="80">
        <f t="shared" si="51"/>
        <v>30912</v>
      </c>
      <c r="E167" s="80">
        <f t="shared" si="52"/>
        <v>124596</v>
      </c>
      <c r="F167" s="103">
        <f t="shared" si="60"/>
        <v>963204</v>
      </c>
      <c r="G167" s="52">
        <f t="shared" si="61"/>
        <v>477693</v>
      </c>
      <c r="H167" s="53">
        <f t="shared" si="62"/>
        <v>485511</v>
      </c>
      <c r="I167" s="52">
        <f t="shared" si="63"/>
        <v>374777</v>
      </c>
      <c r="J167" s="105">
        <f t="shared" si="64"/>
        <v>386977</v>
      </c>
      <c r="K167" s="107">
        <f t="shared" si="65"/>
        <v>102916</v>
      </c>
      <c r="L167" s="51">
        <f t="shared" si="66"/>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2">
      <c r="A168" s="110" t="s">
        <v>731</v>
      </c>
      <c r="B168" s="424" t="s">
        <v>742</v>
      </c>
      <c r="C168" s="136" t="str">
        <f t="shared" si="49"/>
        <v>England ICB - NHS Derby and Derbyshire Integrated Care Board</v>
      </c>
      <c r="D168" s="80">
        <f t="shared" si="51"/>
        <v>32689</v>
      </c>
      <c r="E168" s="80">
        <f t="shared" si="52"/>
        <v>153785</v>
      </c>
      <c r="F168" s="103">
        <f t="shared" si="60"/>
        <v>1066954</v>
      </c>
      <c r="G168" s="52">
        <f t="shared" si="61"/>
        <v>524926</v>
      </c>
      <c r="H168" s="53">
        <f t="shared" si="62"/>
        <v>542028</v>
      </c>
      <c r="I168" s="52">
        <f t="shared" si="63"/>
        <v>416604</v>
      </c>
      <c r="J168" s="105">
        <f t="shared" si="64"/>
        <v>437823</v>
      </c>
      <c r="K168" s="107">
        <f t="shared" si="65"/>
        <v>108322</v>
      </c>
      <c r="L168" s="51">
        <f t="shared" si="66"/>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2">
      <c r="A169" s="110" t="s">
        <v>731</v>
      </c>
      <c r="B169" s="424" t="s">
        <v>743</v>
      </c>
      <c r="C169" s="136" t="str">
        <f t="shared" si="49"/>
        <v>England ICB - NHS Devon Integrated Care Board</v>
      </c>
      <c r="D169" s="80">
        <f t="shared" si="51"/>
        <v>35208</v>
      </c>
      <c r="E169" s="80">
        <f t="shared" si="52"/>
        <v>177024</v>
      </c>
      <c r="F169" s="103">
        <f t="shared" si="60"/>
        <v>1232660</v>
      </c>
      <c r="G169" s="52">
        <f t="shared" si="61"/>
        <v>600962</v>
      </c>
      <c r="H169" s="53">
        <f t="shared" si="62"/>
        <v>631698</v>
      </c>
      <c r="I169" s="52">
        <f t="shared" si="63"/>
        <v>486049</v>
      </c>
      <c r="J169" s="105">
        <f t="shared" si="64"/>
        <v>522875</v>
      </c>
      <c r="K169" s="107">
        <f t="shared" si="65"/>
        <v>114913</v>
      </c>
      <c r="L169" s="51">
        <f t="shared" si="66"/>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2">
      <c r="A170" s="110" t="s">
        <v>731</v>
      </c>
      <c r="B170" s="424" t="s">
        <v>744</v>
      </c>
      <c r="C170" s="136" t="str">
        <f t="shared" si="49"/>
        <v>England ICB - NHS Dorset Integrated Care Board</v>
      </c>
      <c r="D170" s="80">
        <f t="shared" si="51"/>
        <v>23436</v>
      </c>
      <c r="E170" s="80">
        <f t="shared" si="52"/>
        <v>112138</v>
      </c>
      <c r="F170" s="103">
        <f t="shared" si="60"/>
        <v>785172</v>
      </c>
      <c r="G170" s="52">
        <f t="shared" si="61"/>
        <v>382244</v>
      </c>
      <c r="H170" s="53">
        <f t="shared" si="62"/>
        <v>402928</v>
      </c>
      <c r="I170" s="52">
        <f t="shared" si="63"/>
        <v>310533</v>
      </c>
      <c r="J170" s="105">
        <f t="shared" si="64"/>
        <v>334681</v>
      </c>
      <c r="K170" s="107">
        <f t="shared" si="65"/>
        <v>71711</v>
      </c>
      <c r="L170" s="51">
        <f t="shared" si="66"/>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2">
      <c r="A171" s="110" t="s">
        <v>731</v>
      </c>
      <c r="B171" s="424" t="s">
        <v>745</v>
      </c>
      <c r="C171" s="136" t="str">
        <f t="shared" si="49"/>
        <v>England ICB - NHS Frimley Integrated Care Board</v>
      </c>
      <c r="D171" s="80">
        <f t="shared" si="51"/>
        <v>29480</v>
      </c>
      <c r="E171" s="80">
        <f t="shared" si="52"/>
        <v>104579</v>
      </c>
      <c r="F171" s="103">
        <f t="shared" si="60"/>
        <v>773481</v>
      </c>
      <c r="G171" s="52">
        <f t="shared" si="61"/>
        <v>382291</v>
      </c>
      <c r="H171" s="53">
        <f t="shared" si="62"/>
        <v>391190</v>
      </c>
      <c r="I171" s="52">
        <f t="shared" si="63"/>
        <v>291456</v>
      </c>
      <c r="J171" s="105">
        <f t="shared" si="64"/>
        <v>305607</v>
      </c>
      <c r="K171" s="107">
        <f t="shared" si="65"/>
        <v>90835</v>
      </c>
      <c r="L171" s="51">
        <f t="shared" si="66"/>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2">
      <c r="A172" s="110" t="s">
        <v>731</v>
      </c>
      <c r="B172" s="424" t="s">
        <v>746</v>
      </c>
      <c r="C172" s="136" t="str">
        <f t="shared" si="49"/>
        <v>England ICB - NHS Gloucestershire Integrated Care Board</v>
      </c>
      <c r="D172" s="80">
        <f t="shared" si="51"/>
        <v>20482</v>
      </c>
      <c r="E172" s="80">
        <f t="shared" si="52"/>
        <v>93948</v>
      </c>
      <c r="F172" s="103">
        <f t="shared" si="60"/>
        <v>652409</v>
      </c>
      <c r="G172" s="52">
        <f t="shared" si="61"/>
        <v>318898</v>
      </c>
      <c r="H172" s="53">
        <f t="shared" si="62"/>
        <v>333511</v>
      </c>
      <c r="I172" s="52">
        <f t="shared" si="63"/>
        <v>253430</v>
      </c>
      <c r="J172" s="105">
        <f t="shared" si="64"/>
        <v>270225</v>
      </c>
      <c r="K172" s="107">
        <f t="shared" si="65"/>
        <v>65468</v>
      </c>
      <c r="L172" s="51">
        <f t="shared" si="66"/>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2">
      <c r="A173" s="110" t="s">
        <v>731</v>
      </c>
      <c r="B173" s="424" t="s">
        <v>747</v>
      </c>
      <c r="C173" s="136" t="str">
        <f t="shared" si="49"/>
        <v>England ICB - NHS Greater Manchester Integrated Care Board</v>
      </c>
      <c r="D173" s="80">
        <f t="shared" si="51"/>
        <v>96702</v>
      </c>
      <c r="E173" s="80">
        <f t="shared" si="52"/>
        <v>362676</v>
      </c>
      <c r="F173" s="103">
        <f t="shared" si="60"/>
        <v>2911744</v>
      </c>
      <c r="G173" s="52">
        <f t="shared" si="61"/>
        <v>1436730</v>
      </c>
      <c r="H173" s="53">
        <f t="shared" si="62"/>
        <v>1475014</v>
      </c>
      <c r="I173" s="52">
        <f t="shared" si="63"/>
        <v>1096990</v>
      </c>
      <c r="J173" s="105">
        <f t="shared" si="64"/>
        <v>1151812</v>
      </c>
      <c r="K173" s="107">
        <f t="shared" si="65"/>
        <v>339740</v>
      </c>
      <c r="L173" s="51">
        <f t="shared" si="66"/>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2">
      <c r="A174" s="110" t="s">
        <v>731</v>
      </c>
      <c r="B174" s="424" t="s">
        <v>748</v>
      </c>
      <c r="C174" s="136" t="str">
        <f t="shared" si="49"/>
        <v>England ICB - NHS Hampshire and Isle of Wight Integrated Care Board</v>
      </c>
      <c r="D174" s="80">
        <f t="shared" si="51"/>
        <v>57510</v>
      </c>
      <c r="E174" s="80">
        <f t="shared" si="52"/>
        <v>255473</v>
      </c>
      <c r="F174" s="103">
        <f t="shared" si="60"/>
        <v>1842052</v>
      </c>
      <c r="G174" s="52">
        <f t="shared" si="61"/>
        <v>903321</v>
      </c>
      <c r="H174" s="53">
        <f t="shared" si="62"/>
        <v>938731</v>
      </c>
      <c r="I174" s="52">
        <f t="shared" si="63"/>
        <v>718104</v>
      </c>
      <c r="J174" s="105">
        <f t="shared" si="64"/>
        <v>762541</v>
      </c>
      <c r="K174" s="107">
        <f t="shared" si="65"/>
        <v>185217</v>
      </c>
      <c r="L174" s="51">
        <f t="shared" si="66"/>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2">
      <c r="A175" s="110" t="s">
        <v>731</v>
      </c>
      <c r="B175" s="424" t="s">
        <v>749</v>
      </c>
      <c r="C175" s="136" t="str">
        <f t="shared" si="49"/>
        <v>England ICB - NHS Herefordshire and Worcestershire Integrated Care Board</v>
      </c>
      <c r="D175" s="80">
        <f t="shared" si="51"/>
        <v>23749</v>
      </c>
      <c r="E175" s="80">
        <f t="shared" si="52"/>
        <v>116703</v>
      </c>
      <c r="F175" s="103">
        <f t="shared" si="60"/>
        <v>797935</v>
      </c>
      <c r="G175" s="52">
        <f t="shared" si="61"/>
        <v>390507</v>
      </c>
      <c r="H175" s="53">
        <f t="shared" si="62"/>
        <v>407428</v>
      </c>
      <c r="I175" s="52">
        <f t="shared" si="63"/>
        <v>311771</v>
      </c>
      <c r="J175" s="105">
        <f t="shared" si="64"/>
        <v>333199</v>
      </c>
      <c r="K175" s="107">
        <f t="shared" si="65"/>
        <v>78736</v>
      </c>
      <c r="L175" s="51">
        <f t="shared" si="66"/>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2">
      <c r="A176" s="110" t="s">
        <v>731</v>
      </c>
      <c r="B176" s="424" t="s">
        <v>750</v>
      </c>
      <c r="C176" s="136" t="str">
        <f t="shared" si="49"/>
        <v>England ICB - NHS Hertfordshire and West Essex Integrated Care Board</v>
      </c>
      <c r="D176" s="80">
        <f t="shared" si="51"/>
        <v>56165</v>
      </c>
      <c r="E176" s="80">
        <f t="shared" si="52"/>
        <v>210278</v>
      </c>
      <c r="F176" s="103">
        <f t="shared" si="60"/>
        <v>1506036</v>
      </c>
      <c r="G176" s="52">
        <f t="shared" si="61"/>
        <v>734819</v>
      </c>
      <c r="H176" s="53">
        <f t="shared" si="62"/>
        <v>771217</v>
      </c>
      <c r="I176" s="52">
        <f t="shared" si="63"/>
        <v>561880</v>
      </c>
      <c r="J176" s="105">
        <f t="shared" si="64"/>
        <v>606349</v>
      </c>
      <c r="K176" s="107">
        <f t="shared" si="65"/>
        <v>172939</v>
      </c>
      <c r="L176" s="51">
        <f t="shared" si="66"/>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2">
      <c r="A177" s="110" t="s">
        <v>731</v>
      </c>
      <c r="B177" s="424" t="s">
        <v>751</v>
      </c>
      <c r="C177" s="136" t="str">
        <f t="shared" si="49"/>
        <v>England ICB - NHS Humber and North Yorkshire Integrated Care Board</v>
      </c>
      <c r="D177" s="80">
        <f t="shared" si="51"/>
        <v>49531</v>
      </c>
      <c r="E177" s="80">
        <f t="shared" si="52"/>
        <v>246941</v>
      </c>
      <c r="F177" s="103">
        <f t="shared" si="60"/>
        <v>1713205</v>
      </c>
      <c r="G177" s="52">
        <f t="shared" si="61"/>
        <v>841169</v>
      </c>
      <c r="H177" s="53">
        <f t="shared" si="62"/>
        <v>872036</v>
      </c>
      <c r="I177" s="52">
        <f t="shared" si="63"/>
        <v>672459</v>
      </c>
      <c r="J177" s="105">
        <f t="shared" si="64"/>
        <v>712297</v>
      </c>
      <c r="K177" s="107">
        <f t="shared" si="65"/>
        <v>168710</v>
      </c>
      <c r="L177" s="51">
        <f t="shared" si="66"/>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2">
      <c r="A178" s="110" t="s">
        <v>731</v>
      </c>
      <c r="B178" s="424" t="s">
        <v>752</v>
      </c>
      <c r="C178" s="136" t="str">
        <f t="shared" si="49"/>
        <v>England ICB - NHS Kent and Medway Integrated Care Board</v>
      </c>
      <c r="D178" s="80">
        <f t="shared" si="51"/>
        <v>62262</v>
      </c>
      <c r="E178" s="80">
        <f t="shared" si="52"/>
        <v>259519</v>
      </c>
      <c r="F178" s="103">
        <f t="shared" si="60"/>
        <v>1875893</v>
      </c>
      <c r="G178" s="52">
        <f t="shared" si="61"/>
        <v>914637</v>
      </c>
      <c r="H178" s="53">
        <f t="shared" si="62"/>
        <v>961256</v>
      </c>
      <c r="I178" s="52">
        <f t="shared" si="63"/>
        <v>705391</v>
      </c>
      <c r="J178" s="105">
        <f t="shared" si="64"/>
        <v>762802</v>
      </c>
      <c r="K178" s="107">
        <f t="shared" si="65"/>
        <v>209246</v>
      </c>
      <c r="L178" s="51">
        <f t="shared" si="66"/>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2">
      <c r="A179" s="110" t="s">
        <v>731</v>
      </c>
      <c r="B179" s="424" t="s">
        <v>753</v>
      </c>
      <c r="C179" s="136" t="str">
        <f t="shared" si="49"/>
        <v>England ICB - NHS Lancashire and South Cumbria Integrated Care Board</v>
      </c>
      <c r="D179" s="80">
        <f t="shared" si="51"/>
        <v>51699</v>
      </c>
      <c r="E179" s="80">
        <f t="shared" si="52"/>
        <v>243416</v>
      </c>
      <c r="F179" s="103">
        <f t="shared" si="60"/>
        <v>1737241</v>
      </c>
      <c r="G179" s="52">
        <f t="shared" si="61"/>
        <v>855662</v>
      </c>
      <c r="H179" s="53">
        <f t="shared" si="62"/>
        <v>881579</v>
      </c>
      <c r="I179" s="52">
        <f t="shared" si="63"/>
        <v>674572</v>
      </c>
      <c r="J179" s="105">
        <f t="shared" si="64"/>
        <v>708629</v>
      </c>
      <c r="K179" s="107">
        <f t="shared" si="65"/>
        <v>181090</v>
      </c>
      <c r="L179" s="51">
        <f t="shared" si="66"/>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2">
      <c r="A180" s="110" t="s">
        <v>731</v>
      </c>
      <c r="B180" s="424" t="s">
        <v>754</v>
      </c>
      <c r="C180" s="136" t="str">
        <f t="shared" si="49"/>
        <v>England ICB - NHS Leicester, Leicestershire and Rutland Integrated Care Board</v>
      </c>
      <c r="D180" s="80">
        <f t="shared" si="51"/>
        <v>36634</v>
      </c>
      <c r="E180" s="80">
        <f t="shared" si="52"/>
        <v>150003</v>
      </c>
      <c r="F180" s="103">
        <f t="shared" si="60"/>
        <v>1136705</v>
      </c>
      <c r="G180" s="52">
        <f t="shared" si="61"/>
        <v>563981</v>
      </c>
      <c r="H180" s="53">
        <f t="shared" si="62"/>
        <v>572724</v>
      </c>
      <c r="I180" s="52">
        <f t="shared" si="63"/>
        <v>440810</v>
      </c>
      <c r="J180" s="105">
        <f t="shared" si="64"/>
        <v>457187</v>
      </c>
      <c r="K180" s="107">
        <f t="shared" si="65"/>
        <v>123171</v>
      </c>
      <c r="L180" s="51">
        <f t="shared" si="66"/>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2">
      <c r="A181" s="110" t="s">
        <v>731</v>
      </c>
      <c r="B181" s="424" t="s">
        <v>755</v>
      </c>
      <c r="C181" s="136" t="str">
        <f t="shared" si="49"/>
        <v>England ICB - NHS Lincolnshire Integrated Care Board</v>
      </c>
      <c r="D181" s="80">
        <f t="shared" si="51"/>
        <v>22195</v>
      </c>
      <c r="E181" s="80">
        <f t="shared" si="52"/>
        <v>113229</v>
      </c>
      <c r="F181" s="103">
        <f t="shared" si="60"/>
        <v>775524</v>
      </c>
      <c r="G181" s="52">
        <f t="shared" si="61"/>
        <v>380037</v>
      </c>
      <c r="H181" s="53">
        <f t="shared" si="62"/>
        <v>395487</v>
      </c>
      <c r="I181" s="52">
        <f t="shared" si="63"/>
        <v>305377</v>
      </c>
      <c r="J181" s="105">
        <f t="shared" si="64"/>
        <v>324135</v>
      </c>
      <c r="K181" s="107">
        <f t="shared" si="65"/>
        <v>74660</v>
      </c>
      <c r="L181" s="51">
        <f t="shared" si="66"/>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2">
      <c r="A182" s="110" t="s">
        <v>731</v>
      </c>
      <c r="B182" s="424" t="s">
        <v>756</v>
      </c>
      <c r="C182" s="136" t="str">
        <f t="shared" si="49"/>
        <v>England ICB - NHS Mid and South Essex Integrated Care Board</v>
      </c>
      <c r="D182" s="80">
        <f t="shared" si="51"/>
        <v>40565</v>
      </c>
      <c r="E182" s="80">
        <f t="shared" si="52"/>
        <v>166846</v>
      </c>
      <c r="F182" s="103">
        <f t="shared" si="60"/>
        <v>1209480</v>
      </c>
      <c r="G182" s="52">
        <f t="shared" si="61"/>
        <v>589912</v>
      </c>
      <c r="H182" s="53">
        <f t="shared" si="62"/>
        <v>619568</v>
      </c>
      <c r="I182" s="52">
        <f t="shared" si="63"/>
        <v>455569</v>
      </c>
      <c r="J182" s="105">
        <f t="shared" si="64"/>
        <v>491909</v>
      </c>
      <c r="K182" s="107">
        <f t="shared" si="65"/>
        <v>134343</v>
      </c>
      <c r="L182" s="51">
        <f t="shared" si="66"/>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2">
      <c r="A183" s="110" t="s">
        <v>731</v>
      </c>
      <c r="B183" s="424" t="s">
        <v>757</v>
      </c>
      <c r="C183" s="136" t="str">
        <f t="shared" si="49"/>
        <v>England ICB - NHS Norfolk and Waveney Integrated Care Board</v>
      </c>
      <c r="D183" s="80">
        <f t="shared" si="51"/>
        <v>29516</v>
      </c>
      <c r="E183" s="80">
        <f t="shared" si="52"/>
        <v>147339</v>
      </c>
      <c r="F183" s="103">
        <f t="shared" si="60"/>
        <v>1041932</v>
      </c>
      <c r="G183" s="52">
        <f t="shared" si="61"/>
        <v>510572</v>
      </c>
      <c r="H183" s="53">
        <f t="shared" si="62"/>
        <v>531360</v>
      </c>
      <c r="I183" s="52">
        <f t="shared" si="63"/>
        <v>413052</v>
      </c>
      <c r="J183" s="105">
        <f t="shared" si="64"/>
        <v>438783</v>
      </c>
      <c r="K183" s="107">
        <f t="shared" si="65"/>
        <v>97520</v>
      </c>
      <c r="L183" s="51">
        <f t="shared" si="66"/>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2">
      <c r="A184" s="110" t="s">
        <v>731</v>
      </c>
      <c r="B184" s="424" t="s">
        <v>758</v>
      </c>
      <c r="C184" s="136" t="str">
        <f t="shared" si="49"/>
        <v>England ICB - NHS North Central London Integrated Care Board</v>
      </c>
      <c r="D184" s="80">
        <f t="shared" si="51"/>
        <v>54991</v>
      </c>
      <c r="E184" s="80">
        <f t="shared" si="52"/>
        <v>183169</v>
      </c>
      <c r="F184" s="103">
        <f t="shared" si="60"/>
        <v>1416558</v>
      </c>
      <c r="G184" s="52">
        <f t="shared" si="61"/>
        <v>677387</v>
      </c>
      <c r="H184" s="53">
        <f t="shared" si="62"/>
        <v>739171</v>
      </c>
      <c r="I184" s="52">
        <f t="shared" si="63"/>
        <v>525382</v>
      </c>
      <c r="J184" s="105">
        <f t="shared" si="64"/>
        <v>593171</v>
      </c>
      <c r="K184" s="107">
        <f t="shared" si="65"/>
        <v>152005</v>
      </c>
      <c r="L184" s="51">
        <f t="shared" si="66"/>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2">
      <c r="A185" s="110" t="s">
        <v>731</v>
      </c>
      <c r="B185" s="424" t="s">
        <v>759</v>
      </c>
      <c r="C185" s="136" t="str">
        <f t="shared" si="49"/>
        <v>England ICB - NHS North East and North Cumbria Integrated Care Board</v>
      </c>
      <c r="D185" s="80">
        <f t="shared" si="51"/>
        <v>90644</v>
      </c>
      <c r="E185" s="80">
        <f t="shared" si="52"/>
        <v>425949</v>
      </c>
      <c r="F185" s="103">
        <f t="shared" si="60"/>
        <v>3005519</v>
      </c>
      <c r="G185" s="52">
        <f t="shared" si="61"/>
        <v>1472907</v>
      </c>
      <c r="H185" s="53">
        <f t="shared" si="62"/>
        <v>1532612</v>
      </c>
      <c r="I185" s="52">
        <f t="shared" si="63"/>
        <v>1169921</v>
      </c>
      <c r="J185" s="105">
        <f t="shared" si="64"/>
        <v>1245100</v>
      </c>
      <c r="K185" s="107">
        <f t="shared" si="65"/>
        <v>302986</v>
      </c>
      <c r="L185" s="51">
        <f t="shared" si="66"/>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2">
      <c r="A186" s="110" t="s">
        <v>731</v>
      </c>
      <c r="B186" s="424" t="s">
        <v>760</v>
      </c>
      <c r="C186" s="136" t="str">
        <f t="shared" si="49"/>
        <v>England ICB - NHS North East London Integrated Care Board</v>
      </c>
      <c r="D186" s="80">
        <f t="shared" si="51"/>
        <v>78066</v>
      </c>
      <c r="E186" s="80">
        <f t="shared" si="52"/>
        <v>226226</v>
      </c>
      <c r="F186" s="103">
        <f t="shared" si="60"/>
        <v>2028265</v>
      </c>
      <c r="G186" s="52">
        <f t="shared" si="61"/>
        <v>998819</v>
      </c>
      <c r="H186" s="53">
        <f t="shared" si="62"/>
        <v>1029446</v>
      </c>
      <c r="I186" s="52">
        <f t="shared" si="63"/>
        <v>760944</v>
      </c>
      <c r="J186" s="105">
        <f t="shared" si="64"/>
        <v>800228</v>
      </c>
      <c r="K186" s="107">
        <f t="shared" si="65"/>
        <v>237875</v>
      </c>
      <c r="L186" s="51">
        <f t="shared" si="66"/>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2">
      <c r="A187" s="110" t="s">
        <v>731</v>
      </c>
      <c r="B187" s="424" t="s">
        <v>761</v>
      </c>
      <c r="C187" s="136" t="str">
        <f t="shared" si="49"/>
        <v>England ICB - NHS North West London Integrated Care Board</v>
      </c>
      <c r="D187" s="80">
        <f t="shared" si="51"/>
        <v>81899</v>
      </c>
      <c r="E187" s="80">
        <f t="shared" si="52"/>
        <v>272546</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2">
      <c r="A188" s="110" t="s">
        <v>731</v>
      </c>
      <c r="B188" s="424" t="s">
        <v>762</v>
      </c>
      <c r="C188" s="136" t="str">
        <f t="shared" si="49"/>
        <v>England ICB - NHS Northamptonshire Integrated Care Board</v>
      </c>
      <c r="D188" s="80">
        <f t="shared" si="51"/>
        <v>27029</v>
      </c>
      <c r="E188" s="80">
        <f t="shared" si="52"/>
        <v>108689</v>
      </c>
      <c r="F188" s="103">
        <f t="shared" si="60"/>
        <v>792421</v>
      </c>
      <c r="G188" s="52">
        <f t="shared" si="61"/>
        <v>391147</v>
      </c>
      <c r="H188" s="53">
        <f t="shared" si="62"/>
        <v>401274</v>
      </c>
      <c r="I188" s="52">
        <f t="shared" si="63"/>
        <v>302548</v>
      </c>
      <c r="J188" s="105">
        <f t="shared" si="64"/>
        <v>316259</v>
      </c>
      <c r="K188" s="107">
        <f t="shared" si="65"/>
        <v>88599</v>
      </c>
      <c r="L188" s="51">
        <f t="shared" si="66"/>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2">
      <c r="A189" s="110" t="s">
        <v>731</v>
      </c>
      <c r="B189" s="424" t="s">
        <v>763</v>
      </c>
      <c r="C189" s="136" t="str">
        <f t="shared" si="49"/>
        <v>England ICB - NHS Nottingham and Nottinghamshire Integrated Care Board</v>
      </c>
      <c r="D189" s="80">
        <f t="shared" si="51"/>
        <v>35332</v>
      </c>
      <c r="E189" s="80">
        <f t="shared" si="52"/>
        <v>153696</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2">
      <c r="A190" s="110" t="s">
        <v>731</v>
      </c>
      <c r="B190" s="424" t="s">
        <v>764</v>
      </c>
      <c r="C190" s="136" t="str">
        <f t="shared" si="49"/>
        <v>England ICB - NHS Shropshire, Telford and Wrekin Integrated Care Board</v>
      </c>
      <c r="D190" s="80">
        <f t="shared" si="51"/>
        <v>14821</v>
      </c>
      <c r="E190" s="80">
        <f t="shared" si="52"/>
        <v>75424</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2">
      <c r="A191" s="110" t="s">
        <v>731</v>
      </c>
      <c r="B191" s="424" t="s">
        <v>765</v>
      </c>
      <c r="C191" s="136" t="str">
        <f t="shared" si="49"/>
        <v>England ICB - NHS Somerset Integrated Care Board</v>
      </c>
      <c r="D191" s="80">
        <f t="shared" si="51"/>
        <v>16235</v>
      </c>
      <c r="E191" s="80">
        <f t="shared" si="52"/>
        <v>84896</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2">
      <c r="A192" s="110" t="s">
        <v>731</v>
      </c>
      <c r="B192" s="424" t="s">
        <v>766</v>
      </c>
      <c r="C192" s="136" t="str">
        <f t="shared" si="49"/>
        <v>England ICB - NHS South East London Integrated Care Board</v>
      </c>
      <c r="D192" s="80">
        <f t="shared" si="51"/>
        <v>69830</v>
      </c>
      <c r="E192" s="80">
        <f t="shared" si="52"/>
        <v>232761</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2">
      <c r="A193" s="110" t="s">
        <v>731</v>
      </c>
      <c r="B193" s="424" t="s">
        <v>767</v>
      </c>
      <c r="C193" s="136" t="str">
        <f t="shared" si="49"/>
        <v>England ICB - NHS South West London Integrated Care Board</v>
      </c>
      <c r="D193" s="80">
        <f t="shared" si="51"/>
        <v>62194</v>
      </c>
      <c r="E193" s="80">
        <f t="shared" si="52"/>
        <v>200302</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2">
      <c r="A194" s="110" t="s">
        <v>731</v>
      </c>
      <c r="B194" s="424" t="s">
        <v>768</v>
      </c>
      <c r="C194" s="136" t="str">
        <f t="shared" si="49"/>
        <v>England ICB - NHS South Yorkshire Integrated Care Board</v>
      </c>
      <c r="D194" s="80">
        <f t="shared" si="51"/>
        <v>41752</v>
      </c>
      <c r="E194" s="80">
        <f t="shared" si="52"/>
        <v>184445</v>
      </c>
      <c r="F194" s="103">
        <f t="shared" ref="F194:F199" si="67">G194+H194</f>
        <v>1392105</v>
      </c>
      <c r="G194" s="52">
        <f t="shared" ref="G194:G199" si="68">SUM(M194:CY194)</f>
        <v>687732</v>
      </c>
      <c r="H194" s="53">
        <f t="shared" ref="H194:H199" si="69">SUM(CZ194:GL194)</f>
        <v>704373</v>
      </c>
      <c r="I194" s="52">
        <f t="shared" ref="I194:I199" si="70">SUM(AE194:CY194)</f>
        <v>540959</v>
      </c>
      <c r="J194" s="105">
        <f t="shared" ref="J194:J199" si="71">SUM(DR194:GL194)</f>
        <v>564398</v>
      </c>
      <c r="K194" s="107">
        <f t="shared" ref="K194:K199" si="72">SUM(M194:AD194)</f>
        <v>146773</v>
      </c>
      <c r="L194" s="51">
        <f t="shared" ref="L194:L199" si="73">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2">
      <c r="A195" s="110" t="s">
        <v>731</v>
      </c>
      <c r="B195" s="424" t="s">
        <v>769</v>
      </c>
      <c r="C195" s="136" t="str">
        <f t="shared" si="49"/>
        <v>England ICB - NHS Staffordshire and Stoke-on-Trent Integrated Care Board</v>
      </c>
      <c r="D195" s="80">
        <f t="shared" si="51"/>
        <v>34226</v>
      </c>
      <c r="E195" s="80">
        <f t="shared" si="52"/>
        <v>159601</v>
      </c>
      <c r="F195" s="103">
        <f t="shared" si="67"/>
        <v>1146249</v>
      </c>
      <c r="G195" s="52">
        <f t="shared" si="68"/>
        <v>567449</v>
      </c>
      <c r="H195" s="53">
        <f t="shared" si="69"/>
        <v>578800</v>
      </c>
      <c r="I195" s="52">
        <f t="shared" si="70"/>
        <v>450065</v>
      </c>
      <c r="J195" s="105">
        <f t="shared" si="71"/>
        <v>466226</v>
      </c>
      <c r="K195" s="107">
        <f t="shared" si="72"/>
        <v>117384</v>
      </c>
      <c r="L195" s="51">
        <f t="shared" si="73"/>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2">
      <c r="A196" s="110" t="s">
        <v>731</v>
      </c>
      <c r="B196" s="424" t="s">
        <v>770</v>
      </c>
      <c r="C196" s="136" t="str">
        <f t="shared" si="49"/>
        <v>England ICB - NHS Suffolk and North East Essex Integrated Care Board</v>
      </c>
      <c r="D196" s="80">
        <f t="shared" si="51"/>
        <v>29988</v>
      </c>
      <c r="E196" s="80">
        <f t="shared" si="52"/>
        <v>139534</v>
      </c>
      <c r="F196" s="103">
        <f t="shared" si="67"/>
        <v>997767</v>
      </c>
      <c r="G196" s="52">
        <f t="shared" si="68"/>
        <v>490262</v>
      </c>
      <c r="H196" s="53">
        <f t="shared" si="69"/>
        <v>507505</v>
      </c>
      <c r="I196" s="52">
        <f t="shared" si="70"/>
        <v>390250</v>
      </c>
      <c r="J196" s="105">
        <f t="shared" si="71"/>
        <v>412336</v>
      </c>
      <c r="K196" s="107">
        <f t="shared" si="72"/>
        <v>100012</v>
      </c>
      <c r="L196" s="51">
        <f t="shared" si="73"/>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2">
      <c r="A197" s="110" t="s">
        <v>731</v>
      </c>
      <c r="B197" s="424" t="s">
        <v>771</v>
      </c>
      <c r="C197" s="136" t="str">
        <f t="shared" si="49"/>
        <v>England ICB - NHS Surrey Heartlands Integrated Care Board</v>
      </c>
      <c r="D197" s="80">
        <f t="shared" si="51"/>
        <v>39448</v>
      </c>
      <c r="E197" s="80">
        <f t="shared" si="52"/>
        <v>150844</v>
      </c>
      <c r="F197" s="103">
        <f t="shared" si="67"/>
        <v>1058519</v>
      </c>
      <c r="G197" s="52">
        <f t="shared" si="68"/>
        <v>516579</v>
      </c>
      <c r="H197" s="53">
        <f t="shared" si="69"/>
        <v>541940</v>
      </c>
      <c r="I197" s="52">
        <f t="shared" si="70"/>
        <v>398933</v>
      </c>
      <c r="J197" s="105">
        <f t="shared" si="71"/>
        <v>429149</v>
      </c>
      <c r="K197" s="107">
        <f t="shared" si="72"/>
        <v>117646</v>
      </c>
      <c r="L197" s="51">
        <f t="shared" si="73"/>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2">
      <c r="A198" s="110" t="s">
        <v>731</v>
      </c>
      <c r="B198" s="424" t="s">
        <v>772</v>
      </c>
      <c r="C198" s="136" t="str">
        <f t="shared" si="49"/>
        <v>England ICB - NHS Sussex Integrated Care Board</v>
      </c>
      <c r="D198" s="80">
        <f t="shared" si="51"/>
        <v>55173</v>
      </c>
      <c r="E198" s="80">
        <f t="shared" si="52"/>
        <v>248298</v>
      </c>
      <c r="F198" s="103">
        <f t="shared" si="67"/>
        <v>1721021</v>
      </c>
      <c r="G198" s="52">
        <f t="shared" si="68"/>
        <v>833713</v>
      </c>
      <c r="H198" s="53">
        <f t="shared" si="69"/>
        <v>887308</v>
      </c>
      <c r="I198" s="52">
        <f t="shared" si="70"/>
        <v>666059</v>
      </c>
      <c r="J198" s="105">
        <f t="shared" si="71"/>
        <v>728176</v>
      </c>
      <c r="K198" s="107">
        <f t="shared" si="72"/>
        <v>167654</v>
      </c>
      <c r="L198" s="51">
        <f t="shared" si="73"/>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2">
      <c r="A199" s="110" t="s">
        <v>731</v>
      </c>
      <c r="B199" s="424" t="s">
        <v>773</v>
      </c>
      <c r="C199" s="136" t="str">
        <f t="shared" si="49"/>
        <v>England ICB - NHS West Yorkshire Integrated Care Board</v>
      </c>
      <c r="D199" s="80">
        <f t="shared" si="51"/>
        <v>79854</v>
      </c>
      <c r="E199" s="80">
        <f t="shared" si="52"/>
        <v>314619</v>
      </c>
      <c r="F199" s="103">
        <f t="shared" si="67"/>
        <v>2429755</v>
      </c>
      <c r="G199" s="52">
        <f t="shared" si="68"/>
        <v>1191152</v>
      </c>
      <c r="H199" s="53">
        <f t="shared" si="69"/>
        <v>1238603</v>
      </c>
      <c r="I199" s="52">
        <f t="shared" si="70"/>
        <v>914649</v>
      </c>
      <c r="J199" s="105">
        <f t="shared" si="71"/>
        <v>974243</v>
      </c>
      <c r="K199" s="107">
        <f t="shared" si="72"/>
        <v>276503</v>
      </c>
      <c r="L199" s="51">
        <f t="shared" si="73"/>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5" customFormat="1" ht="15" x14ac:dyDescent="0.25">
      <c r="A200" s="112"/>
      <c r="B200" s="425"/>
      <c r="C200" s="119"/>
      <c r="D200" s="134">
        <f t="shared" ref="D200:L200" si="74">SUM(D158:D199)</f>
        <v>1887736</v>
      </c>
      <c r="E200" s="134">
        <f t="shared" si="74"/>
        <v>7720096</v>
      </c>
      <c r="F200" s="134">
        <f t="shared" si="74"/>
        <v>57106398</v>
      </c>
      <c r="G200" s="134">
        <f t="shared" si="74"/>
        <v>27983290</v>
      </c>
      <c r="H200" s="134">
        <f t="shared" si="74"/>
        <v>29123108</v>
      </c>
      <c r="I200" s="134">
        <f t="shared" si="74"/>
        <v>21895402</v>
      </c>
      <c r="J200" s="134">
        <f t="shared" si="74"/>
        <v>23324090</v>
      </c>
      <c r="K200" s="134">
        <f t="shared" si="74"/>
        <v>6087888</v>
      </c>
      <c r="L200" s="134">
        <f t="shared" si="74"/>
        <v>5799018</v>
      </c>
      <c r="M200" s="13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3"/>
      <c r="CZ200" s="135"/>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c r="DY200" s="114"/>
      <c r="DZ200" s="114"/>
      <c r="EA200" s="114"/>
      <c r="EB200" s="114"/>
      <c r="EC200" s="114"/>
      <c r="ED200" s="114"/>
      <c r="EE200" s="114"/>
      <c r="EF200" s="114"/>
      <c r="EG200" s="114"/>
      <c r="EH200" s="114"/>
      <c r="EI200" s="114"/>
      <c r="EJ200" s="114"/>
      <c r="EK200" s="114"/>
      <c r="EL200" s="114"/>
      <c r="EM200" s="114"/>
      <c r="EN200" s="114"/>
      <c r="EO200" s="114"/>
      <c r="EP200" s="114"/>
      <c r="EQ200" s="114"/>
      <c r="ER200" s="114"/>
      <c r="ES200" s="114"/>
      <c r="ET200" s="114"/>
      <c r="EU200" s="114"/>
      <c r="EV200" s="114"/>
      <c r="EW200" s="114"/>
      <c r="EX200" s="114"/>
      <c r="EY200" s="114"/>
      <c r="EZ200" s="114"/>
      <c r="FA200" s="114"/>
      <c r="FB200" s="114"/>
      <c r="FC200" s="114"/>
      <c r="FD200" s="114"/>
      <c r="FE200" s="114"/>
      <c r="FF200" s="114"/>
      <c r="FG200" s="114"/>
      <c r="FH200" s="114"/>
      <c r="FI200" s="114"/>
      <c r="FJ200" s="114"/>
      <c r="FK200" s="114"/>
      <c r="FL200" s="114"/>
      <c r="FM200" s="114"/>
      <c r="FN200" s="114"/>
      <c r="FO200" s="114"/>
      <c r="FP200" s="114"/>
      <c r="FQ200" s="114"/>
      <c r="FR200" s="114"/>
      <c r="FS200" s="114"/>
      <c r="FT200" s="114"/>
      <c r="FU200" s="114"/>
      <c r="FV200" s="114"/>
      <c r="FW200" s="114"/>
      <c r="FX200" s="114"/>
      <c r="FY200" s="114"/>
      <c r="FZ200" s="114"/>
      <c r="GA200" s="114"/>
      <c r="GB200" s="114"/>
      <c r="GC200" s="114"/>
      <c r="GD200" s="114"/>
      <c r="GE200" s="114"/>
      <c r="GF200" s="114"/>
      <c r="GG200" s="114"/>
      <c r="GH200" s="114"/>
      <c r="GI200" s="114"/>
      <c r="GJ200" s="114"/>
      <c r="GK200" s="114"/>
      <c r="GL200" s="113"/>
    </row>
    <row r="201" spans="1:194" s="1" customFormat="1" x14ac:dyDescent="0.2">
      <c r="A201" s="31" t="s">
        <v>150</v>
      </c>
      <c r="B201" s="1" t="s">
        <v>298</v>
      </c>
      <c r="C201" s="72" t="str">
        <f>CONCATENATE(A201," - ",B201)</f>
        <v>LA England - Adur</v>
      </c>
      <c r="D201" s="61">
        <f t="shared" ref="D201:D264" si="75">SUM(EN201:ER201)</f>
        <v>2199</v>
      </c>
      <c r="E201" s="61">
        <f t="shared" ref="E201:E264" si="76">SUM(ES201:FM201)</f>
        <v>9399</v>
      </c>
      <c r="F201" s="397">
        <f t="shared" ref="F201:F265" si="77">G201+H201</f>
        <v>64688</v>
      </c>
      <c r="G201" s="397">
        <f t="shared" ref="G201:G265" si="78">SUM(M201:CY201)</f>
        <v>31217</v>
      </c>
      <c r="H201" s="62">
        <f t="shared" ref="H201:H265" si="79">SUM(CZ201:GL201)</f>
        <v>33471</v>
      </c>
      <c r="I201" s="62">
        <f t="shared" ref="I201:I265" si="80">SUM(AE201:CY201)</f>
        <v>24443</v>
      </c>
      <c r="J201" s="62">
        <f t="shared" ref="J201:J265" si="81">SUM(DR201:GL201)</f>
        <v>27108</v>
      </c>
      <c r="K201" s="50">
        <f t="shared" ref="K201:K265" si="82">SUM(M201:AD201)</f>
        <v>6774</v>
      </c>
      <c r="L201" s="61">
        <f t="shared" ref="L201:L265" si="83">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2">
      <c r="A202" s="31" t="s">
        <v>150</v>
      </c>
      <c r="B202" s="1" t="s">
        <v>299</v>
      </c>
      <c r="C202" s="30" t="str">
        <f>CONCATENATE(A202," - ",B202)</f>
        <v>LA England - Amber Valley</v>
      </c>
      <c r="D202" s="51">
        <f t="shared" si="75"/>
        <v>3734</v>
      </c>
      <c r="E202" s="51">
        <f t="shared" si="76"/>
        <v>19246</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2">
      <c r="A203" s="31" t="s">
        <v>150</v>
      </c>
      <c r="B203" s="1" t="s">
        <v>300</v>
      </c>
      <c r="C203" s="30" t="str">
        <f>CONCATENATE(A203," - ",B203)</f>
        <v>LA England - Arun</v>
      </c>
      <c r="D203" s="51">
        <f t="shared" si="75"/>
        <v>4621</v>
      </c>
      <c r="E203" s="51">
        <f t="shared" si="76"/>
        <v>24047</v>
      </c>
      <c r="F203" s="52">
        <f t="shared" si="77"/>
        <v>166366</v>
      </c>
      <c r="G203" s="52">
        <f t="shared" si="78"/>
        <v>79966</v>
      </c>
      <c r="H203" s="53">
        <f t="shared" si="79"/>
        <v>86400</v>
      </c>
      <c r="I203" s="53">
        <f t="shared" si="80"/>
        <v>65198</v>
      </c>
      <c r="J203" s="53">
        <f t="shared" si="81"/>
        <v>72560</v>
      </c>
      <c r="K203" s="50">
        <f t="shared" si="82"/>
        <v>14768</v>
      </c>
      <c r="L203" s="51">
        <f t="shared" si="83"/>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2">
      <c r="A204" s="31" t="s">
        <v>150</v>
      </c>
      <c r="B204" s="1" t="s">
        <v>301</v>
      </c>
      <c r="C204" s="30" t="str">
        <f t="shared" ref="C204:C267" si="84">CONCATENATE(A204," - ",B204)</f>
        <v>LA England - Ashfield</v>
      </c>
      <c r="D204" s="51">
        <f t="shared" si="75"/>
        <v>3971</v>
      </c>
      <c r="E204" s="51">
        <f t="shared" si="76"/>
        <v>18055</v>
      </c>
      <c r="F204" s="52">
        <f t="shared" si="77"/>
        <v>127179</v>
      </c>
      <c r="G204" s="52">
        <f t="shared" si="78"/>
        <v>62228</v>
      </c>
      <c r="H204" s="53">
        <f t="shared" si="79"/>
        <v>64951</v>
      </c>
      <c r="I204" s="53">
        <f t="shared" si="80"/>
        <v>48616</v>
      </c>
      <c r="J204" s="53">
        <f t="shared" si="81"/>
        <v>52147</v>
      </c>
      <c r="K204" s="50">
        <f t="shared" si="82"/>
        <v>13612</v>
      </c>
      <c r="L204" s="51">
        <f t="shared" si="83"/>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2">
      <c r="A205" s="31" t="s">
        <v>150</v>
      </c>
      <c r="B205" s="1" t="s">
        <v>302</v>
      </c>
      <c r="C205" s="30" t="str">
        <f t="shared" si="84"/>
        <v>LA England - Ashford</v>
      </c>
      <c r="D205" s="51">
        <f t="shared" si="75"/>
        <v>4374</v>
      </c>
      <c r="E205" s="51">
        <f t="shared" si="76"/>
        <v>19085</v>
      </c>
      <c r="F205" s="52">
        <f t="shared" si="77"/>
        <v>135610</v>
      </c>
      <c r="G205" s="52">
        <f t="shared" si="78"/>
        <v>65965</v>
      </c>
      <c r="H205" s="53">
        <f t="shared" si="79"/>
        <v>69645</v>
      </c>
      <c r="I205" s="53">
        <f t="shared" si="80"/>
        <v>50720</v>
      </c>
      <c r="J205" s="53">
        <f t="shared" si="81"/>
        <v>55066</v>
      </c>
      <c r="K205" s="50">
        <f t="shared" si="82"/>
        <v>15245</v>
      </c>
      <c r="L205" s="51">
        <f t="shared" si="83"/>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2">
      <c r="A206" s="31" t="s">
        <v>150</v>
      </c>
      <c r="B206" s="1" t="s">
        <v>303</v>
      </c>
      <c r="C206" s="30" t="str">
        <f t="shared" si="84"/>
        <v>LA England - Babergh</v>
      </c>
      <c r="D206" s="51">
        <f t="shared" si="75"/>
        <v>2715</v>
      </c>
      <c r="E206" s="51">
        <f t="shared" si="76"/>
        <v>14250</v>
      </c>
      <c r="F206" s="52">
        <f t="shared" si="77"/>
        <v>94277</v>
      </c>
      <c r="G206" s="52">
        <f t="shared" si="78"/>
        <v>45714</v>
      </c>
      <c r="H206" s="53">
        <f t="shared" si="79"/>
        <v>48563</v>
      </c>
      <c r="I206" s="53">
        <f t="shared" si="80"/>
        <v>36897</v>
      </c>
      <c r="J206" s="53">
        <f t="shared" si="81"/>
        <v>40085</v>
      </c>
      <c r="K206" s="50">
        <f t="shared" si="82"/>
        <v>8817</v>
      </c>
      <c r="L206" s="51">
        <f t="shared" si="83"/>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2">
      <c r="A207" s="31" t="s">
        <v>150</v>
      </c>
      <c r="B207" s="1" t="s">
        <v>304</v>
      </c>
      <c r="C207" s="30" t="str">
        <f t="shared" si="84"/>
        <v>LA England - Barking and Dagenham</v>
      </c>
      <c r="D207" s="51">
        <f t="shared" si="75"/>
        <v>9263</v>
      </c>
      <c r="E207" s="51">
        <f t="shared" si="76"/>
        <v>25903</v>
      </c>
      <c r="F207" s="52">
        <f t="shared" si="77"/>
        <v>219992</v>
      </c>
      <c r="G207" s="52">
        <f t="shared" si="78"/>
        <v>107205</v>
      </c>
      <c r="H207" s="53">
        <f t="shared" si="79"/>
        <v>112787</v>
      </c>
      <c r="I207" s="53">
        <f t="shared" si="80"/>
        <v>74471</v>
      </c>
      <c r="J207" s="53">
        <f t="shared" si="81"/>
        <v>81550</v>
      </c>
      <c r="K207" s="50">
        <f t="shared" si="82"/>
        <v>32734</v>
      </c>
      <c r="L207" s="51">
        <f t="shared" si="83"/>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2">
      <c r="A208" s="31" t="s">
        <v>150</v>
      </c>
      <c r="B208" s="1" t="s">
        <v>305</v>
      </c>
      <c r="C208" s="30" t="str">
        <f t="shared" si="84"/>
        <v>LA England - Barnet</v>
      </c>
      <c r="D208" s="51">
        <f t="shared" si="75"/>
        <v>16005</v>
      </c>
      <c r="E208" s="51">
        <f t="shared" si="76"/>
        <v>51523</v>
      </c>
      <c r="F208" s="52">
        <f t="shared" si="77"/>
        <v>389101</v>
      </c>
      <c r="G208" s="52">
        <f t="shared" si="78"/>
        <v>188543</v>
      </c>
      <c r="H208" s="53">
        <f t="shared" si="79"/>
        <v>200558</v>
      </c>
      <c r="I208" s="53">
        <f t="shared" si="80"/>
        <v>141927</v>
      </c>
      <c r="J208" s="53">
        <f t="shared" si="81"/>
        <v>156636</v>
      </c>
      <c r="K208" s="50">
        <f t="shared" si="82"/>
        <v>46616</v>
      </c>
      <c r="L208" s="51">
        <f t="shared" si="83"/>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2">
      <c r="A209" s="31" t="s">
        <v>150</v>
      </c>
      <c r="B209" s="1" t="s">
        <v>306</v>
      </c>
      <c r="C209" s="30" t="str">
        <f t="shared" si="84"/>
        <v>LA England - Barnsley</v>
      </c>
      <c r="D209" s="51">
        <f t="shared" si="75"/>
        <v>7366</v>
      </c>
      <c r="E209" s="51">
        <f t="shared" si="76"/>
        <v>35313</v>
      </c>
      <c r="F209" s="52">
        <f t="shared" si="77"/>
        <v>246482</v>
      </c>
      <c r="G209" s="52">
        <f t="shared" si="78"/>
        <v>121223</v>
      </c>
      <c r="H209" s="53">
        <f t="shared" si="79"/>
        <v>125259</v>
      </c>
      <c r="I209" s="53">
        <f t="shared" si="80"/>
        <v>95316</v>
      </c>
      <c r="J209" s="53">
        <f t="shared" si="81"/>
        <v>100485</v>
      </c>
      <c r="K209" s="50">
        <f t="shared" si="82"/>
        <v>25907</v>
      </c>
      <c r="L209" s="51">
        <f t="shared" si="83"/>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2">
      <c r="A210" s="31" t="s">
        <v>150</v>
      </c>
      <c r="B210" s="1" t="s">
        <v>307</v>
      </c>
      <c r="C210" s="30" t="str">
        <f t="shared" si="84"/>
        <v>LA England - Basildon</v>
      </c>
      <c r="D210" s="51">
        <f t="shared" si="75"/>
        <v>6300</v>
      </c>
      <c r="E210" s="51">
        <f t="shared" si="76"/>
        <v>25193</v>
      </c>
      <c r="F210" s="52">
        <f t="shared" si="77"/>
        <v>188848</v>
      </c>
      <c r="G210" s="52">
        <f t="shared" si="78"/>
        <v>91792</v>
      </c>
      <c r="H210" s="53">
        <f t="shared" si="79"/>
        <v>97056</v>
      </c>
      <c r="I210" s="53">
        <f t="shared" si="80"/>
        <v>69270</v>
      </c>
      <c r="J210" s="53">
        <f t="shared" si="81"/>
        <v>75587</v>
      </c>
      <c r="K210" s="50">
        <f t="shared" si="82"/>
        <v>22522</v>
      </c>
      <c r="L210" s="51">
        <f t="shared" si="83"/>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2">
      <c r="A211" s="31" t="s">
        <v>150</v>
      </c>
      <c r="B211" s="1" t="s">
        <v>308</v>
      </c>
      <c r="C211" s="30" t="str">
        <f t="shared" si="84"/>
        <v>LA England - Basingstoke and Deane</v>
      </c>
      <c r="D211" s="51">
        <f t="shared" si="75"/>
        <v>6572</v>
      </c>
      <c r="E211" s="51">
        <f t="shared" si="76"/>
        <v>26116</v>
      </c>
      <c r="F211" s="52">
        <f t="shared" si="77"/>
        <v>187817</v>
      </c>
      <c r="G211" s="52">
        <f t="shared" si="78"/>
        <v>93056</v>
      </c>
      <c r="H211" s="53">
        <f t="shared" si="79"/>
        <v>94761</v>
      </c>
      <c r="I211" s="53">
        <f t="shared" si="80"/>
        <v>72629</v>
      </c>
      <c r="J211" s="53">
        <f t="shared" si="81"/>
        <v>75400</v>
      </c>
      <c r="K211" s="50">
        <f t="shared" si="82"/>
        <v>20427</v>
      </c>
      <c r="L211" s="51">
        <f t="shared" si="83"/>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2">
      <c r="A212" s="31" t="s">
        <v>150</v>
      </c>
      <c r="B212" s="1" t="s">
        <v>309</v>
      </c>
      <c r="C212" s="30" t="str">
        <f t="shared" si="84"/>
        <v>LA England - Bassetlaw</v>
      </c>
      <c r="D212" s="51">
        <f t="shared" si="75"/>
        <v>3425</v>
      </c>
      <c r="E212" s="51">
        <f t="shared" si="76"/>
        <v>17721</v>
      </c>
      <c r="F212" s="52">
        <f t="shared" si="77"/>
        <v>120012</v>
      </c>
      <c r="G212" s="52">
        <f t="shared" si="78"/>
        <v>59485</v>
      </c>
      <c r="H212" s="53">
        <f t="shared" si="79"/>
        <v>60527</v>
      </c>
      <c r="I212" s="53">
        <f t="shared" si="80"/>
        <v>47388</v>
      </c>
      <c r="J212" s="53">
        <f t="shared" si="81"/>
        <v>49144</v>
      </c>
      <c r="K212" s="50">
        <f t="shared" si="82"/>
        <v>12097</v>
      </c>
      <c r="L212" s="51">
        <f t="shared" si="83"/>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2">
      <c r="A213" s="31" t="s">
        <v>150</v>
      </c>
      <c r="B213" s="1" t="s">
        <v>310</v>
      </c>
      <c r="C213" s="30" t="str">
        <f t="shared" si="84"/>
        <v>LA England - Bath and North East Somerset</v>
      </c>
      <c r="D213" s="51">
        <f t="shared" si="75"/>
        <v>5690</v>
      </c>
      <c r="E213" s="51">
        <f t="shared" si="76"/>
        <v>25399</v>
      </c>
      <c r="F213" s="52">
        <f t="shared" si="77"/>
        <v>195618</v>
      </c>
      <c r="G213" s="52">
        <f t="shared" si="78"/>
        <v>95553</v>
      </c>
      <c r="H213" s="53">
        <f t="shared" si="79"/>
        <v>100065</v>
      </c>
      <c r="I213" s="53">
        <f t="shared" si="80"/>
        <v>77006</v>
      </c>
      <c r="J213" s="53">
        <f t="shared" si="81"/>
        <v>82497</v>
      </c>
      <c r="K213" s="50">
        <f t="shared" si="82"/>
        <v>18547</v>
      </c>
      <c r="L213" s="51">
        <f t="shared" si="83"/>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2">
      <c r="A214" s="31" t="s">
        <v>150</v>
      </c>
      <c r="B214" s="1" t="s">
        <v>311</v>
      </c>
      <c r="C214" s="30" t="str">
        <f t="shared" si="84"/>
        <v>LA England - Bedford</v>
      </c>
      <c r="D214" s="51">
        <f t="shared" si="75"/>
        <v>6878</v>
      </c>
      <c r="E214" s="51">
        <f t="shared" si="76"/>
        <v>25005</v>
      </c>
      <c r="F214" s="52">
        <f t="shared" si="77"/>
        <v>187466</v>
      </c>
      <c r="G214" s="52">
        <f t="shared" si="78"/>
        <v>92103</v>
      </c>
      <c r="H214" s="53">
        <f t="shared" si="79"/>
        <v>95363</v>
      </c>
      <c r="I214" s="53">
        <f t="shared" si="80"/>
        <v>70367</v>
      </c>
      <c r="J214" s="53">
        <f t="shared" si="81"/>
        <v>74766</v>
      </c>
      <c r="K214" s="50">
        <f t="shared" si="82"/>
        <v>21736</v>
      </c>
      <c r="L214" s="51">
        <f t="shared" si="83"/>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2">
      <c r="A215" s="31" t="s">
        <v>150</v>
      </c>
      <c r="B215" s="1" t="s">
        <v>312</v>
      </c>
      <c r="C215" s="30" t="str">
        <f t="shared" si="84"/>
        <v>LA England - Bexley</v>
      </c>
      <c r="D215" s="51">
        <f t="shared" si="75"/>
        <v>9380</v>
      </c>
      <c r="E215" s="51">
        <f t="shared" si="76"/>
        <v>33902</v>
      </c>
      <c r="F215" s="52">
        <f t="shared" si="77"/>
        <v>247835</v>
      </c>
      <c r="G215" s="52">
        <f t="shared" si="78"/>
        <v>119290</v>
      </c>
      <c r="H215" s="53">
        <f t="shared" si="79"/>
        <v>128545</v>
      </c>
      <c r="I215" s="53">
        <f t="shared" si="80"/>
        <v>90112</v>
      </c>
      <c r="J215" s="53">
        <f t="shared" si="81"/>
        <v>100536</v>
      </c>
      <c r="K215" s="50">
        <f t="shared" si="82"/>
        <v>29178</v>
      </c>
      <c r="L215" s="51">
        <f t="shared" si="83"/>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2">
      <c r="A216" s="31" t="s">
        <v>150</v>
      </c>
      <c r="B216" s="1" t="s">
        <v>313</v>
      </c>
      <c r="C216" s="30" t="str">
        <f t="shared" si="84"/>
        <v>LA England - Birmingham</v>
      </c>
      <c r="D216" s="51">
        <f t="shared" si="75"/>
        <v>39524</v>
      </c>
      <c r="E216" s="51">
        <f t="shared" si="76"/>
        <v>131828</v>
      </c>
      <c r="F216" s="52">
        <f t="shared" si="77"/>
        <v>1157603</v>
      </c>
      <c r="G216" s="52">
        <f t="shared" si="78"/>
        <v>569108</v>
      </c>
      <c r="H216" s="53">
        <f t="shared" si="79"/>
        <v>588495</v>
      </c>
      <c r="I216" s="53">
        <f t="shared" si="80"/>
        <v>422246</v>
      </c>
      <c r="J216" s="53">
        <f t="shared" si="81"/>
        <v>447410</v>
      </c>
      <c r="K216" s="50">
        <f t="shared" si="82"/>
        <v>146862</v>
      </c>
      <c r="L216" s="51">
        <f t="shared" si="83"/>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2">
      <c r="A217" s="31" t="s">
        <v>150</v>
      </c>
      <c r="B217" s="1" t="s">
        <v>314</v>
      </c>
      <c r="C217" s="30" t="str">
        <f t="shared" si="84"/>
        <v>LA England - Blaby</v>
      </c>
      <c r="D217" s="51">
        <f t="shared" si="75"/>
        <v>3337</v>
      </c>
      <c r="E217" s="51">
        <f t="shared" si="76"/>
        <v>14555</v>
      </c>
      <c r="F217" s="52">
        <f t="shared" si="77"/>
        <v>104182</v>
      </c>
      <c r="G217" s="52">
        <f t="shared" si="78"/>
        <v>51069</v>
      </c>
      <c r="H217" s="53">
        <f t="shared" si="79"/>
        <v>53113</v>
      </c>
      <c r="I217" s="53">
        <f t="shared" si="80"/>
        <v>39799</v>
      </c>
      <c r="J217" s="53">
        <f t="shared" si="81"/>
        <v>42487</v>
      </c>
      <c r="K217" s="50">
        <f t="shared" si="82"/>
        <v>11270</v>
      </c>
      <c r="L217" s="51">
        <f t="shared" si="83"/>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2">
      <c r="A218" s="31" t="s">
        <v>150</v>
      </c>
      <c r="B218" s="1" t="s">
        <v>315</v>
      </c>
      <c r="C218" s="30" t="str">
        <f t="shared" si="84"/>
        <v>LA England - Blackburn with Darwen</v>
      </c>
      <c r="D218" s="51">
        <f t="shared" si="75"/>
        <v>5392</v>
      </c>
      <c r="E218" s="51">
        <f t="shared" si="76"/>
        <v>19353</v>
      </c>
      <c r="F218" s="52">
        <f t="shared" si="77"/>
        <v>155762</v>
      </c>
      <c r="G218" s="52">
        <f t="shared" si="78"/>
        <v>77331</v>
      </c>
      <c r="H218" s="53">
        <f t="shared" si="79"/>
        <v>78431</v>
      </c>
      <c r="I218" s="53">
        <f t="shared" si="80"/>
        <v>57058</v>
      </c>
      <c r="J218" s="53">
        <f t="shared" si="81"/>
        <v>58704</v>
      </c>
      <c r="K218" s="50">
        <f t="shared" si="82"/>
        <v>20273</v>
      </c>
      <c r="L218" s="51">
        <f t="shared" si="83"/>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2">
      <c r="A219" s="31" t="s">
        <v>150</v>
      </c>
      <c r="B219" s="1" t="s">
        <v>316</v>
      </c>
      <c r="C219" s="30" t="str">
        <f t="shared" si="84"/>
        <v>LA England - Blackpool</v>
      </c>
      <c r="D219" s="51">
        <f t="shared" si="75"/>
        <v>3941</v>
      </c>
      <c r="E219" s="51">
        <f t="shared" si="76"/>
        <v>20255</v>
      </c>
      <c r="F219" s="52">
        <f t="shared" si="77"/>
        <v>141574</v>
      </c>
      <c r="G219" s="52">
        <f t="shared" si="78"/>
        <v>70014</v>
      </c>
      <c r="H219" s="53">
        <f t="shared" si="79"/>
        <v>71560</v>
      </c>
      <c r="I219" s="53">
        <f t="shared" si="80"/>
        <v>55562</v>
      </c>
      <c r="J219" s="53">
        <f t="shared" si="81"/>
        <v>57783</v>
      </c>
      <c r="K219" s="50">
        <f t="shared" si="82"/>
        <v>14452</v>
      </c>
      <c r="L219" s="51">
        <f t="shared" si="83"/>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2">
      <c r="A220" s="31" t="s">
        <v>150</v>
      </c>
      <c r="B220" s="1" t="s">
        <v>317</v>
      </c>
      <c r="C220" s="30" t="str">
        <f t="shared" si="84"/>
        <v>LA England - Bolsover</v>
      </c>
      <c r="D220" s="51">
        <f t="shared" si="75"/>
        <v>2264</v>
      </c>
      <c r="E220" s="51">
        <f t="shared" si="76"/>
        <v>12122</v>
      </c>
      <c r="F220" s="52">
        <f t="shared" si="77"/>
        <v>81553</v>
      </c>
      <c r="G220" s="52">
        <f t="shared" si="78"/>
        <v>40122</v>
      </c>
      <c r="H220" s="53">
        <f t="shared" si="79"/>
        <v>41431</v>
      </c>
      <c r="I220" s="53">
        <f t="shared" si="80"/>
        <v>32064</v>
      </c>
      <c r="J220" s="53">
        <f t="shared" si="81"/>
        <v>33664</v>
      </c>
      <c r="K220" s="50">
        <f t="shared" si="82"/>
        <v>8058</v>
      </c>
      <c r="L220" s="51">
        <f t="shared" si="83"/>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2">
      <c r="A221" s="31" t="s">
        <v>150</v>
      </c>
      <c r="B221" s="1" t="s">
        <v>318</v>
      </c>
      <c r="C221" s="30" t="str">
        <f t="shared" si="84"/>
        <v>LA England - Bolton</v>
      </c>
      <c r="D221" s="51">
        <f t="shared" si="75"/>
        <v>9717</v>
      </c>
      <c r="E221" s="51">
        <f t="shared" si="76"/>
        <v>38513</v>
      </c>
      <c r="F221" s="52">
        <f t="shared" si="77"/>
        <v>298903</v>
      </c>
      <c r="G221" s="52">
        <f t="shared" si="78"/>
        <v>147723</v>
      </c>
      <c r="H221" s="53">
        <f t="shared" si="79"/>
        <v>151180</v>
      </c>
      <c r="I221" s="53">
        <f t="shared" si="80"/>
        <v>110558</v>
      </c>
      <c r="J221" s="53">
        <f t="shared" si="81"/>
        <v>115887</v>
      </c>
      <c r="K221" s="50">
        <f t="shared" si="82"/>
        <v>37165</v>
      </c>
      <c r="L221" s="51">
        <f t="shared" si="83"/>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2">
      <c r="A222" s="31" t="s">
        <v>150</v>
      </c>
      <c r="B222" s="1" t="s">
        <v>319</v>
      </c>
      <c r="C222" s="30" t="str">
        <f t="shared" si="84"/>
        <v>LA England - Boston</v>
      </c>
      <c r="D222" s="51">
        <f t="shared" si="75"/>
        <v>2215</v>
      </c>
      <c r="E222" s="51">
        <f t="shared" si="76"/>
        <v>10101</v>
      </c>
      <c r="F222" s="52">
        <f t="shared" si="77"/>
        <v>70806</v>
      </c>
      <c r="G222" s="52">
        <f t="shared" si="78"/>
        <v>34835</v>
      </c>
      <c r="H222" s="53">
        <f t="shared" si="79"/>
        <v>35971</v>
      </c>
      <c r="I222" s="53">
        <f t="shared" si="80"/>
        <v>27145</v>
      </c>
      <c r="J222" s="53">
        <f t="shared" si="81"/>
        <v>28658</v>
      </c>
      <c r="K222" s="50">
        <f t="shared" si="82"/>
        <v>7690</v>
      </c>
      <c r="L222" s="51">
        <f t="shared" si="83"/>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2">
      <c r="A223" s="31" t="s">
        <v>150</v>
      </c>
      <c r="B223" s="1" t="s">
        <v>320</v>
      </c>
      <c r="C223" s="30" t="str">
        <f t="shared" si="84"/>
        <v>LA England - Bournemouth, Christchurch and Poole</v>
      </c>
      <c r="D223" s="51">
        <f t="shared" si="75"/>
        <v>13470</v>
      </c>
      <c r="E223" s="51">
        <f t="shared" si="76"/>
        <v>53521</v>
      </c>
      <c r="F223" s="52">
        <f t="shared" si="77"/>
        <v>401898</v>
      </c>
      <c r="G223" s="52">
        <f t="shared" si="78"/>
        <v>196127</v>
      </c>
      <c r="H223" s="53">
        <f t="shared" si="79"/>
        <v>205771</v>
      </c>
      <c r="I223" s="53">
        <f t="shared" si="80"/>
        <v>158241</v>
      </c>
      <c r="J223" s="53">
        <f t="shared" si="81"/>
        <v>169802</v>
      </c>
      <c r="K223" s="50">
        <f t="shared" si="82"/>
        <v>37886</v>
      </c>
      <c r="L223" s="51">
        <f t="shared" si="83"/>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2">
      <c r="A224" s="31" t="s">
        <v>150</v>
      </c>
      <c r="B224" s="1" t="s">
        <v>321</v>
      </c>
      <c r="C224" s="30" t="str">
        <f t="shared" si="84"/>
        <v>LA England - Bracknell Forest</v>
      </c>
      <c r="D224" s="51">
        <f t="shared" si="75"/>
        <v>4976</v>
      </c>
      <c r="E224" s="51">
        <f t="shared" si="76"/>
        <v>17604</v>
      </c>
      <c r="F224" s="52">
        <f t="shared" si="77"/>
        <v>126881</v>
      </c>
      <c r="G224" s="52">
        <f t="shared" si="78"/>
        <v>62570</v>
      </c>
      <c r="H224" s="53">
        <f t="shared" si="79"/>
        <v>64311</v>
      </c>
      <c r="I224" s="53">
        <f t="shared" si="80"/>
        <v>48115</v>
      </c>
      <c r="J224" s="53">
        <f t="shared" si="81"/>
        <v>50547</v>
      </c>
      <c r="K224" s="50">
        <f t="shared" si="82"/>
        <v>14455</v>
      </c>
      <c r="L224" s="51">
        <f t="shared" si="83"/>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2">
      <c r="A225" s="31" t="s">
        <v>150</v>
      </c>
      <c r="B225" s="1" t="s">
        <v>322</v>
      </c>
      <c r="C225" s="30" t="str">
        <f t="shared" si="84"/>
        <v>LA England - Bradford</v>
      </c>
      <c r="D225" s="51">
        <f t="shared" si="75"/>
        <v>19139</v>
      </c>
      <c r="E225" s="51">
        <f t="shared" si="76"/>
        <v>67907</v>
      </c>
      <c r="F225" s="52">
        <f t="shared" si="77"/>
        <v>552644</v>
      </c>
      <c r="G225" s="52">
        <f t="shared" si="78"/>
        <v>271181</v>
      </c>
      <c r="H225" s="53">
        <f t="shared" si="79"/>
        <v>281463</v>
      </c>
      <c r="I225" s="53">
        <f t="shared" si="80"/>
        <v>199672</v>
      </c>
      <c r="J225" s="53">
        <f t="shared" si="81"/>
        <v>212039</v>
      </c>
      <c r="K225" s="50">
        <f t="shared" si="82"/>
        <v>71509</v>
      </c>
      <c r="L225" s="51">
        <f t="shared" si="83"/>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2">
      <c r="A226" s="31" t="s">
        <v>150</v>
      </c>
      <c r="B226" s="1" t="s">
        <v>323</v>
      </c>
      <c r="C226" s="30" t="str">
        <f t="shared" si="84"/>
        <v>LA England - Braintree</v>
      </c>
      <c r="D226" s="51">
        <f t="shared" si="75"/>
        <v>4961</v>
      </c>
      <c r="E226" s="51">
        <f t="shared" si="76"/>
        <v>22685</v>
      </c>
      <c r="F226" s="52">
        <f t="shared" si="77"/>
        <v>157681</v>
      </c>
      <c r="G226" s="52">
        <f t="shared" si="78"/>
        <v>77152</v>
      </c>
      <c r="H226" s="53">
        <f t="shared" si="79"/>
        <v>80529</v>
      </c>
      <c r="I226" s="53">
        <f t="shared" si="80"/>
        <v>60374</v>
      </c>
      <c r="J226" s="53">
        <f t="shared" si="81"/>
        <v>64608</v>
      </c>
      <c r="K226" s="50">
        <f t="shared" si="82"/>
        <v>16778</v>
      </c>
      <c r="L226" s="51">
        <f t="shared" si="83"/>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2">
      <c r="A227" s="31" t="s">
        <v>150</v>
      </c>
      <c r="B227" s="1" t="s">
        <v>324</v>
      </c>
      <c r="C227" s="30" t="str">
        <f t="shared" si="84"/>
        <v>LA England - Breckland</v>
      </c>
      <c r="D227" s="51">
        <f t="shared" si="75"/>
        <v>4082</v>
      </c>
      <c r="E227" s="51">
        <f t="shared" si="76"/>
        <v>20640</v>
      </c>
      <c r="F227" s="52">
        <f t="shared" si="77"/>
        <v>143479</v>
      </c>
      <c r="G227" s="52">
        <f t="shared" si="78"/>
        <v>71134</v>
      </c>
      <c r="H227" s="53">
        <f t="shared" si="79"/>
        <v>72345</v>
      </c>
      <c r="I227" s="53">
        <f t="shared" si="80"/>
        <v>57320</v>
      </c>
      <c r="J227" s="53">
        <f t="shared" si="81"/>
        <v>59417</v>
      </c>
      <c r="K227" s="50">
        <f t="shared" si="82"/>
        <v>13814</v>
      </c>
      <c r="L227" s="51">
        <f t="shared" si="83"/>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2">
      <c r="A228" s="31" t="s">
        <v>150</v>
      </c>
      <c r="B228" s="1" t="s">
        <v>325</v>
      </c>
      <c r="C228" s="30" t="str">
        <f t="shared" si="84"/>
        <v>LA England - Brent</v>
      </c>
      <c r="D228" s="51">
        <f t="shared" si="75"/>
        <v>12975</v>
      </c>
      <c r="E228" s="51">
        <f t="shared" si="76"/>
        <v>44141</v>
      </c>
      <c r="F228" s="52">
        <f t="shared" si="77"/>
        <v>341221</v>
      </c>
      <c r="G228" s="52">
        <f t="shared" si="78"/>
        <v>167159</v>
      </c>
      <c r="H228" s="53">
        <f t="shared" si="79"/>
        <v>174062</v>
      </c>
      <c r="I228" s="53">
        <f t="shared" si="80"/>
        <v>129562</v>
      </c>
      <c r="J228" s="53">
        <f t="shared" si="81"/>
        <v>138409</v>
      </c>
      <c r="K228" s="50">
        <f t="shared" si="82"/>
        <v>37597</v>
      </c>
      <c r="L228" s="51">
        <f t="shared" si="83"/>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2">
      <c r="A229" s="31" t="s">
        <v>150</v>
      </c>
      <c r="B229" s="1" t="s">
        <v>326</v>
      </c>
      <c r="C229" s="30" t="str">
        <f t="shared" si="84"/>
        <v>LA England - Brentwood</v>
      </c>
      <c r="D229" s="51">
        <f t="shared" si="75"/>
        <v>2653</v>
      </c>
      <c r="E229" s="51">
        <f t="shared" si="76"/>
        <v>10941</v>
      </c>
      <c r="F229" s="52">
        <f t="shared" si="77"/>
        <v>77332</v>
      </c>
      <c r="G229" s="52">
        <f t="shared" si="78"/>
        <v>37566</v>
      </c>
      <c r="H229" s="53">
        <f t="shared" si="79"/>
        <v>39766</v>
      </c>
      <c r="I229" s="53">
        <f t="shared" si="80"/>
        <v>29134</v>
      </c>
      <c r="J229" s="53">
        <f t="shared" si="81"/>
        <v>31900</v>
      </c>
      <c r="K229" s="50">
        <f t="shared" si="82"/>
        <v>8432</v>
      </c>
      <c r="L229" s="51">
        <f t="shared" si="83"/>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2">
      <c r="A230" s="31" t="s">
        <v>150</v>
      </c>
      <c r="B230" s="1" t="s">
        <v>327</v>
      </c>
      <c r="C230" s="30" t="str">
        <f t="shared" si="84"/>
        <v>LA England - Brighton and Hove</v>
      </c>
      <c r="D230" s="51">
        <f t="shared" si="75"/>
        <v>9800</v>
      </c>
      <c r="E230" s="51">
        <f t="shared" si="76"/>
        <v>37674</v>
      </c>
      <c r="F230" s="52">
        <f t="shared" si="77"/>
        <v>277965</v>
      </c>
      <c r="G230" s="52">
        <f t="shared" si="78"/>
        <v>136030</v>
      </c>
      <c r="H230" s="53">
        <f t="shared" si="79"/>
        <v>141935</v>
      </c>
      <c r="I230" s="53">
        <f t="shared" si="80"/>
        <v>112188</v>
      </c>
      <c r="J230" s="53">
        <f t="shared" si="81"/>
        <v>118923</v>
      </c>
      <c r="K230" s="50">
        <f t="shared" si="82"/>
        <v>23842</v>
      </c>
      <c r="L230" s="51">
        <f t="shared" si="83"/>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2">
      <c r="A231" s="31" t="s">
        <v>150</v>
      </c>
      <c r="B231" s="1" t="s">
        <v>328</v>
      </c>
      <c r="C231" s="30" t="str">
        <f t="shared" si="84"/>
        <v>LA England - Bristol, City of</v>
      </c>
      <c r="D231" s="51">
        <f t="shared" si="75"/>
        <v>15872</v>
      </c>
      <c r="E231" s="51">
        <f t="shared" si="76"/>
        <v>50973</v>
      </c>
      <c r="F231" s="52">
        <f t="shared" si="77"/>
        <v>479024</v>
      </c>
      <c r="G231" s="52">
        <f t="shared" si="78"/>
        <v>238161</v>
      </c>
      <c r="H231" s="53">
        <f t="shared" si="79"/>
        <v>240863</v>
      </c>
      <c r="I231" s="53">
        <f t="shared" si="80"/>
        <v>191394</v>
      </c>
      <c r="J231" s="53">
        <f t="shared" si="81"/>
        <v>196041</v>
      </c>
      <c r="K231" s="50">
        <f t="shared" si="82"/>
        <v>46767</v>
      </c>
      <c r="L231" s="51">
        <f t="shared" si="83"/>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2">
      <c r="A232" s="31" t="s">
        <v>150</v>
      </c>
      <c r="B232" s="1" t="s">
        <v>329</v>
      </c>
      <c r="C232" s="30" t="str">
        <f t="shared" si="84"/>
        <v>LA England - Broadland</v>
      </c>
      <c r="D232" s="51">
        <f t="shared" si="75"/>
        <v>4151</v>
      </c>
      <c r="E232" s="51">
        <f t="shared" si="76"/>
        <v>19944</v>
      </c>
      <c r="F232" s="52">
        <f t="shared" si="77"/>
        <v>133872</v>
      </c>
      <c r="G232" s="52">
        <f t="shared" si="78"/>
        <v>65230</v>
      </c>
      <c r="H232" s="53">
        <f t="shared" si="79"/>
        <v>68642</v>
      </c>
      <c r="I232" s="53">
        <f t="shared" si="80"/>
        <v>52699</v>
      </c>
      <c r="J232" s="53">
        <f t="shared" si="81"/>
        <v>56778</v>
      </c>
      <c r="K232" s="50">
        <f t="shared" si="82"/>
        <v>12531</v>
      </c>
      <c r="L232" s="51">
        <f t="shared" si="83"/>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2">
      <c r="A233" s="31" t="s">
        <v>150</v>
      </c>
      <c r="B233" s="1" t="s">
        <v>330</v>
      </c>
      <c r="C233" s="30" t="str">
        <f t="shared" si="84"/>
        <v>LA England - Bromley</v>
      </c>
      <c r="D233" s="51">
        <f t="shared" si="75"/>
        <v>13603</v>
      </c>
      <c r="E233" s="51">
        <f t="shared" si="76"/>
        <v>47568</v>
      </c>
      <c r="F233" s="52">
        <f t="shared" si="77"/>
        <v>329578</v>
      </c>
      <c r="G233" s="52">
        <f t="shared" si="78"/>
        <v>157924</v>
      </c>
      <c r="H233" s="53">
        <f t="shared" si="79"/>
        <v>171654</v>
      </c>
      <c r="I233" s="53">
        <f t="shared" si="80"/>
        <v>120654</v>
      </c>
      <c r="J233" s="53">
        <f t="shared" si="81"/>
        <v>136398</v>
      </c>
      <c r="K233" s="50">
        <f t="shared" si="82"/>
        <v>37270</v>
      </c>
      <c r="L233" s="51">
        <f t="shared" si="83"/>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2">
      <c r="A234" s="31" t="s">
        <v>150</v>
      </c>
      <c r="B234" s="1" t="s">
        <v>331</v>
      </c>
      <c r="C234" s="30" t="str">
        <f t="shared" si="84"/>
        <v>LA England - Bromsgrove</v>
      </c>
      <c r="D234" s="51">
        <f t="shared" si="75"/>
        <v>3187</v>
      </c>
      <c r="E234" s="51">
        <f t="shared" si="76"/>
        <v>14775</v>
      </c>
      <c r="F234" s="52">
        <f t="shared" si="77"/>
        <v>100076</v>
      </c>
      <c r="G234" s="52">
        <f t="shared" si="78"/>
        <v>48813</v>
      </c>
      <c r="H234" s="53">
        <f t="shared" si="79"/>
        <v>51263</v>
      </c>
      <c r="I234" s="53">
        <f t="shared" si="80"/>
        <v>38152</v>
      </c>
      <c r="J234" s="53">
        <f t="shared" si="81"/>
        <v>41141</v>
      </c>
      <c r="K234" s="50">
        <f t="shared" si="82"/>
        <v>10661</v>
      </c>
      <c r="L234" s="51">
        <f t="shared" si="83"/>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2">
      <c r="A235" s="31" t="s">
        <v>150</v>
      </c>
      <c r="B235" s="1" t="s">
        <v>332</v>
      </c>
      <c r="C235" s="30" t="str">
        <f t="shared" si="84"/>
        <v>LA England - Broxbourne</v>
      </c>
      <c r="D235" s="51">
        <f t="shared" si="75"/>
        <v>3573</v>
      </c>
      <c r="E235" s="51">
        <f t="shared" si="76"/>
        <v>13734</v>
      </c>
      <c r="F235" s="52">
        <f t="shared" si="77"/>
        <v>99103</v>
      </c>
      <c r="G235" s="52">
        <f t="shared" si="78"/>
        <v>47849</v>
      </c>
      <c r="H235" s="53">
        <f t="shared" si="79"/>
        <v>51254</v>
      </c>
      <c r="I235" s="53">
        <f t="shared" si="80"/>
        <v>36590</v>
      </c>
      <c r="J235" s="53">
        <f t="shared" si="81"/>
        <v>40279</v>
      </c>
      <c r="K235" s="50">
        <f t="shared" si="82"/>
        <v>11259</v>
      </c>
      <c r="L235" s="51">
        <f t="shared" si="83"/>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2">
      <c r="A236" s="31" t="s">
        <v>150</v>
      </c>
      <c r="B236" s="1" t="s">
        <v>333</v>
      </c>
      <c r="C236" s="30" t="str">
        <f t="shared" si="84"/>
        <v>LA England - Broxtowe</v>
      </c>
      <c r="D236" s="51">
        <f t="shared" si="75"/>
        <v>3279</v>
      </c>
      <c r="E236" s="51">
        <f t="shared" si="76"/>
        <v>15403</v>
      </c>
      <c r="F236" s="52">
        <f t="shared" si="77"/>
        <v>112113</v>
      </c>
      <c r="G236" s="52">
        <f t="shared" si="78"/>
        <v>55101</v>
      </c>
      <c r="H236" s="53">
        <f t="shared" si="79"/>
        <v>57012</v>
      </c>
      <c r="I236" s="53">
        <f t="shared" si="80"/>
        <v>44396</v>
      </c>
      <c r="J236" s="53">
        <f t="shared" si="81"/>
        <v>46922</v>
      </c>
      <c r="K236" s="50">
        <f t="shared" si="82"/>
        <v>10705</v>
      </c>
      <c r="L236" s="51">
        <f t="shared" si="83"/>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2">
      <c r="A237" s="31" t="s">
        <v>150</v>
      </c>
      <c r="B237" s="1" t="s">
        <v>334</v>
      </c>
      <c r="C237" s="30" t="str">
        <f t="shared" si="84"/>
        <v>LA England - Buckinghamshire</v>
      </c>
      <c r="D237" s="51">
        <f t="shared" si="75"/>
        <v>20333</v>
      </c>
      <c r="E237" s="51">
        <f t="shared" si="76"/>
        <v>80116</v>
      </c>
      <c r="F237" s="52">
        <f t="shared" si="77"/>
        <v>560409</v>
      </c>
      <c r="G237" s="52">
        <f t="shared" si="78"/>
        <v>274097</v>
      </c>
      <c r="H237" s="53">
        <f t="shared" si="79"/>
        <v>286312</v>
      </c>
      <c r="I237" s="53">
        <f t="shared" si="80"/>
        <v>209792</v>
      </c>
      <c r="J237" s="53">
        <f t="shared" si="81"/>
        <v>224674</v>
      </c>
      <c r="K237" s="50">
        <f t="shared" si="82"/>
        <v>64305</v>
      </c>
      <c r="L237" s="51">
        <f t="shared" si="83"/>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2">
      <c r="A238" s="31" t="s">
        <v>150</v>
      </c>
      <c r="B238" s="1" t="s">
        <v>335</v>
      </c>
      <c r="C238" s="30" t="str">
        <f t="shared" si="84"/>
        <v>LA England - Burnley</v>
      </c>
      <c r="D238" s="51">
        <f t="shared" si="75"/>
        <v>2925</v>
      </c>
      <c r="E238" s="51">
        <f t="shared" si="76"/>
        <v>12544</v>
      </c>
      <c r="F238" s="52">
        <f t="shared" si="77"/>
        <v>95553</v>
      </c>
      <c r="G238" s="52">
        <f t="shared" si="78"/>
        <v>47238</v>
      </c>
      <c r="H238" s="53">
        <f t="shared" si="79"/>
        <v>48315</v>
      </c>
      <c r="I238" s="53">
        <f t="shared" si="80"/>
        <v>35978</v>
      </c>
      <c r="J238" s="53">
        <f t="shared" si="81"/>
        <v>37600</v>
      </c>
      <c r="K238" s="50">
        <f t="shared" si="82"/>
        <v>11260</v>
      </c>
      <c r="L238" s="51">
        <f t="shared" si="83"/>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2">
      <c r="A239" s="31" t="s">
        <v>150</v>
      </c>
      <c r="B239" s="1" t="s">
        <v>336</v>
      </c>
      <c r="C239" s="30" t="str">
        <f t="shared" si="84"/>
        <v>LA England - Bury</v>
      </c>
      <c r="D239" s="51">
        <f t="shared" si="75"/>
        <v>6472</v>
      </c>
      <c r="E239" s="51">
        <f t="shared" si="76"/>
        <v>26413</v>
      </c>
      <c r="F239" s="52">
        <f t="shared" si="77"/>
        <v>194606</v>
      </c>
      <c r="G239" s="52">
        <f t="shared" si="78"/>
        <v>95665</v>
      </c>
      <c r="H239" s="53">
        <f t="shared" si="79"/>
        <v>98941</v>
      </c>
      <c r="I239" s="53">
        <f t="shared" si="80"/>
        <v>73049</v>
      </c>
      <c r="J239" s="53">
        <f t="shared" si="81"/>
        <v>77651</v>
      </c>
      <c r="K239" s="50">
        <f t="shared" si="82"/>
        <v>22616</v>
      </c>
      <c r="L239" s="51">
        <f t="shared" si="83"/>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2">
      <c r="A240" s="31" t="s">
        <v>150</v>
      </c>
      <c r="B240" s="1" t="s">
        <v>337</v>
      </c>
      <c r="C240" s="30" t="str">
        <f t="shared" si="84"/>
        <v>LA England - Calderdale</v>
      </c>
      <c r="D240" s="51">
        <f t="shared" si="75"/>
        <v>6652</v>
      </c>
      <c r="E240" s="51">
        <f t="shared" si="76"/>
        <v>30480</v>
      </c>
      <c r="F240" s="52">
        <f t="shared" si="77"/>
        <v>207699</v>
      </c>
      <c r="G240" s="52">
        <f t="shared" si="78"/>
        <v>101550</v>
      </c>
      <c r="H240" s="53">
        <f t="shared" si="79"/>
        <v>106149</v>
      </c>
      <c r="I240" s="53">
        <f t="shared" si="80"/>
        <v>78458</v>
      </c>
      <c r="J240" s="53">
        <f t="shared" si="81"/>
        <v>84126</v>
      </c>
      <c r="K240" s="50">
        <f t="shared" si="82"/>
        <v>23092</v>
      </c>
      <c r="L240" s="51">
        <f t="shared" si="83"/>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2">
      <c r="A241" s="31" t="s">
        <v>150</v>
      </c>
      <c r="B241" s="1" t="s">
        <v>338</v>
      </c>
      <c r="C241" s="30" t="str">
        <f t="shared" si="84"/>
        <v>LA England - Cambridge</v>
      </c>
      <c r="D241" s="51">
        <f t="shared" si="75"/>
        <v>4611</v>
      </c>
      <c r="E241" s="51">
        <f t="shared" si="76"/>
        <v>14764</v>
      </c>
      <c r="F241" s="52">
        <f t="shared" si="77"/>
        <v>146995</v>
      </c>
      <c r="G241" s="52">
        <f t="shared" si="78"/>
        <v>73731</v>
      </c>
      <c r="H241" s="53">
        <f t="shared" si="79"/>
        <v>73264</v>
      </c>
      <c r="I241" s="53">
        <f t="shared" si="80"/>
        <v>61594</v>
      </c>
      <c r="J241" s="53">
        <f t="shared" si="81"/>
        <v>61581</v>
      </c>
      <c r="K241" s="50">
        <f t="shared" si="82"/>
        <v>12137</v>
      </c>
      <c r="L241" s="51">
        <f t="shared" si="83"/>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2">
      <c r="A242" s="31" t="s">
        <v>150</v>
      </c>
      <c r="B242" s="1" t="s">
        <v>339</v>
      </c>
      <c r="C242" s="30" t="str">
        <f t="shared" si="84"/>
        <v>LA England - Camden</v>
      </c>
      <c r="D242" s="51">
        <f t="shared" si="75"/>
        <v>7457</v>
      </c>
      <c r="E242" s="51">
        <f t="shared" si="76"/>
        <v>25835</v>
      </c>
      <c r="F242" s="52">
        <f t="shared" si="77"/>
        <v>218049</v>
      </c>
      <c r="G242" s="52">
        <f t="shared" si="78"/>
        <v>102201</v>
      </c>
      <c r="H242" s="53">
        <f t="shared" si="79"/>
        <v>115848</v>
      </c>
      <c r="I242" s="53">
        <f t="shared" si="80"/>
        <v>83918</v>
      </c>
      <c r="J242" s="53">
        <f t="shared" si="81"/>
        <v>97894</v>
      </c>
      <c r="K242" s="50">
        <f t="shared" si="82"/>
        <v>18283</v>
      </c>
      <c r="L242" s="51">
        <f t="shared" si="83"/>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2">
      <c r="A243" s="31" t="s">
        <v>150</v>
      </c>
      <c r="B243" s="1" t="s">
        <v>340</v>
      </c>
      <c r="C243" s="30" t="str">
        <f t="shared" si="84"/>
        <v>LA England - Cannock Chase</v>
      </c>
      <c r="D243" s="51">
        <f t="shared" si="75"/>
        <v>3013</v>
      </c>
      <c r="E243" s="51">
        <f t="shared" si="76"/>
        <v>14311</v>
      </c>
      <c r="F243" s="52">
        <f t="shared" si="77"/>
        <v>101140</v>
      </c>
      <c r="G243" s="52">
        <f t="shared" si="78"/>
        <v>49797</v>
      </c>
      <c r="H243" s="53">
        <f t="shared" si="79"/>
        <v>51343</v>
      </c>
      <c r="I243" s="53">
        <f t="shared" si="80"/>
        <v>39435</v>
      </c>
      <c r="J243" s="53">
        <f t="shared" si="81"/>
        <v>41359</v>
      </c>
      <c r="K243" s="50">
        <f t="shared" si="82"/>
        <v>10362</v>
      </c>
      <c r="L243" s="51">
        <f t="shared" si="83"/>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2">
      <c r="A244" s="31" t="s">
        <v>150</v>
      </c>
      <c r="B244" s="1" t="s">
        <v>341</v>
      </c>
      <c r="C244" s="30" t="str">
        <f t="shared" si="84"/>
        <v>LA England - Canterbury</v>
      </c>
      <c r="D244" s="51">
        <f t="shared" si="75"/>
        <v>4496</v>
      </c>
      <c r="E244" s="51">
        <f t="shared" si="76"/>
        <v>20986</v>
      </c>
      <c r="F244" s="52">
        <f t="shared" si="77"/>
        <v>157550</v>
      </c>
      <c r="G244" s="52">
        <f t="shared" si="78"/>
        <v>75880</v>
      </c>
      <c r="H244" s="53">
        <f t="shared" si="79"/>
        <v>81670</v>
      </c>
      <c r="I244" s="53">
        <f t="shared" si="80"/>
        <v>61050</v>
      </c>
      <c r="J244" s="53">
        <f t="shared" si="81"/>
        <v>67934</v>
      </c>
      <c r="K244" s="50">
        <f t="shared" si="82"/>
        <v>14830</v>
      </c>
      <c r="L244" s="51">
        <f t="shared" si="83"/>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2">
      <c r="A245" s="31" t="s">
        <v>150</v>
      </c>
      <c r="B245" s="1" t="s">
        <v>342</v>
      </c>
      <c r="C245" s="30" t="str">
        <f t="shared" si="84"/>
        <v>LA England - Castle Point</v>
      </c>
      <c r="D245" s="51">
        <f t="shared" si="75"/>
        <v>2614</v>
      </c>
      <c r="E245" s="51">
        <f t="shared" si="76"/>
        <v>12553</v>
      </c>
      <c r="F245" s="52">
        <f t="shared" si="77"/>
        <v>89731</v>
      </c>
      <c r="G245" s="52">
        <f t="shared" si="78"/>
        <v>43479</v>
      </c>
      <c r="H245" s="53">
        <f t="shared" si="79"/>
        <v>46252</v>
      </c>
      <c r="I245" s="53">
        <f t="shared" si="80"/>
        <v>34670</v>
      </c>
      <c r="J245" s="53">
        <f t="shared" si="81"/>
        <v>37830</v>
      </c>
      <c r="K245" s="50">
        <f t="shared" si="82"/>
        <v>8809</v>
      </c>
      <c r="L245" s="51">
        <f t="shared" si="83"/>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2">
      <c r="A246" s="31" t="s">
        <v>150</v>
      </c>
      <c r="B246" s="1" t="s">
        <v>343</v>
      </c>
      <c r="C246" s="30" t="str">
        <f t="shared" si="84"/>
        <v>LA England - Central Bedfordshire</v>
      </c>
      <c r="D246" s="51">
        <f t="shared" si="75"/>
        <v>10477</v>
      </c>
      <c r="E246" s="51">
        <f t="shared" si="76"/>
        <v>41778</v>
      </c>
      <c r="F246" s="52">
        <f t="shared" si="77"/>
        <v>301501</v>
      </c>
      <c r="G246" s="52">
        <f t="shared" si="78"/>
        <v>148473</v>
      </c>
      <c r="H246" s="53">
        <f t="shared" si="79"/>
        <v>153028</v>
      </c>
      <c r="I246" s="53">
        <f t="shared" si="80"/>
        <v>114734</v>
      </c>
      <c r="J246" s="53">
        <f t="shared" si="81"/>
        <v>120825</v>
      </c>
      <c r="K246" s="50">
        <f t="shared" si="82"/>
        <v>33739</v>
      </c>
      <c r="L246" s="51">
        <f t="shared" si="83"/>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2">
      <c r="A247" s="31" t="s">
        <v>150</v>
      </c>
      <c r="B247" s="1" t="s">
        <v>344</v>
      </c>
      <c r="C247" s="30" t="str">
        <f t="shared" si="84"/>
        <v>LA England - Charnwood</v>
      </c>
      <c r="D247" s="51">
        <f t="shared" si="75"/>
        <v>5707</v>
      </c>
      <c r="E247" s="51">
        <f t="shared" si="76"/>
        <v>23886</v>
      </c>
      <c r="F247" s="52">
        <f t="shared" si="77"/>
        <v>184748</v>
      </c>
      <c r="G247" s="52">
        <f t="shared" si="78"/>
        <v>92694</v>
      </c>
      <c r="H247" s="53">
        <f t="shared" si="79"/>
        <v>92054</v>
      </c>
      <c r="I247" s="53">
        <f t="shared" si="80"/>
        <v>74686</v>
      </c>
      <c r="J247" s="53">
        <f t="shared" si="81"/>
        <v>75179</v>
      </c>
      <c r="K247" s="50">
        <f t="shared" si="82"/>
        <v>18008</v>
      </c>
      <c r="L247" s="51">
        <f t="shared" si="83"/>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2">
      <c r="A248" s="31" t="s">
        <v>150</v>
      </c>
      <c r="B248" s="1" t="s">
        <v>345</v>
      </c>
      <c r="C248" s="30" t="str">
        <f t="shared" si="84"/>
        <v>LA England - Chelmsford</v>
      </c>
      <c r="D248" s="51">
        <f t="shared" si="75"/>
        <v>6497</v>
      </c>
      <c r="E248" s="51">
        <f t="shared" si="76"/>
        <v>24946</v>
      </c>
      <c r="F248" s="52">
        <f t="shared" si="77"/>
        <v>183326</v>
      </c>
      <c r="G248" s="52">
        <f t="shared" si="78"/>
        <v>89765</v>
      </c>
      <c r="H248" s="53">
        <f t="shared" si="79"/>
        <v>93561</v>
      </c>
      <c r="I248" s="53">
        <f t="shared" si="80"/>
        <v>69876</v>
      </c>
      <c r="J248" s="53">
        <f t="shared" si="81"/>
        <v>74701</v>
      </c>
      <c r="K248" s="50">
        <f t="shared" si="82"/>
        <v>19889</v>
      </c>
      <c r="L248" s="51">
        <f t="shared" si="83"/>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2">
      <c r="A249" s="31" t="s">
        <v>150</v>
      </c>
      <c r="B249" s="1" t="s">
        <v>346</v>
      </c>
      <c r="C249" s="30" t="str">
        <f t="shared" si="84"/>
        <v>LA England - Cheltenham</v>
      </c>
      <c r="D249" s="51">
        <f t="shared" si="75"/>
        <v>3968</v>
      </c>
      <c r="E249" s="51">
        <f t="shared" si="76"/>
        <v>15729</v>
      </c>
      <c r="F249" s="52">
        <f t="shared" si="77"/>
        <v>119434</v>
      </c>
      <c r="G249" s="52">
        <f t="shared" si="78"/>
        <v>58454</v>
      </c>
      <c r="H249" s="53">
        <f t="shared" si="79"/>
        <v>60980</v>
      </c>
      <c r="I249" s="53">
        <f t="shared" si="80"/>
        <v>46806</v>
      </c>
      <c r="J249" s="53">
        <f t="shared" si="81"/>
        <v>49231</v>
      </c>
      <c r="K249" s="50">
        <f t="shared" si="82"/>
        <v>11648</v>
      </c>
      <c r="L249" s="51">
        <f t="shared" si="83"/>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2">
      <c r="A250" s="31" t="s">
        <v>150</v>
      </c>
      <c r="B250" s="1" t="s">
        <v>347</v>
      </c>
      <c r="C250" s="30" t="str">
        <f t="shared" si="84"/>
        <v>LA England - Cherwell</v>
      </c>
      <c r="D250" s="51">
        <f t="shared" si="75"/>
        <v>5682</v>
      </c>
      <c r="E250" s="51">
        <f t="shared" si="76"/>
        <v>22440</v>
      </c>
      <c r="F250" s="52">
        <f t="shared" si="77"/>
        <v>164155</v>
      </c>
      <c r="G250" s="52">
        <f t="shared" si="78"/>
        <v>81428</v>
      </c>
      <c r="H250" s="53">
        <f t="shared" si="79"/>
        <v>82727</v>
      </c>
      <c r="I250" s="53">
        <f t="shared" si="80"/>
        <v>63378</v>
      </c>
      <c r="J250" s="53">
        <f t="shared" si="81"/>
        <v>65706</v>
      </c>
      <c r="K250" s="50">
        <f t="shared" si="82"/>
        <v>18050</v>
      </c>
      <c r="L250" s="51">
        <f t="shared" si="83"/>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2">
      <c r="A251" s="31" t="s">
        <v>150</v>
      </c>
      <c r="B251" s="1" t="s">
        <v>348</v>
      </c>
      <c r="C251" s="30" t="str">
        <f t="shared" si="84"/>
        <v>LA England - Cheshire East</v>
      </c>
      <c r="D251" s="51">
        <f t="shared" si="75"/>
        <v>12516</v>
      </c>
      <c r="E251" s="51">
        <f t="shared" si="76"/>
        <v>60161</v>
      </c>
      <c r="F251" s="52">
        <f t="shared" si="77"/>
        <v>406527</v>
      </c>
      <c r="G251" s="52">
        <f t="shared" si="78"/>
        <v>199222</v>
      </c>
      <c r="H251" s="53">
        <f t="shared" si="79"/>
        <v>207305</v>
      </c>
      <c r="I251" s="53">
        <f t="shared" si="80"/>
        <v>157899</v>
      </c>
      <c r="J251" s="53">
        <f t="shared" si="81"/>
        <v>168447</v>
      </c>
      <c r="K251" s="50">
        <f t="shared" si="82"/>
        <v>41323</v>
      </c>
      <c r="L251" s="51">
        <f t="shared" si="83"/>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2">
      <c r="A252" s="31" t="s">
        <v>150</v>
      </c>
      <c r="B252" s="1" t="s">
        <v>349</v>
      </c>
      <c r="C252" s="30" t="str">
        <f t="shared" si="84"/>
        <v>LA England - Cheshire West and Chester</v>
      </c>
      <c r="D252" s="51">
        <f t="shared" si="75"/>
        <v>11303</v>
      </c>
      <c r="E252" s="51">
        <f t="shared" si="76"/>
        <v>52345</v>
      </c>
      <c r="F252" s="52">
        <f t="shared" si="77"/>
        <v>361694</v>
      </c>
      <c r="G252" s="52">
        <f t="shared" si="78"/>
        <v>176807</v>
      </c>
      <c r="H252" s="53">
        <f t="shared" si="79"/>
        <v>184887</v>
      </c>
      <c r="I252" s="53">
        <f t="shared" si="80"/>
        <v>140683</v>
      </c>
      <c r="J252" s="53">
        <f t="shared" si="81"/>
        <v>150528</v>
      </c>
      <c r="K252" s="50">
        <f t="shared" si="82"/>
        <v>36124</v>
      </c>
      <c r="L252" s="51">
        <f t="shared" si="83"/>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2">
      <c r="A253" s="31" t="s">
        <v>150</v>
      </c>
      <c r="B253" s="1" t="s">
        <v>350</v>
      </c>
      <c r="C253" s="30" t="str">
        <f t="shared" si="84"/>
        <v>LA England - Chesterfield</v>
      </c>
      <c r="D253" s="51">
        <f t="shared" si="75"/>
        <v>3197</v>
      </c>
      <c r="E253" s="51">
        <f t="shared" si="76"/>
        <v>15252</v>
      </c>
      <c r="F253" s="52">
        <f t="shared" si="77"/>
        <v>104110</v>
      </c>
      <c r="G253" s="52">
        <f t="shared" si="78"/>
        <v>51153</v>
      </c>
      <c r="H253" s="53">
        <f t="shared" si="79"/>
        <v>52957</v>
      </c>
      <c r="I253" s="53">
        <f t="shared" si="80"/>
        <v>41148</v>
      </c>
      <c r="J253" s="53">
        <f t="shared" si="81"/>
        <v>43255</v>
      </c>
      <c r="K253" s="50">
        <f t="shared" si="82"/>
        <v>10005</v>
      </c>
      <c r="L253" s="51">
        <f t="shared" si="83"/>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2">
      <c r="A254" s="31" t="s">
        <v>150</v>
      </c>
      <c r="B254" s="1" t="s">
        <v>351</v>
      </c>
      <c r="C254" s="30" t="str">
        <f t="shared" si="84"/>
        <v>LA England - Chichester</v>
      </c>
      <c r="D254" s="51">
        <f t="shared" si="75"/>
        <v>3511</v>
      </c>
      <c r="E254" s="51">
        <f t="shared" si="76"/>
        <v>18772</v>
      </c>
      <c r="F254" s="52">
        <f t="shared" si="77"/>
        <v>126103</v>
      </c>
      <c r="G254" s="52">
        <f t="shared" si="78"/>
        <v>60354</v>
      </c>
      <c r="H254" s="53">
        <f t="shared" si="79"/>
        <v>65749</v>
      </c>
      <c r="I254" s="53">
        <f t="shared" si="80"/>
        <v>49139</v>
      </c>
      <c r="J254" s="53">
        <f t="shared" si="81"/>
        <v>54852</v>
      </c>
      <c r="K254" s="50">
        <f t="shared" si="82"/>
        <v>11215</v>
      </c>
      <c r="L254" s="51">
        <f t="shared" si="83"/>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2">
      <c r="A255" s="31" t="s">
        <v>150</v>
      </c>
      <c r="B255" s="1" t="s">
        <v>352</v>
      </c>
      <c r="C255" s="30" t="str">
        <f t="shared" si="84"/>
        <v>LA England - Chorley</v>
      </c>
      <c r="D255" s="51">
        <f t="shared" si="75"/>
        <v>3739</v>
      </c>
      <c r="E255" s="51">
        <f t="shared" si="76"/>
        <v>17155</v>
      </c>
      <c r="F255" s="52">
        <f t="shared" si="77"/>
        <v>118624</v>
      </c>
      <c r="G255" s="52">
        <f t="shared" si="78"/>
        <v>59153</v>
      </c>
      <c r="H255" s="53">
        <f t="shared" si="79"/>
        <v>59471</v>
      </c>
      <c r="I255" s="53">
        <f t="shared" si="80"/>
        <v>46900</v>
      </c>
      <c r="J255" s="53">
        <f t="shared" si="81"/>
        <v>47838</v>
      </c>
      <c r="K255" s="50">
        <f t="shared" si="82"/>
        <v>12253</v>
      </c>
      <c r="L255" s="51">
        <f t="shared" si="83"/>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2">
      <c r="A256" s="31" t="s">
        <v>150</v>
      </c>
      <c r="B256" s="1" t="s">
        <v>353</v>
      </c>
      <c r="C256" s="30" t="str">
        <f t="shared" si="84"/>
        <v>LA England - City of London</v>
      </c>
      <c r="D256" s="51">
        <f t="shared" si="75"/>
        <v>274</v>
      </c>
      <c r="E256" s="51">
        <f t="shared" si="76"/>
        <v>934</v>
      </c>
      <c r="F256" s="52">
        <f t="shared" si="77"/>
        <v>10847</v>
      </c>
      <c r="G256" s="52">
        <f t="shared" si="78"/>
        <v>6061</v>
      </c>
      <c r="H256" s="53">
        <f t="shared" si="79"/>
        <v>4786</v>
      </c>
      <c r="I256" s="53">
        <f t="shared" si="80"/>
        <v>5754</v>
      </c>
      <c r="J256" s="53">
        <f t="shared" si="81"/>
        <v>4502</v>
      </c>
      <c r="K256" s="50">
        <f t="shared" si="82"/>
        <v>307</v>
      </c>
      <c r="L256" s="51">
        <f t="shared" si="83"/>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2">
      <c r="A257" s="31" t="s">
        <v>150</v>
      </c>
      <c r="B257" s="1" t="s">
        <v>354</v>
      </c>
      <c r="C257" s="30" t="str">
        <f t="shared" si="84"/>
        <v>LA England - Colchester</v>
      </c>
      <c r="D257" s="51">
        <f t="shared" si="75"/>
        <v>6699</v>
      </c>
      <c r="E257" s="51">
        <f t="shared" si="76"/>
        <v>25224</v>
      </c>
      <c r="F257" s="52">
        <f t="shared" si="77"/>
        <v>194394</v>
      </c>
      <c r="G257" s="52">
        <f t="shared" si="78"/>
        <v>95293</v>
      </c>
      <c r="H257" s="53">
        <f t="shared" si="79"/>
        <v>99101</v>
      </c>
      <c r="I257" s="53">
        <f t="shared" si="80"/>
        <v>74111</v>
      </c>
      <c r="J257" s="53">
        <f t="shared" si="81"/>
        <v>78923</v>
      </c>
      <c r="K257" s="50">
        <f t="shared" si="82"/>
        <v>21182</v>
      </c>
      <c r="L257" s="51">
        <f t="shared" si="83"/>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2">
      <c r="A258" s="31" t="s">
        <v>150</v>
      </c>
      <c r="B258" s="1" t="s">
        <v>355</v>
      </c>
      <c r="C258" s="30" t="str">
        <f t="shared" si="84"/>
        <v>LA England - Cornwall</v>
      </c>
      <c r="D258" s="51">
        <f t="shared" si="75"/>
        <v>16504</v>
      </c>
      <c r="E258" s="51">
        <f t="shared" si="76"/>
        <v>86733</v>
      </c>
      <c r="F258" s="52">
        <f t="shared" si="77"/>
        <v>575413</v>
      </c>
      <c r="G258" s="52">
        <f t="shared" si="78"/>
        <v>279238</v>
      </c>
      <c r="H258" s="53">
        <f t="shared" si="79"/>
        <v>296175</v>
      </c>
      <c r="I258" s="53">
        <f t="shared" si="80"/>
        <v>225159</v>
      </c>
      <c r="J258" s="53">
        <f t="shared" si="81"/>
        <v>244854</v>
      </c>
      <c r="K258" s="50">
        <f t="shared" si="82"/>
        <v>54079</v>
      </c>
      <c r="L258" s="51">
        <f t="shared" si="83"/>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2">
      <c r="A259" s="31" t="s">
        <v>150</v>
      </c>
      <c r="B259" s="1" t="s">
        <v>356</v>
      </c>
      <c r="C259" s="30" t="str">
        <f t="shared" si="84"/>
        <v>LA England - Cotswold</v>
      </c>
      <c r="D259" s="51">
        <f t="shared" si="75"/>
        <v>2786</v>
      </c>
      <c r="E259" s="51">
        <f t="shared" si="76"/>
        <v>14547</v>
      </c>
      <c r="F259" s="52">
        <f t="shared" si="77"/>
        <v>91311</v>
      </c>
      <c r="G259" s="52">
        <f t="shared" si="78"/>
        <v>43939</v>
      </c>
      <c r="H259" s="53">
        <f t="shared" si="79"/>
        <v>47372</v>
      </c>
      <c r="I259" s="53">
        <f t="shared" si="80"/>
        <v>35638</v>
      </c>
      <c r="J259" s="53">
        <f t="shared" si="81"/>
        <v>39204</v>
      </c>
      <c r="K259" s="50">
        <f t="shared" si="82"/>
        <v>8301</v>
      </c>
      <c r="L259" s="51">
        <f t="shared" si="83"/>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2">
      <c r="A260" s="31" t="s">
        <v>150</v>
      </c>
      <c r="B260" s="1" t="s">
        <v>357</v>
      </c>
      <c r="C260" s="30" t="str">
        <f t="shared" si="84"/>
        <v>LA England - County Durham</v>
      </c>
      <c r="D260" s="51">
        <f t="shared" si="75"/>
        <v>15672</v>
      </c>
      <c r="E260" s="51">
        <f t="shared" si="76"/>
        <v>76455</v>
      </c>
      <c r="F260" s="52">
        <f t="shared" si="77"/>
        <v>528127</v>
      </c>
      <c r="G260" s="52">
        <f t="shared" si="78"/>
        <v>257850</v>
      </c>
      <c r="H260" s="53">
        <f t="shared" si="79"/>
        <v>270277</v>
      </c>
      <c r="I260" s="53">
        <f t="shared" si="80"/>
        <v>206649</v>
      </c>
      <c r="J260" s="53">
        <f t="shared" si="81"/>
        <v>221937</v>
      </c>
      <c r="K260" s="50">
        <f t="shared" si="82"/>
        <v>51201</v>
      </c>
      <c r="L260" s="51">
        <f t="shared" si="83"/>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2">
      <c r="A261" s="31" t="s">
        <v>150</v>
      </c>
      <c r="B261" s="1" t="s">
        <v>358</v>
      </c>
      <c r="C261" s="30" t="str">
        <f t="shared" si="84"/>
        <v>LA England - Coventry</v>
      </c>
      <c r="D261" s="51">
        <f t="shared" si="75"/>
        <v>11440</v>
      </c>
      <c r="E261" s="51">
        <f t="shared" si="76"/>
        <v>40021</v>
      </c>
      <c r="F261" s="52">
        <f t="shared" si="77"/>
        <v>355600</v>
      </c>
      <c r="G261" s="52">
        <f t="shared" si="78"/>
        <v>178537</v>
      </c>
      <c r="H261" s="53">
        <f t="shared" si="79"/>
        <v>177063</v>
      </c>
      <c r="I261" s="53">
        <f t="shared" si="80"/>
        <v>138071</v>
      </c>
      <c r="J261" s="53">
        <f t="shared" si="81"/>
        <v>138582</v>
      </c>
      <c r="K261" s="50">
        <f t="shared" si="82"/>
        <v>40466</v>
      </c>
      <c r="L261" s="51">
        <f t="shared" si="83"/>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2">
      <c r="A262" s="31" t="s">
        <v>150</v>
      </c>
      <c r="B262" s="1" t="s">
        <v>359</v>
      </c>
      <c r="C262" s="30" t="str">
        <f t="shared" si="84"/>
        <v>LA England - Crawley</v>
      </c>
      <c r="D262" s="51">
        <f t="shared" si="75"/>
        <v>4684</v>
      </c>
      <c r="E262" s="51">
        <f t="shared" si="76"/>
        <v>14860</v>
      </c>
      <c r="F262" s="52">
        <f t="shared" si="77"/>
        <v>119509</v>
      </c>
      <c r="G262" s="52">
        <f t="shared" si="78"/>
        <v>59616</v>
      </c>
      <c r="H262" s="53">
        <f t="shared" si="79"/>
        <v>59893</v>
      </c>
      <c r="I262" s="53">
        <f t="shared" si="80"/>
        <v>44909</v>
      </c>
      <c r="J262" s="53">
        <f t="shared" si="81"/>
        <v>46237</v>
      </c>
      <c r="K262" s="50">
        <f t="shared" si="82"/>
        <v>14707</v>
      </c>
      <c r="L262" s="51">
        <f t="shared" si="83"/>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2">
      <c r="A263" s="31" t="s">
        <v>150</v>
      </c>
      <c r="B263" s="1" t="s">
        <v>360</v>
      </c>
      <c r="C263" s="30" t="str">
        <f t="shared" si="84"/>
        <v>LA England - Croydon</v>
      </c>
      <c r="D263" s="51">
        <f t="shared" si="75"/>
        <v>15387</v>
      </c>
      <c r="E263" s="51">
        <f t="shared" si="76"/>
        <v>54070</v>
      </c>
      <c r="F263" s="52">
        <f t="shared" si="77"/>
        <v>392224</v>
      </c>
      <c r="G263" s="52">
        <f t="shared" si="78"/>
        <v>188728</v>
      </c>
      <c r="H263" s="53">
        <f t="shared" si="79"/>
        <v>203496</v>
      </c>
      <c r="I263" s="53">
        <f t="shared" si="80"/>
        <v>142703</v>
      </c>
      <c r="J263" s="53">
        <f t="shared" si="81"/>
        <v>159230</v>
      </c>
      <c r="K263" s="50">
        <f t="shared" si="82"/>
        <v>46025</v>
      </c>
      <c r="L263" s="51">
        <f t="shared" si="83"/>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2">
      <c r="A264" s="31" t="s">
        <v>150</v>
      </c>
      <c r="B264" s="1" t="s">
        <v>774</v>
      </c>
      <c r="C264" s="30" t="str">
        <f t="shared" si="84"/>
        <v>LA England - Cumberland</v>
      </c>
      <c r="D264" s="51">
        <f t="shared" si="75"/>
        <v>7660</v>
      </c>
      <c r="E264" s="51">
        <f t="shared" si="76"/>
        <v>41370</v>
      </c>
      <c r="F264" s="52">
        <f t="shared" si="77"/>
        <v>275390</v>
      </c>
      <c r="G264" s="52">
        <f t="shared" si="78"/>
        <v>135396</v>
      </c>
      <c r="H264" s="53">
        <f t="shared" si="79"/>
        <v>139994</v>
      </c>
      <c r="I264" s="53">
        <f t="shared" si="80"/>
        <v>109085</v>
      </c>
      <c r="J264" s="53">
        <f t="shared" si="81"/>
        <v>114811</v>
      </c>
      <c r="K264" s="50">
        <f t="shared" si="82"/>
        <v>26311</v>
      </c>
      <c r="L264" s="51">
        <f t="shared" si="83"/>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2">
      <c r="A265" s="31" t="s">
        <v>150</v>
      </c>
      <c r="B265" s="1" t="s">
        <v>361</v>
      </c>
      <c r="C265" s="30" t="str">
        <f t="shared" si="84"/>
        <v>LA England - Dacorum</v>
      </c>
      <c r="D265" s="51">
        <f t="shared" ref="D265:D328" si="85">SUM(EN265:ER265)</f>
        <v>5818</v>
      </c>
      <c r="E265" s="51">
        <f t="shared" ref="E265:E328" si="86">SUM(ES265:FM265)</f>
        <v>21678</v>
      </c>
      <c r="F265" s="52">
        <f t="shared" si="77"/>
        <v>156123</v>
      </c>
      <c r="G265" s="52">
        <f t="shared" si="78"/>
        <v>76670</v>
      </c>
      <c r="H265" s="53">
        <f t="shared" si="79"/>
        <v>79453</v>
      </c>
      <c r="I265" s="53">
        <f t="shared" si="80"/>
        <v>58593</v>
      </c>
      <c r="J265" s="53">
        <f t="shared" si="81"/>
        <v>62300</v>
      </c>
      <c r="K265" s="50">
        <f t="shared" si="82"/>
        <v>18077</v>
      </c>
      <c r="L265" s="51">
        <f t="shared" si="83"/>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2">
      <c r="A266" s="31" t="s">
        <v>150</v>
      </c>
      <c r="B266" s="1" t="s">
        <v>362</v>
      </c>
      <c r="C266" s="30" t="str">
        <f t="shared" si="84"/>
        <v>LA England - Darlington</v>
      </c>
      <c r="D266" s="51">
        <f t="shared" si="85"/>
        <v>3466</v>
      </c>
      <c r="E266" s="51">
        <f t="shared" si="86"/>
        <v>15735</v>
      </c>
      <c r="F266" s="52">
        <f t="shared" ref="F266:F329" si="87">G266+H266</f>
        <v>109469</v>
      </c>
      <c r="G266" s="52">
        <f t="shared" ref="G266:G329" si="88">SUM(M266:CY266)</f>
        <v>53627</v>
      </c>
      <c r="H266" s="53">
        <f t="shared" ref="H266:H329" si="89">SUM(CZ266:GL266)</f>
        <v>55842</v>
      </c>
      <c r="I266" s="53">
        <f t="shared" ref="I266:I329" si="90">SUM(AE266:CY266)</f>
        <v>42151</v>
      </c>
      <c r="J266" s="53">
        <f t="shared" ref="J266:J329" si="91">SUM(DR266:GL266)</f>
        <v>44886</v>
      </c>
      <c r="K266" s="50">
        <f t="shared" ref="K266:K329" si="92">SUM(M266:AD266)</f>
        <v>11476</v>
      </c>
      <c r="L266" s="51">
        <f t="shared" ref="L266:L329" si="93">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2">
      <c r="A267" s="31" t="s">
        <v>150</v>
      </c>
      <c r="B267" s="1" t="s">
        <v>363</v>
      </c>
      <c r="C267" s="30" t="str">
        <f t="shared" si="84"/>
        <v>LA England - Dartford</v>
      </c>
      <c r="D267" s="51">
        <f t="shared" si="85"/>
        <v>4715</v>
      </c>
      <c r="E267" s="51">
        <f t="shared" si="86"/>
        <v>14720</v>
      </c>
      <c r="F267" s="52">
        <f t="shared" si="87"/>
        <v>118820</v>
      </c>
      <c r="G267" s="52">
        <f t="shared" si="88"/>
        <v>58067</v>
      </c>
      <c r="H267" s="53">
        <f t="shared" si="89"/>
        <v>60753</v>
      </c>
      <c r="I267" s="53">
        <f t="shared" si="90"/>
        <v>42672</v>
      </c>
      <c r="J267" s="53">
        <f t="shared" si="91"/>
        <v>46289</v>
      </c>
      <c r="K267" s="50">
        <f t="shared" si="92"/>
        <v>15395</v>
      </c>
      <c r="L267" s="51">
        <f t="shared" si="93"/>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2">
      <c r="A268" s="31" t="s">
        <v>150</v>
      </c>
      <c r="B268" s="1" t="s">
        <v>364</v>
      </c>
      <c r="C268" s="30" t="str">
        <f t="shared" ref="C268:C331" si="94">CONCATENATE(A268," - ",B268)</f>
        <v>LA England - Derby</v>
      </c>
      <c r="D268" s="51">
        <f t="shared" si="85"/>
        <v>8702</v>
      </c>
      <c r="E268" s="51">
        <f t="shared" si="86"/>
        <v>32798</v>
      </c>
      <c r="F268" s="52">
        <f t="shared" si="87"/>
        <v>263490</v>
      </c>
      <c r="G268" s="52">
        <f t="shared" si="88"/>
        <v>130912</v>
      </c>
      <c r="H268" s="53">
        <f t="shared" si="89"/>
        <v>132578</v>
      </c>
      <c r="I268" s="53">
        <f t="shared" si="90"/>
        <v>100523</v>
      </c>
      <c r="J268" s="53">
        <f t="shared" si="91"/>
        <v>103556</v>
      </c>
      <c r="K268" s="50">
        <f t="shared" si="92"/>
        <v>30389</v>
      </c>
      <c r="L268" s="51">
        <f t="shared" si="93"/>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2">
      <c r="A269" s="31" t="s">
        <v>150</v>
      </c>
      <c r="B269" s="1" t="s">
        <v>365</v>
      </c>
      <c r="C269" s="30" t="str">
        <f t="shared" si="94"/>
        <v>LA England - Derbyshire Dales</v>
      </c>
      <c r="D269" s="51">
        <f t="shared" si="85"/>
        <v>1881</v>
      </c>
      <c r="E269" s="51">
        <f t="shared" si="86"/>
        <v>12047</v>
      </c>
      <c r="F269" s="52">
        <f t="shared" si="87"/>
        <v>71752</v>
      </c>
      <c r="G269" s="52">
        <f t="shared" si="88"/>
        <v>35013</v>
      </c>
      <c r="H269" s="53">
        <f t="shared" si="89"/>
        <v>36739</v>
      </c>
      <c r="I269" s="53">
        <f t="shared" si="90"/>
        <v>29030</v>
      </c>
      <c r="J269" s="53">
        <f t="shared" si="91"/>
        <v>30777</v>
      </c>
      <c r="K269" s="50">
        <f t="shared" si="92"/>
        <v>5983</v>
      </c>
      <c r="L269" s="51">
        <f t="shared" si="93"/>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2">
      <c r="A270" s="31" t="s">
        <v>150</v>
      </c>
      <c r="B270" s="1" t="s">
        <v>366</v>
      </c>
      <c r="C270" s="30" t="str">
        <f t="shared" si="94"/>
        <v>LA England - Doncaster</v>
      </c>
      <c r="D270" s="51">
        <f t="shared" si="85"/>
        <v>9287</v>
      </c>
      <c r="E270" s="51">
        <f t="shared" si="86"/>
        <v>43011</v>
      </c>
      <c r="F270" s="52">
        <f t="shared" si="87"/>
        <v>311027</v>
      </c>
      <c r="G270" s="52">
        <f t="shared" si="88"/>
        <v>154552</v>
      </c>
      <c r="H270" s="53">
        <f t="shared" si="89"/>
        <v>156475</v>
      </c>
      <c r="I270" s="53">
        <f t="shared" si="90"/>
        <v>121112</v>
      </c>
      <c r="J270" s="53">
        <f t="shared" si="91"/>
        <v>124796</v>
      </c>
      <c r="K270" s="50">
        <f t="shared" si="92"/>
        <v>33440</v>
      </c>
      <c r="L270" s="51">
        <f t="shared" si="93"/>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2">
      <c r="A271" s="31" t="s">
        <v>150</v>
      </c>
      <c r="B271" s="1" t="s">
        <v>296</v>
      </c>
      <c r="C271" s="30" t="str">
        <f t="shared" si="94"/>
        <v>LA England - Dorset</v>
      </c>
      <c r="D271" s="51">
        <f t="shared" si="85"/>
        <v>9966</v>
      </c>
      <c r="E271" s="51">
        <f t="shared" si="86"/>
        <v>58617</v>
      </c>
      <c r="F271" s="52">
        <f t="shared" si="87"/>
        <v>383274</v>
      </c>
      <c r="G271" s="52">
        <f t="shared" si="88"/>
        <v>186117</v>
      </c>
      <c r="H271" s="53">
        <f t="shared" si="89"/>
        <v>197157</v>
      </c>
      <c r="I271" s="53">
        <f t="shared" si="90"/>
        <v>152292</v>
      </c>
      <c r="J271" s="53">
        <f t="shared" si="91"/>
        <v>164879</v>
      </c>
      <c r="K271" s="50">
        <f t="shared" si="92"/>
        <v>33825</v>
      </c>
      <c r="L271" s="51">
        <f t="shared" si="93"/>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2">
      <c r="A272" s="31" t="s">
        <v>150</v>
      </c>
      <c r="B272" s="1" t="s">
        <v>367</v>
      </c>
      <c r="C272" s="30" t="str">
        <f t="shared" si="94"/>
        <v>LA England - Dover</v>
      </c>
      <c r="D272" s="51">
        <f t="shared" si="85"/>
        <v>3353</v>
      </c>
      <c r="E272" s="51">
        <f t="shared" si="86"/>
        <v>17249</v>
      </c>
      <c r="F272" s="52">
        <f t="shared" si="87"/>
        <v>117473</v>
      </c>
      <c r="G272" s="52">
        <f t="shared" si="88"/>
        <v>57217</v>
      </c>
      <c r="H272" s="53">
        <f t="shared" si="89"/>
        <v>60256</v>
      </c>
      <c r="I272" s="53">
        <f t="shared" si="90"/>
        <v>45437</v>
      </c>
      <c r="J272" s="53">
        <f t="shared" si="91"/>
        <v>48936</v>
      </c>
      <c r="K272" s="50">
        <f t="shared" si="92"/>
        <v>11780</v>
      </c>
      <c r="L272" s="51">
        <f t="shared" si="93"/>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2">
      <c r="A273" s="31" t="s">
        <v>150</v>
      </c>
      <c r="B273" s="1" t="s">
        <v>368</v>
      </c>
      <c r="C273" s="30" t="str">
        <f t="shared" si="94"/>
        <v>LA England - Dudley</v>
      </c>
      <c r="D273" s="51">
        <f t="shared" si="85"/>
        <v>9964</v>
      </c>
      <c r="E273" s="51">
        <f t="shared" si="86"/>
        <v>43806</v>
      </c>
      <c r="F273" s="52">
        <f t="shared" si="87"/>
        <v>324969</v>
      </c>
      <c r="G273" s="52">
        <f t="shared" si="88"/>
        <v>159772</v>
      </c>
      <c r="H273" s="53">
        <f t="shared" si="89"/>
        <v>165197</v>
      </c>
      <c r="I273" s="53">
        <f t="shared" si="90"/>
        <v>124462</v>
      </c>
      <c r="J273" s="53">
        <f t="shared" si="91"/>
        <v>131423</v>
      </c>
      <c r="K273" s="50">
        <f t="shared" si="92"/>
        <v>35310</v>
      </c>
      <c r="L273" s="51">
        <f t="shared" si="93"/>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2">
      <c r="A274" s="31" t="s">
        <v>150</v>
      </c>
      <c r="B274" s="1" t="s">
        <v>369</v>
      </c>
      <c r="C274" s="30" t="str">
        <f t="shared" si="94"/>
        <v>LA England - Ealing</v>
      </c>
      <c r="D274" s="51">
        <f t="shared" si="85"/>
        <v>15074</v>
      </c>
      <c r="E274" s="51">
        <f t="shared" si="86"/>
        <v>47822</v>
      </c>
      <c r="F274" s="52">
        <f t="shared" si="87"/>
        <v>369937</v>
      </c>
      <c r="G274" s="52">
        <f t="shared" si="88"/>
        <v>182643</v>
      </c>
      <c r="H274" s="53">
        <f t="shared" si="89"/>
        <v>187294</v>
      </c>
      <c r="I274" s="53">
        <f t="shared" si="90"/>
        <v>141393</v>
      </c>
      <c r="J274" s="53">
        <f t="shared" si="91"/>
        <v>148133</v>
      </c>
      <c r="K274" s="50">
        <f t="shared" si="92"/>
        <v>41250</v>
      </c>
      <c r="L274" s="51">
        <f t="shared" si="93"/>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2">
      <c r="A275" s="31" t="s">
        <v>150</v>
      </c>
      <c r="B275" s="1" t="s">
        <v>370</v>
      </c>
      <c r="C275" s="30" t="str">
        <f t="shared" si="94"/>
        <v>LA England - East Cambridgeshire</v>
      </c>
      <c r="D275" s="51">
        <f t="shared" si="85"/>
        <v>3196</v>
      </c>
      <c r="E275" s="51">
        <f t="shared" si="86"/>
        <v>12955</v>
      </c>
      <c r="F275" s="52">
        <f t="shared" si="87"/>
        <v>89394</v>
      </c>
      <c r="G275" s="52">
        <f t="shared" si="88"/>
        <v>43858</v>
      </c>
      <c r="H275" s="53">
        <f t="shared" si="89"/>
        <v>45536</v>
      </c>
      <c r="I275" s="53">
        <f t="shared" si="90"/>
        <v>34401</v>
      </c>
      <c r="J275" s="53">
        <f t="shared" si="91"/>
        <v>36460</v>
      </c>
      <c r="K275" s="50">
        <f t="shared" si="92"/>
        <v>9457</v>
      </c>
      <c r="L275" s="51">
        <f t="shared" si="93"/>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2">
      <c r="A276" s="31" t="s">
        <v>150</v>
      </c>
      <c r="B276" s="1" t="s">
        <v>371</v>
      </c>
      <c r="C276" s="30" t="str">
        <f t="shared" si="94"/>
        <v>LA England - East Devon</v>
      </c>
      <c r="D276" s="51">
        <f t="shared" si="85"/>
        <v>4116</v>
      </c>
      <c r="E276" s="51">
        <f t="shared" si="86"/>
        <v>22812</v>
      </c>
      <c r="F276" s="52">
        <f t="shared" si="87"/>
        <v>154500</v>
      </c>
      <c r="G276" s="52">
        <f t="shared" si="88"/>
        <v>74554</v>
      </c>
      <c r="H276" s="53">
        <f t="shared" si="89"/>
        <v>79946</v>
      </c>
      <c r="I276" s="53">
        <f t="shared" si="90"/>
        <v>60569</v>
      </c>
      <c r="J276" s="53">
        <f t="shared" si="91"/>
        <v>66733</v>
      </c>
      <c r="K276" s="50">
        <f t="shared" si="92"/>
        <v>13985</v>
      </c>
      <c r="L276" s="51">
        <f t="shared" si="93"/>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2">
      <c r="A277" s="31" t="s">
        <v>150</v>
      </c>
      <c r="B277" s="1" t="s">
        <v>372</v>
      </c>
      <c r="C277" s="30" t="str">
        <f t="shared" si="94"/>
        <v>LA England - East Hampshire</v>
      </c>
      <c r="D277" s="51">
        <f t="shared" si="85"/>
        <v>3972</v>
      </c>
      <c r="E277" s="51">
        <f t="shared" si="86"/>
        <v>19770</v>
      </c>
      <c r="F277" s="52">
        <f t="shared" si="87"/>
        <v>127319</v>
      </c>
      <c r="G277" s="52">
        <f t="shared" si="88"/>
        <v>61855</v>
      </c>
      <c r="H277" s="53">
        <f t="shared" si="89"/>
        <v>65464</v>
      </c>
      <c r="I277" s="53">
        <f t="shared" si="90"/>
        <v>48997</v>
      </c>
      <c r="J277" s="53">
        <f t="shared" si="91"/>
        <v>53169</v>
      </c>
      <c r="K277" s="50">
        <f t="shared" si="92"/>
        <v>12858</v>
      </c>
      <c r="L277" s="51">
        <f t="shared" si="93"/>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2">
      <c r="A278" s="31" t="s">
        <v>150</v>
      </c>
      <c r="B278" s="1" t="s">
        <v>373</v>
      </c>
      <c r="C278" s="30" t="str">
        <f t="shared" si="94"/>
        <v>LA England - East Hertfordshire</v>
      </c>
      <c r="D278" s="51">
        <f t="shared" si="85"/>
        <v>5365</v>
      </c>
      <c r="E278" s="51">
        <f t="shared" si="86"/>
        <v>22339</v>
      </c>
      <c r="F278" s="52">
        <f t="shared" si="87"/>
        <v>151635</v>
      </c>
      <c r="G278" s="52">
        <f t="shared" si="88"/>
        <v>74063</v>
      </c>
      <c r="H278" s="53">
        <f t="shared" si="89"/>
        <v>77572</v>
      </c>
      <c r="I278" s="53">
        <f t="shared" si="90"/>
        <v>57142</v>
      </c>
      <c r="J278" s="53">
        <f t="shared" si="91"/>
        <v>61417</v>
      </c>
      <c r="K278" s="50">
        <f t="shared" si="92"/>
        <v>16921</v>
      </c>
      <c r="L278" s="51">
        <f t="shared" si="93"/>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2">
      <c r="A279" s="31" t="s">
        <v>150</v>
      </c>
      <c r="B279" s="1" t="s">
        <v>374</v>
      </c>
      <c r="C279" s="30" t="str">
        <f t="shared" si="94"/>
        <v>LA England - East Lindsey</v>
      </c>
      <c r="D279" s="51">
        <f t="shared" si="85"/>
        <v>3373</v>
      </c>
      <c r="E279" s="51">
        <f t="shared" si="86"/>
        <v>22848</v>
      </c>
      <c r="F279" s="52">
        <f t="shared" si="87"/>
        <v>144415</v>
      </c>
      <c r="G279" s="52">
        <f t="shared" si="88"/>
        <v>70629</v>
      </c>
      <c r="H279" s="53">
        <f t="shared" si="89"/>
        <v>73786</v>
      </c>
      <c r="I279" s="53">
        <f t="shared" si="90"/>
        <v>58614</v>
      </c>
      <c r="J279" s="53">
        <f t="shared" si="91"/>
        <v>62090</v>
      </c>
      <c r="K279" s="50">
        <f t="shared" si="92"/>
        <v>12015</v>
      </c>
      <c r="L279" s="51">
        <f t="shared" si="93"/>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2">
      <c r="A280" s="31" t="s">
        <v>150</v>
      </c>
      <c r="B280" s="1" t="s">
        <v>375</v>
      </c>
      <c r="C280" s="30" t="str">
        <f t="shared" si="94"/>
        <v>LA England - East Riding of Yorkshire</v>
      </c>
      <c r="D280" s="51">
        <f t="shared" si="85"/>
        <v>9641</v>
      </c>
      <c r="E280" s="51">
        <f t="shared" si="86"/>
        <v>53024</v>
      </c>
      <c r="F280" s="52">
        <f t="shared" si="87"/>
        <v>346309</v>
      </c>
      <c r="G280" s="52">
        <f t="shared" si="88"/>
        <v>169714</v>
      </c>
      <c r="H280" s="53">
        <f t="shared" si="89"/>
        <v>176595</v>
      </c>
      <c r="I280" s="53">
        <f t="shared" si="90"/>
        <v>137683</v>
      </c>
      <c r="J280" s="53">
        <f t="shared" si="91"/>
        <v>146772</v>
      </c>
      <c r="K280" s="50">
        <f t="shared" si="92"/>
        <v>32031</v>
      </c>
      <c r="L280" s="51">
        <f t="shared" si="93"/>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2">
      <c r="A281" s="31" t="s">
        <v>150</v>
      </c>
      <c r="B281" s="1" t="s">
        <v>376</v>
      </c>
      <c r="C281" s="30" t="str">
        <f t="shared" si="94"/>
        <v>LA England - East Staffordshire</v>
      </c>
      <c r="D281" s="51">
        <f t="shared" si="85"/>
        <v>3866</v>
      </c>
      <c r="E281" s="51">
        <f t="shared" si="86"/>
        <v>17388</v>
      </c>
      <c r="F281" s="52">
        <f t="shared" si="87"/>
        <v>125760</v>
      </c>
      <c r="G281" s="52">
        <f t="shared" si="88"/>
        <v>62858</v>
      </c>
      <c r="H281" s="53">
        <f t="shared" si="89"/>
        <v>62902</v>
      </c>
      <c r="I281" s="53">
        <f t="shared" si="90"/>
        <v>49035</v>
      </c>
      <c r="J281" s="53">
        <f t="shared" si="91"/>
        <v>49795</v>
      </c>
      <c r="K281" s="50">
        <f t="shared" si="92"/>
        <v>13823</v>
      </c>
      <c r="L281" s="51">
        <f t="shared" si="93"/>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2">
      <c r="A282" s="31" t="s">
        <v>150</v>
      </c>
      <c r="B282" s="1" t="s">
        <v>377</v>
      </c>
      <c r="C282" s="30" t="str">
        <f t="shared" si="94"/>
        <v>LA England - East Suffolk</v>
      </c>
      <c r="D282" s="51">
        <f t="shared" si="85"/>
        <v>6599</v>
      </c>
      <c r="E282" s="51">
        <f t="shared" si="86"/>
        <v>36915</v>
      </c>
      <c r="F282" s="52">
        <f t="shared" si="87"/>
        <v>247080</v>
      </c>
      <c r="G282" s="52">
        <f t="shared" si="88"/>
        <v>120575</v>
      </c>
      <c r="H282" s="53">
        <f t="shared" si="89"/>
        <v>126505</v>
      </c>
      <c r="I282" s="53">
        <f t="shared" si="90"/>
        <v>97949</v>
      </c>
      <c r="J282" s="53">
        <f t="shared" si="91"/>
        <v>104732</v>
      </c>
      <c r="K282" s="50">
        <f t="shared" si="92"/>
        <v>22626</v>
      </c>
      <c r="L282" s="51">
        <f t="shared" si="93"/>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2">
      <c r="A283" s="31" t="s">
        <v>150</v>
      </c>
      <c r="B283" s="1" t="s">
        <v>378</v>
      </c>
      <c r="C283" s="30" t="str">
        <f t="shared" si="94"/>
        <v>LA England - Eastbourne</v>
      </c>
      <c r="D283" s="51">
        <f t="shared" si="85"/>
        <v>3273</v>
      </c>
      <c r="E283" s="51">
        <f t="shared" si="86"/>
        <v>14365</v>
      </c>
      <c r="F283" s="52">
        <f t="shared" si="87"/>
        <v>102247</v>
      </c>
      <c r="G283" s="52">
        <f t="shared" si="88"/>
        <v>48882</v>
      </c>
      <c r="H283" s="53">
        <f t="shared" si="89"/>
        <v>53365</v>
      </c>
      <c r="I283" s="53">
        <f t="shared" si="90"/>
        <v>38878</v>
      </c>
      <c r="J283" s="53">
        <f t="shared" si="91"/>
        <v>43957</v>
      </c>
      <c r="K283" s="50">
        <f t="shared" si="92"/>
        <v>10004</v>
      </c>
      <c r="L283" s="51">
        <f t="shared" si="93"/>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2">
      <c r="A284" s="31" t="s">
        <v>150</v>
      </c>
      <c r="B284" s="1" t="s">
        <v>379</v>
      </c>
      <c r="C284" s="30" t="str">
        <f t="shared" si="94"/>
        <v>LA England - Eastleigh</v>
      </c>
      <c r="D284" s="51">
        <f t="shared" si="85"/>
        <v>4770</v>
      </c>
      <c r="E284" s="51">
        <f t="shared" si="86"/>
        <v>19104</v>
      </c>
      <c r="F284" s="52">
        <f t="shared" si="87"/>
        <v>138935</v>
      </c>
      <c r="G284" s="52">
        <f t="shared" si="88"/>
        <v>68002</v>
      </c>
      <c r="H284" s="53">
        <f t="shared" si="89"/>
        <v>70933</v>
      </c>
      <c r="I284" s="53">
        <f t="shared" si="90"/>
        <v>52856</v>
      </c>
      <c r="J284" s="53">
        <f t="shared" si="91"/>
        <v>56452</v>
      </c>
      <c r="K284" s="50">
        <f t="shared" si="92"/>
        <v>15146</v>
      </c>
      <c r="L284" s="51">
        <f t="shared" si="93"/>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2">
      <c r="A285" s="31" t="s">
        <v>150</v>
      </c>
      <c r="B285" s="1" t="s">
        <v>380</v>
      </c>
      <c r="C285" s="30" t="str">
        <f t="shared" si="94"/>
        <v>LA England - Elmbridge</v>
      </c>
      <c r="D285" s="51">
        <f t="shared" si="85"/>
        <v>5887</v>
      </c>
      <c r="E285" s="51">
        <f t="shared" si="86"/>
        <v>21076</v>
      </c>
      <c r="F285" s="52">
        <f t="shared" si="87"/>
        <v>140024</v>
      </c>
      <c r="G285" s="52">
        <f t="shared" si="88"/>
        <v>67751</v>
      </c>
      <c r="H285" s="53">
        <f t="shared" si="89"/>
        <v>72273</v>
      </c>
      <c r="I285" s="53">
        <f t="shared" si="90"/>
        <v>50576</v>
      </c>
      <c r="J285" s="53">
        <f t="shared" si="91"/>
        <v>55810</v>
      </c>
      <c r="K285" s="50">
        <f t="shared" si="92"/>
        <v>17175</v>
      </c>
      <c r="L285" s="51">
        <f t="shared" si="93"/>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2">
      <c r="A286" s="31" t="s">
        <v>150</v>
      </c>
      <c r="B286" s="1" t="s">
        <v>381</v>
      </c>
      <c r="C286" s="30" t="str">
        <f t="shared" si="94"/>
        <v>LA England - Enfield</v>
      </c>
      <c r="D286" s="51">
        <f t="shared" si="85"/>
        <v>13421</v>
      </c>
      <c r="E286" s="51">
        <f t="shared" si="86"/>
        <v>45405</v>
      </c>
      <c r="F286" s="52">
        <f t="shared" si="87"/>
        <v>327224</v>
      </c>
      <c r="G286" s="52">
        <f t="shared" si="88"/>
        <v>156122</v>
      </c>
      <c r="H286" s="53">
        <f t="shared" si="89"/>
        <v>171102</v>
      </c>
      <c r="I286" s="53">
        <f t="shared" si="90"/>
        <v>114738</v>
      </c>
      <c r="J286" s="53">
        <f t="shared" si="91"/>
        <v>131447</v>
      </c>
      <c r="K286" s="50">
        <f t="shared" si="92"/>
        <v>41384</v>
      </c>
      <c r="L286" s="51">
        <f t="shared" si="93"/>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2">
      <c r="A287" s="31" t="s">
        <v>150</v>
      </c>
      <c r="B287" s="1" t="s">
        <v>382</v>
      </c>
      <c r="C287" s="30" t="str">
        <f t="shared" si="94"/>
        <v>LA England - Epping Forest</v>
      </c>
      <c r="D287" s="51">
        <f t="shared" si="85"/>
        <v>4710</v>
      </c>
      <c r="E287" s="51">
        <f t="shared" si="86"/>
        <v>19628</v>
      </c>
      <c r="F287" s="52">
        <f t="shared" si="87"/>
        <v>134989</v>
      </c>
      <c r="G287" s="52">
        <f t="shared" si="88"/>
        <v>65377</v>
      </c>
      <c r="H287" s="53">
        <f t="shared" si="89"/>
        <v>69612</v>
      </c>
      <c r="I287" s="53">
        <f t="shared" si="90"/>
        <v>50913</v>
      </c>
      <c r="J287" s="53">
        <f t="shared" si="91"/>
        <v>55877</v>
      </c>
      <c r="K287" s="50">
        <f t="shared" si="92"/>
        <v>14464</v>
      </c>
      <c r="L287" s="51">
        <f t="shared" si="93"/>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2">
      <c r="A288" s="31" t="s">
        <v>150</v>
      </c>
      <c r="B288" s="1" t="s">
        <v>383</v>
      </c>
      <c r="C288" s="30" t="str">
        <f t="shared" si="94"/>
        <v>LA England - Epsom and Ewell</v>
      </c>
      <c r="D288" s="51">
        <f t="shared" si="85"/>
        <v>3332</v>
      </c>
      <c r="E288" s="51">
        <f t="shared" si="86"/>
        <v>11498</v>
      </c>
      <c r="F288" s="52">
        <f t="shared" si="87"/>
        <v>81184</v>
      </c>
      <c r="G288" s="52">
        <f t="shared" si="88"/>
        <v>39349</v>
      </c>
      <c r="H288" s="53">
        <f t="shared" si="89"/>
        <v>41835</v>
      </c>
      <c r="I288" s="53">
        <f t="shared" si="90"/>
        <v>29749</v>
      </c>
      <c r="J288" s="53">
        <f t="shared" si="91"/>
        <v>32783</v>
      </c>
      <c r="K288" s="50">
        <f t="shared" si="92"/>
        <v>9600</v>
      </c>
      <c r="L288" s="51">
        <f t="shared" si="93"/>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2">
      <c r="A289" s="31" t="s">
        <v>150</v>
      </c>
      <c r="B289" s="1" t="s">
        <v>384</v>
      </c>
      <c r="C289" s="30" t="str">
        <f t="shared" si="94"/>
        <v>LA England - Erewash</v>
      </c>
      <c r="D289" s="51">
        <f t="shared" si="85"/>
        <v>3530</v>
      </c>
      <c r="E289" s="51">
        <f t="shared" si="86"/>
        <v>16537</v>
      </c>
      <c r="F289" s="52">
        <f t="shared" si="87"/>
        <v>113080</v>
      </c>
      <c r="G289" s="52">
        <f t="shared" si="88"/>
        <v>55544</v>
      </c>
      <c r="H289" s="53">
        <f t="shared" si="89"/>
        <v>57536</v>
      </c>
      <c r="I289" s="53">
        <f t="shared" si="90"/>
        <v>44216</v>
      </c>
      <c r="J289" s="53">
        <f t="shared" si="91"/>
        <v>47067</v>
      </c>
      <c r="K289" s="50">
        <f t="shared" si="92"/>
        <v>11328</v>
      </c>
      <c r="L289" s="51">
        <f t="shared" si="93"/>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2">
      <c r="A290" s="31" t="s">
        <v>150</v>
      </c>
      <c r="B290" s="1" t="s">
        <v>385</v>
      </c>
      <c r="C290" s="30" t="str">
        <f t="shared" si="94"/>
        <v>LA England - Exeter</v>
      </c>
      <c r="D290" s="51">
        <f t="shared" si="85"/>
        <v>3979</v>
      </c>
      <c r="E290" s="51">
        <f t="shared" si="86"/>
        <v>15240</v>
      </c>
      <c r="F290" s="52">
        <f t="shared" si="87"/>
        <v>134939</v>
      </c>
      <c r="G290" s="52">
        <f t="shared" si="88"/>
        <v>65979</v>
      </c>
      <c r="H290" s="53">
        <f t="shared" si="89"/>
        <v>68960</v>
      </c>
      <c r="I290" s="53">
        <f t="shared" si="90"/>
        <v>54644</v>
      </c>
      <c r="J290" s="53">
        <f t="shared" si="91"/>
        <v>58208</v>
      </c>
      <c r="K290" s="50">
        <f t="shared" si="92"/>
        <v>11335</v>
      </c>
      <c r="L290" s="51">
        <f t="shared" si="93"/>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2">
      <c r="A291" s="31" t="s">
        <v>150</v>
      </c>
      <c r="B291" s="1" t="s">
        <v>386</v>
      </c>
      <c r="C291" s="30" t="str">
        <f t="shared" si="94"/>
        <v>LA England - Fareham</v>
      </c>
      <c r="D291" s="51">
        <f t="shared" si="85"/>
        <v>3425</v>
      </c>
      <c r="E291" s="51">
        <f t="shared" si="86"/>
        <v>17206</v>
      </c>
      <c r="F291" s="52">
        <f t="shared" si="87"/>
        <v>114547</v>
      </c>
      <c r="G291" s="52">
        <f t="shared" si="88"/>
        <v>55913</v>
      </c>
      <c r="H291" s="53">
        <f t="shared" si="89"/>
        <v>58634</v>
      </c>
      <c r="I291" s="53">
        <f t="shared" si="90"/>
        <v>45205</v>
      </c>
      <c r="J291" s="53">
        <f t="shared" si="91"/>
        <v>48295</v>
      </c>
      <c r="K291" s="50">
        <f t="shared" si="92"/>
        <v>10708</v>
      </c>
      <c r="L291" s="51">
        <f t="shared" si="93"/>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2">
      <c r="A292" s="31" t="s">
        <v>150</v>
      </c>
      <c r="B292" s="1" t="s">
        <v>387</v>
      </c>
      <c r="C292" s="30" t="str">
        <f t="shared" si="94"/>
        <v>LA England - Fenland</v>
      </c>
      <c r="D292" s="51">
        <f t="shared" si="85"/>
        <v>3006</v>
      </c>
      <c r="E292" s="51">
        <f t="shared" si="86"/>
        <v>14862</v>
      </c>
      <c r="F292" s="52">
        <f t="shared" si="87"/>
        <v>103035</v>
      </c>
      <c r="G292" s="52">
        <f t="shared" si="88"/>
        <v>50391</v>
      </c>
      <c r="H292" s="53">
        <f t="shared" si="89"/>
        <v>52644</v>
      </c>
      <c r="I292" s="53">
        <f t="shared" si="90"/>
        <v>40132</v>
      </c>
      <c r="J292" s="53">
        <f t="shared" si="91"/>
        <v>42906</v>
      </c>
      <c r="K292" s="50">
        <f t="shared" si="92"/>
        <v>10259</v>
      </c>
      <c r="L292" s="51">
        <f t="shared" si="93"/>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2">
      <c r="A293" s="31" t="s">
        <v>150</v>
      </c>
      <c r="B293" s="1" t="s">
        <v>388</v>
      </c>
      <c r="C293" s="30" t="str">
        <f t="shared" si="94"/>
        <v>LA England - Folkestone and Hythe</v>
      </c>
      <c r="D293" s="51">
        <f t="shared" si="85"/>
        <v>3353</v>
      </c>
      <c r="E293" s="51">
        <f t="shared" si="86"/>
        <v>16294</v>
      </c>
      <c r="F293" s="52">
        <f t="shared" si="87"/>
        <v>110237</v>
      </c>
      <c r="G293" s="52">
        <f t="shared" si="88"/>
        <v>53700</v>
      </c>
      <c r="H293" s="53">
        <f t="shared" si="89"/>
        <v>56537</v>
      </c>
      <c r="I293" s="53">
        <f t="shared" si="90"/>
        <v>43173</v>
      </c>
      <c r="J293" s="53">
        <f t="shared" si="91"/>
        <v>46524</v>
      </c>
      <c r="K293" s="50">
        <f t="shared" si="92"/>
        <v>10527</v>
      </c>
      <c r="L293" s="51">
        <f t="shared" si="93"/>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2">
      <c r="A294" s="31" t="s">
        <v>150</v>
      </c>
      <c r="B294" s="1" t="s">
        <v>389</v>
      </c>
      <c r="C294" s="30" t="str">
        <f t="shared" si="94"/>
        <v>LA England - Forest of Dean</v>
      </c>
      <c r="D294" s="51">
        <f t="shared" si="85"/>
        <v>2401</v>
      </c>
      <c r="E294" s="51">
        <f t="shared" si="86"/>
        <v>13331</v>
      </c>
      <c r="F294" s="52">
        <f t="shared" si="87"/>
        <v>87937</v>
      </c>
      <c r="G294" s="52">
        <f t="shared" si="88"/>
        <v>43131</v>
      </c>
      <c r="H294" s="53">
        <f t="shared" si="89"/>
        <v>44806</v>
      </c>
      <c r="I294" s="53">
        <f t="shared" si="90"/>
        <v>35019</v>
      </c>
      <c r="J294" s="53">
        <f t="shared" si="91"/>
        <v>36827</v>
      </c>
      <c r="K294" s="50">
        <f t="shared" si="92"/>
        <v>8112</v>
      </c>
      <c r="L294" s="51">
        <f t="shared" si="93"/>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2">
      <c r="A295" s="31" t="s">
        <v>150</v>
      </c>
      <c r="B295" s="1" t="s">
        <v>390</v>
      </c>
      <c r="C295" s="30" t="str">
        <f t="shared" si="94"/>
        <v>LA England - Fylde</v>
      </c>
      <c r="D295" s="51">
        <f t="shared" si="85"/>
        <v>2253</v>
      </c>
      <c r="E295" s="51">
        <f t="shared" si="86"/>
        <v>12886</v>
      </c>
      <c r="F295" s="52">
        <f t="shared" si="87"/>
        <v>83008</v>
      </c>
      <c r="G295" s="52">
        <f t="shared" si="88"/>
        <v>40611</v>
      </c>
      <c r="H295" s="53">
        <f t="shared" si="89"/>
        <v>42397</v>
      </c>
      <c r="I295" s="53">
        <f t="shared" si="90"/>
        <v>33545</v>
      </c>
      <c r="J295" s="53">
        <f t="shared" si="91"/>
        <v>35506</v>
      </c>
      <c r="K295" s="50">
        <f t="shared" si="92"/>
        <v>7066</v>
      </c>
      <c r="L295" s="51">
        <f t="shared" si="93"/>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2">
      <c r="A296" s="31" t="s">
        <v>150</v>
      </c>
      <c r="B296" s="1" t="s">
        <v>391</v>
      </c>
      <c r="C296" s="30" t="str">
        <f t="shared" si="94"/>
        <v>LA England - Gateshead</v>
      </c>
      <c r="D296" s="51">
        <f t="shared" si="85"/>
        <v>6217</v>
      </c>
      <c r="E296" s="51">
        <f t="shared" si="86"/>
        <v>27590</v>
      </c>
      <c r="F296" s="52">
        <f t="shared" si="87"/>
        <v>197722</v>
      </c>
      <c r="G296" s="52">
        <f t="shared" si="88"/>
        <v>97281</v>
      </c>
      <c r="H296" s="53">
        <f t="shared" si="89"/>
        <v>100441</v>
      </c>
      <c r="I296" s="53">
        <f t="shared" si="90"/>
        <v>77352</v>
      </c>
      <c r="J296" s="53">
        <f t="shared" si="91"/>
        <v>81051</v>
      </c>
      <c r="K296" s="50">
        <f t="shared" si="92"/>
        <v>19929</v>
      </c>
      <c r="L296" s="51">
        <f t="shared" si="93"/>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2">
      <c r="A297" s="31" t="s">
        <v>150</v>
      </c>
      <c r="B297" s="1" t="s">
        <v>392</v>
      </c>
      <c r="C297" s="30" t="str">
        <f t="shared" si="94"/>
        <v>LA England - Gedling</v>
      </c>
      <c r="D297" s="51">
        <f t="shared" si="85"/>
        <v>3825</v>
      </c>
      <c r="E297" s="51">
        <f t="shared" si="86"/>
        <v>17109</v>
      </c>
      <c r="F297" s="52">
        <f t="shared" si="87"/>
        <v>117730</v>
      </c>
      <c r="G297" s="52">
        <f t="shared" si="88"/>
        <v>57091</v>
      </c>
      <c r="H297" s="53">
        <f t="shared" si="89"/>
        <v>60639</v>
      </c>
      <c r="I297" s="53">
        <f t="shared" si="90"/>
        <v>45173</v>
      </c>
      <c r="J297" s="53">
        <f t="shared" si="91"/>
        <v>49187</v>
      </c>
      <c r="K297" s="50">
        <f t="shared" si="92"/>
        <v>11918</v>
      </c>
      <c r="L297" s="51">
        <f t="shared" si="93"/>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2">
      <c r="A298" s="31" t="s">
        <v>150</v>
      </c>
      <c r="B298" s="1" t="s">
        <v>393</v>
      </c>
      <c r="C298" s="30" t="str">
        <f t="shared" si="94"/>
        <v>LA England - Gloucester</v>
      </c>
      <c r="D298" s="51">
        <f t="shared" si="85"/>
        <v>4314</v>
      </c>
      <c r="E298" s="51">
        <f t="shared" si="86"/>
        <v>17624</v>
      </c>
      <c r="F298" s="52">
        <f t="shared" si="87"/>
        <v>133522</v>
      </c>
      <c r="G298" s="52">
        <f t="shared" si="88"/>
        <v>66103</v>
      </c>
      <c r="H298" s="53">
        <f t="shared" si="89"/>
        <v>67419</v>
      </c>
      <c r="I298" s="53">
        <f t="shared" si="90"/>
        <v>51325</v>
      </c>
      <c r="J298" s="53">
        <f t="shared" si="91"/>
        <v>53375</v>
      </c>
      <c r="K298" s="50">
        <f t="shared" si="92"/>
        <v>14778</v>
      </c>
      <c r="L298" s="51">
        <f t="shared" si="93"/>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2">
      <c r="A299" s="31" t="s">
        <v>150</v>
      </c>
      <c r="B299" s="1" t="s">
        <v>394</v>
      </c>
      <c r="C299" s="30" t="str">
        <f t="shared" si="94"/>
        <v>LA England - Gosport</v>
      </c>
      <c r="D299" s="51">
        <f t="shared" si="85"/>
        <v>2539</v>
      </c>
      <c r="E299" s="51">
        <f t="shared" si="86"/>
        <v>11858</v>
      </c>
      <c r="F299" s="52">
        <f t="shared" si="87"/>
        <v>82285</v>
      </c>
      <c r="G299" s="52">
        <f t="shared" si="88"/>
        <v>40357</v>
      </c>
      <c r="H299" s="53">
        <f t="shared" si="89"/>
        <v>41928</v>
      </c>
      <c r="I299" s="53">
        <f t="shared" si="90"/>
        <v>31708</v>
      </c>
      <c r="J299" s="53">
        <f t="shared" si="91"/>
        <v>34076</v>
      </c>
      <c r="K299" s="50">
        <f t="shared" si="92"/>
        <v>8649</v>
      </c>
      <c r="L299" s="51">
        <f t="shared" si="93"/>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2">
      <c r="A300" s="31" t="s">
        <v>150</v>
      </c>
      <c r="B300" s="1" t="s">
        <v>395</v>
      </c>
      <c r="C300" s="30" t="str">
        <f t="shared" si="94"/>
        <v>LA England - Gravesham</v>
      </c>
      <c r="D300" s="51">
        <f t="shared" si="85"/>
        <v>3721</v>
      </c>
      <c r="E300" s="51">
        <f t="shared" si="86"/>
        <v>14101</v>
      </c>
      <c r="F300" s="52">
        <f t="shared" si="87"/>
        <v>106970</v>
      </c>
      <c r="G300" s="52">
        <f t="shared" si="88"/>
        <v>52155</v>
      </c>
      <c r="H300" s="53">
        <f t="shared" si="89"/>
        <v>54815</v>
      </c>
      <c r="I300" s="53">
        <f t="shared" si="90"/>
        <v>39235</v>
      </c>
      <c r="J300" s="53">
        <f t="shared" si="91"/>
        <v>42274</v>
      </c>
      <c r="K300" s="50">
        <f t="shared" si="92"/>
        <v>12920</v>
      </c>
      <c r="L300" s="51">
        <f t="shared" si="93"/>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2">
      <c r="A301" s="31" t="s">
        <v>150</v>
      </c>
      <c r="B301" s="1" t="s">
        <v>396</v>
      </c>
      <c r="C301" s="30" t="str">
        <f t="shared" si="94"/>
        <v>LA England - Great Yarmouth</v>
      </c>
      <c r="D301" s="51">
        <f t="shared" si="85"/>
        <v>2752</v>
      </c>
      <c r="E301" s="51">
        <f t="shared" si="86"/>
        <v>14646</v>
      </c>
      <c r="F301" s="52">
        <f t="shared" si="87"/>
        <v>99862</v>
      </c>
      <c r="G301" s="52">
        <f t="shared" si="88"/>
        <v>48741</v>
      </c>
      <c r="H301" s="53">
        <f t="shared" si="89"/>
        <v>51121</v>
      </c>
      <c r="I301" s="53">
        <f t="shared" si="90"/>
        <v>38899</v>
      </c>
      <c r="J301" s="53">
        <f t="shared" si="91"/>
        <v>41807</v>
      </c>
      <c r="K301" s="50">
        <f t="shared" si="92"/>
        <v>9842</v>
      </c>
      <c r="L301" s="51">
        <f t="shared" si="93"/>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2">
      <c r="A302" s="31" t="s">
        <v>150</v>
      </c>
      <c r="B302" s="1" t="s">
        <v>397</v>
      </c>
      <c r="C302" s="30" t="str">
        <f t="shared" si="94"/>
        <v>LA England - Greenwich</v>
      </c>
      <c r="D302" s="51">
        <f t="shared" si="85"/>
        <v>12107</v>
      </c>
      <c r="E302" s="51">
        <f t="shared" si="86"/>
        <v>35784</v>
      </c>
      <c r="F302" s="52">
        <f t="shared" si="87"/>
        <v>291080</v>
      </c>
      <c r="G302" s="52">
        <f t="shared" si="88"/>
        <v>141998</v>
      </c>
      <c r="H302" s="53">
        <f t="shared" si="89"/>
        <v>149082</v>
      </c>
      <c r="I302" s="53">
        <f t="shared" si="90"/>
        <v>108669</v>
      </c>
      <c r="J302" s="53">
        <f t="shared" si="91"/>
        <v>116854</v>
      </c>
      <c r="K302" s="50">
        <f t="shared" si="92"/>
        <v>33329</v>
      </c>
      <c r="L302" s="51">
        <f t="shared" si="93"/>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2">
      <c r="A303" s="31" t="s">
        <v>150</v>
      </c>
      <c r="B303" s="1" t="s">
        <v>398</v>
      </c>
      <c r="C303" s="30" t="str">
        <f t="shared" si="94"/>
        <v>LA England - Guildford</v>
      </c>
      <c r="D303" s="51">
        <f t="shared" si="85"/>
        <v>4881</v>
      </c>
      <c r="E303" s="51">
        <f t="shared" si="86"/>
        <v>19399</v>
      </c>
      <c r="F303" s="52">
        <f t="shared" si="87"/>
        <v>145673</v>
      </c>
      <c r="G303" s="52">
        <f t="shared" si="88"/>
        <v>71786</v>
      </c>
      <c r="H303" s="53">
        <f t="shared" si="89"/>
        <v>73887</v>
      </c>
      <c r="I303" s="53">
        <f t="shared" si="90"/>
        <v>57455</v>
      </c>
      <c r="J303" s="53">
        <f t="shared" si="91"/>
        <v>59963</v>
      </c>
      <c r="K303" s="50">
        <f t="shared" si="92"/>
        <v>14331</v>
      </c>
      <c r="L303" s="51">
        <f t="shared" si="93"/>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2">
      <c r="A304" s="31" t="s">
        <v>150</v>
      </c>
      <c r="B304" s="1" t="s">
        <v>399</v>
      </c>
      <c r="C304" s="30" t="str">
        <f t="shared" si="94"/>
        <v>LA England - Hackney</v>
      </c>
      <c r="D304" s="51">
        <f t="shared" si="85"/>
        <v>9555</v>
      </c>
      <c r="E304" s="51">
        <f t="shared" si="86"/>
        <v>29309</v>
      </c>
      <c r="F304" s="52">
        <f t="shared" si="87"/>
        <v>261491</v>
      </c>
      <c r="G304" s="52">
        <f t="shared" si="88"/>
        <v>124628</v>
      </c>
      <c r="H304" s="53">
        <f t="shared" si="89"/>
        <v>136863</v>
      </c>
      <c r="I304" s="53">
        <f t="shared" si="90"/>
        <v>96624</v>
      </c>
      <c r="J304" s="53">
        <f t="shared" si="91"/>
        <v>109773</v>
      </c>
      <c r="K304" s="50">
        <f t="shared" si="92"/>
        <v>28004</v>
      </c>
      <c r="L304" s="51">
        <f t="shared" si="93"/>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2">
      <c r="A305" s="31" t="s">
        <v>150</v>
      </c>
      <c r="B305" s="1" t="s">
        <v>400</v>
      </c>
      <c r="C305" s="30" t="str">
        <f t="shared" si="94"/>
        <v>LA England - Halton</v>
      </c>
      <c r="D305" s="51">
        <f t="shared" si="85"/>
        <v>4165</v>
      </c>
      <c r="E305" s="51">
        <f t="shared" si="86"/>
        <v>18375</v>
      </c>
      <c r="F305" s="52">
        <f t="shared" si="87"/>
        <v>128964</v>
      </c>
      <c r="G305" s="52">
        <f t="shared" si="88"/>
        <v>63227</v>
      </c>
      <c r="H305" s="53">
        <f t="shared" si="89"/>
        <v>65737</v>
      </c>
      <c r="I305" s="53">
        <f t="shared" si="90"/>
        <v>49092</v>
      </c>
      <c r="J305" s="53">
        <f t="shared" si="91"/>
        <v>52326</v>
      </c>
      <c r="K305" s="50">
        <f t="shared" si="92"/>
        <v>14135</v>
      </c>
      <c r="L305" s="51">
        <f t="shared" si="93"/>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2">
      <c r="A306" s="31" t="s">
        <v>150</v>
      </c>
      <c r="B306" s="1" t="s">
        <v>401</v>
      </c>
      <c r="C306" s="30" t="str">
        <f t="shared" si="94"/>
        <v>LA England - Hammersmith and Fulham</v>
      </c>
      <c r="D306" s="51">
        <f t="shared" si="85"/>
        <v>6612</v>
      </c>
      <c r="E306" s="51">
        <f t="shared" si="86"/>
        <v>23334</v>
      </c>
      <c r="F306" s="52">
        <f t="shared" si="87"/>
        <v>185238</v>
      </c>
      <c r="G306" s="52">
        <f t="shared" si="88"/>
        <v>86607</v>
      </c>
      <c r="H306" s="53">
        <f t="shared" si="89"/>
        <v>98631</v>
      </c>
      <c r="I306" s="53">
        <f t="shared" si="90"/>
        <v>70634</v>
      </c>
      <c r="J306" s="53">
        <f t="shared" si="91"/>
        <v>82749</v>
      </c>
      <c r="K306" s="50">
        <f t="shared" si="92"/>
        <v>15973</v>
      </c>
      <c r="L306" s="51">
        <f t="shared" si="93"/>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2">
      <c r="A307" s="31" t="s">
        <v>150</v>
      </c>
      <c r="B307" s="1" t="s">
        <v>402</v>
      </c>
      <c r="C307" s="30" t="str">
        <f t="shared" si="94"/>
        <v>LA England - Harborough</v>
      </c>
      <c r="D307" s="51">
        <f t="shared" si="85"/>
        <v>3175</v>
      </c>
      <c r="E307" s="51">
        <f t="shared" si="86"/>
        <v>15130</v>
      </c>
      <c r="F307" s="52">
        <f t="shared" si="87"/>
        <v>100481</v>
      </c>
      <c r="G307" s="52">
        <f t="shared" si="88"/>
        <v>49592</v>
      </c>
      <c r="H307" s="53">
        <f t="shared" si="89"/>
        <v>50889</v>
      </c>
      <c r="I307" s="53">
        <f t="shared" si="90"/>
        <v>39173</v>
      </c>
      <c r="J307" s="53">
        <f t="shared" si="91"/>
        <v>41258</v>
      </c>
      <c r="K307" s="50">
        <f t="shared" si="92"/>
        <v>10419</v>
      </c>
      <c r="L307" s="51">
        <f t="shared" si="93"/>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2">
      <c r="A308" s="31" t="s">
        <v>150</v>
      </c>
      <c r="B308" s="1" t="s">
        <v>403</v>
      </c>
      <c r="C308" s="30" t="str">
        <f t="shared" si="94"/>
        <v>LA England - Haringey</v>
      </c>
      <c r="D308" s="51">
        <f t="shared" si="85"/>
        <v>10741</v>
      </c>
      <c r="E308" s="51">
        <f t="shared" si="86"/>
        <v>35565</v>
      </c>
      <c r="F308" s="52">
        <f t="shared" si="87"/>
        <v>261811</v>
      </c>
      <c r="G308" s="52">
        <f t="shared" si="88"/>
        <v>126002</v>
      </c>
      <c r="H308" s="53">
        <f t="shared" si="89"/>
        <v>135809</v>
      </c>
      <c r="I308" s="53">
        <f t="shared" si="90"/>
        <v>98640</v>
      </c>
      <c r="J308" s="53">
        <f t="shared" si="91"/>
        <v>109268</v>
      </c>
      <c r="K308" s="50">
        <f t="shared" si="92"/>
        <v>27362</v>
      </c>
      <c r="L308" s="51">
        <f t="shared" si="93"/>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2">
      <c r="A309" s="31" t="s">
        <v>150</v>
      </c>
      <c r="B309" s="1" t="s">
        <v>404</v>
      </c>
      <c r="C309" s="30" t="str">
        <f t="shared" si="94"/>
        <v>LA England - Harlow</v>
      </c>
      <c r="D309" s="51">
        <f t="shared" si="85"/>
        <v>3538</v>
      </c>
      <c r="E309" s="51">
        <f t="shared" si="86"/>
        <v>11805</v>
      </c>
      <c r="F309" s="52">
        <f t="shared" si="87"/>
        <v>94409</v>
      </c>
      <c r="G309" s="52">
        <f t="shared" si="88"/>
        <v>45809</v>
      </c>
      <c r="H309" s="53">
        <f t="shared" si="89"/>
        <v>48600</v>
      </c>
      <c r="I309" s="53">
        <f t="shared" si="90"/>
        <v>34053</v>
      </c>
      <c r="J309" s="53">
        <f t="shared" si="91"/>
        <v>37369</v>
      </c>
      <c r="K309" s="50">
        <f t="shared" si="92"/>
        <v>11756</v>
      </c>
      <c r="L309" s="51">
        <f t="shared" si="93"/>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2">
      <c r="A310" s="31" t="s">
        <v>150</v>
      </c>
      <c r="B310" s="1" t="s">
        <v>405</v>
      </c>
      <c r="C310" s="30" t="str">
        <f t="shared" si="94"/>
        <v>LA England - Harrow</v>
      </c>
      <c r="D310" s="51">
        <f t="shared" si="85"/>
        <v>10288</v>
      </c>
      <c r="E310" s="51">
        <f t="shared" si="86"/>
        <v>33237</v>
      </c>
      <c r="F310" s="52">
        <f t="shared" si="87"/>
        <v>261185</v>
      </c>
      <c r="G310" s="52">
        <f t="shared" si="88"/>
        <v>128948</v>
      </c>
      <c r="H310" s="53">
        <f t="shared" si="89"/>
        <v>132237</v>
      </c>
      <c r="I310" s="53">
        <f t="shared" si="90"/>
        <v>98484</v>
      </c>
      <c r="J310" s="53">
        <f t="shared" si="91"/>
        <v>103799</v>
      </c>
      <c r="K310" s="50">
        <f t="shared" si="92"/>
        <v>30464</v>
      </c>
      <c r="L310" s="51">
        <f t="shared" si="93"/>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2">
      <c r="A311" s="31" t="s">
        <v>150</v>
      </c>
      <c r="B311" s="1" t="s">
        <v>406</v>
      </c>
      <c r="C311" s="30" t="str">
        <f t="shared" si="94"/>
        <v>LA England - Hart</v>
      </c>
      <c r="D311" s="51">
        <f t="shared" si="85"/>
        <v>3577</v>
      </c>
      <c r="E311" s="51">
        <f t="shared" si="86"/>
        <v>14665</v>
      </c>
      <c r="F311" s="52">
        <f t="shared" si="87"/>
        <v>100910</v>
      </c>
      <c r="G311" s="52">
        <f t="shared" si="88"/>
        <v>49963</v>
      </c>
      <c r="H311" s="53">
        <f t="shared" si="89"/>
        <v>50947</v>
      </c>
      <c r="I311" s="53">
        <f t="shared" si="90"/>
        <v>38859</v>
      </c>
      <c r="J311" s="53">
        <f t="shared" si="91"/>
        <v>40393</v>
      </c>
      <c r="K311" s="50">
        <f t="shared" si="92"/>
        <v>11104</v>
      </c>
      <c r="L311" s="51">
        <f t="shared" si="93"/>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2">
      <c r="A312" s="31" t="s">
        <v>150</v>
      </c>
      <c r="B312" s="1" t="s">
        <v>407</v>
      </c>
      <c r="C312" s="30" t="str">
        <f t="shared" si="94"/>
        <v>LA England - Hartlepool</v>
      </c>
      <c r="D312" s="51">
        <f t="shared" si="85"/>
        <v>2785</v>
      </c>
      <c r="E312" s="51">
        <f t="shared" si="86"/>
        <v>13531</v>
      </c>
      <c r="F312" s="52">
        <f t="shared" si="87"/>
        <v>93861</v>
      </c>
      <c r="G312" s="52">
        <f t="shared" si="88"/>
        <v>45630</v>
      </c>
      <c r="H312" s="53">
        <f t="shared" si="89"/>
        <v>48231</v>
      </c>
      <c r="I312" s="53">
        <f t="shared" si="90"/>
        <v>35320</v>
      </c>
      <c r="J312" s="53">
        <f t="shared" si="91"/>
        <v>38425</v>
      </c>
      <c r="K312" s="50">
        <f t="shared" si="92"/>
        <v>10310</v>
      </c>
      <c r="L312" s="51">
        <f t="shared" si="93"/>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2">
      <c r="A313" s="31" t="s">
        <v>150</v>
      </c>
      <c r="B313" s="1" t="s">
        <v>408</v>
      </c>
      <c r="C313" s="30" t="str">
        <f t="shared" si="94"/>
        <v>LA England - Hastings</v>
      </c>
      <c r="D313" s="51">
        <f t="shared" si="85"/>
        <v>2974</v>
      </c>
      <c r="E313" s="51">
        <f t="shared" si="86"/>
        <v>13496</v>
      </c>
      <c r="F313" s="52">
        <f t="shared" si="87"/>
        <v>90622</v>
      </c>
      <c r="G313" s="52">
        <f t="shared" si="88"/>
        <v>44005</v>
      </c>
      <c r="H313" s="53">
        <f t="shared" si="89"/>
        <v>46617</v>
      </c>
      <c r="I313" s="53">
        <f t="shared" si="90"/>
        <v>34687</v>
      </c>
      <c r="J313" s="53">
        <f t="shared" si="91"/>
        <v>37763</v>
      </c>
      <c r="K313" s="50">
        <f t="shared" si="92"/>
        <v>9318</v>
      </c>
      <c r="L313" s="51">
        <f t="shared" si="93"/>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2">
      <c r="A314" s="31" t="s">
        <v>150</v>
      </c>
      <c r="B314" s="1" t="s">
        <v>409</v>
      </c>
      <c r="C314" s="30" t="str">
        <f t="shared" si="94"/>
        <v>LA England - Havant</v>
      </c>
      <c r="D314" s="51">
        <f t="shared" si="85"/>
        <v>3528</v>
      </c>
      <c r="E314" s="51">
        <f t="shared" si="86"/>
        <v>18178</v>
      </c>
      <c r="F314" s="52">
        <f t="shared" si="87"/>
        <v>124854</v>
      </c>
      <c r="G314" s="52">
        <f t="shared" si="88"/>
        <v>60252</v>
      </c>
      <c r="H314" s="53">
        <f t="shared" si="89"/>
        <v>64602</v>
      </c>
      <c r="I314" s="53">
        <f t="shared" si="90"/>
        <v>47862</v>
      </c>
      <c r="J314" s="53">
        <f t="shared" si="91"/>
        <v>52754</v>
      </c>
      <c r="K314" s="50">
        <f t="shared" si="92"/>
        <v>12390</v>
      </c>
      <c r="L314" s="51">
        <f t="shared" si="93"/>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2">
      <c r="A315" s="31" t="s">
        <v>150</v>
      </c>
      <c r="B315" s="1" t="s">
        <v>410</v>
      </c>
      <c r="C315" s="30" t="str">
        <f t="shared" si="94"/>
        <v>LA England - Havering</v>
      </c>
      <c r="D315" s="51">
        <f t="shared" si="85"/>
        <v>9342</v>
      </c>
      <c r="E315" s="51">
        <f t="shared" si="86"/>
        <v>34879</v>
      </c>
      <c r="F315" s="52">
        <f t="shared" si="87"/>
        <v>264703</v>
      </c>
      <c r="G315" s="52">
        <f t="shared" si="88"/>
        <v>128043</v>
      </c>
      <c r="H315" s="53">
        <f t="shared" si="89"/>
        <v>136660</v>
      </c>
      <c r="I315" s="53">
        <f t="shared" si="90"/>
        <v>97269</v>
      </c>
      <c r="J315" s="53">
        <f t="shared" si="91"/>
        <v>107346</v>
      </c>
      <c r="K315" s="50">
        <f t="shared" si="92"/>
        <v>30774</v>
      </c>
      <c r="L315" s="51">
        <f t="shared" si="93"/>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2">
      <c r="A316" s="31" t="s">
        <v>150</v>
      </c>
      <c r="B316" s="1" t="s">
        <v>411</v>
      </c>
      <c r="C316" s="30" t="str">
        <f t="shared" si="94"/>
        <v>LA England - Herefordshire, County of</v>
      </c>
      <c r="D316" s="51">
        <f t="shared" si="85"/>
        <v>5227</v>
      </c>
      <c r="E316" s="51">
        <f t="shared" si="86"/>
        <v>28637</v>
      </c>
      <c r="F316" s="52">
        <f t="shared" si="87"/>
        <v>188719</v>
      </c>
      <c r="G316" s="52">
        <f t="shared" si="88"/>
        <v>92561</v>
      </c>
      <c r="H316" s="53">
        <f t="shared" si="89"/>
        <v>96158</v>
      </c>
      <c r="I316" s="53">
        <f t="shared" si="90"/>
        <v>74887</v>
      </c>
      <c r="J316" s="53">
        <f t="shared" si="91"/>
        <v>79801</v>
      </c>
      <c r="K316" s="50">
        <f t="shared" si="92"/>
        <v>17674</v>
      </c>
      <c r="L316" s="51">
        <f t="shared" si="93"/>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2">
      <c r="A317" s="31" t="s">
        <v>150</v>
      </c>
      <c r="B317" s="1" t="s">
        <v>412</v>
      </c>
      <c r="C317" s="30" t="str">
        <f t="shared" si="94"/>
        <v>LA England - Hertsmere</v>
      </c>
      <c r="D317" s="51">
        <f t="shared" si="85"/>
        <v>4246</v>
      </c>
      <c r="E317" s="51">
        <f t="shared" si="86"/>
        <v>15359</v>
      </c>
      <c r="F317" s="52">
        <f t="shared" si="87"/>
        <v>108106</v>
      </c>
      <c r="G317" s="52">
        <f t="shared" si="88"/>
        <v>51987</v>
      </c>
      <c r="H317" s="53">
        <f t="shared" si="89"/>
        <v>56119</v>
      </c>
      <c r="I317" s="53">
        <f t="shared" si="90"/>
        <v>39512</v>
      </c>
      <c r="J317" s="53">
        <f t="shared" si="91"/>
        <v>44210</v>
      </c>
      <c r="K317" s="50">
        <f t="shared" si="92"/>
        <v>12475</v>
      </c>
      <c r="L317" s="51">
        <f t="shared" si="93"/>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2">
      <c r="A318" s="31" t="s">
        <v>150</v>
      </c>
      <c r="B318" s="1" t="s">
        <v>413</v>
      </c>
      <c r="C318" s="30" t="str">
        <f t="shared" si="94"/>
        <v>LA England - High Peak</v>
      </c>
      <c r="D318" s="51">
        <f t="shared" si="85"/>
        <v>2809</v>
      </c>
      <c r="E318" s="51">
        <f t="shared" si="86"/>
        <v>14370</v>
      </c>
      <c r="F318" s="52">
        <f t="shared" si="87"/>
        <v>91109</v>
      </c>
      <c r="G318" s="52">
        <f t="shared" si="88"/>
        <v>44801</v>
      </c>
      <c r="H318" s="53">
        <f t="shared" si="89"/>
        <v>46308</v>
      </c>
      <c r="I318" s="53">
        <f t="shared" si="90"/>
        <v>36065</v>
      </c>
      <c r="J318" s="53">
        <f t="shared" si="91"/>
        <v>37826</v>
      </c>
      <c r="K318" s="50">
        <f t="shared" si="92"/>
        <v>8736</v>
      </c>
      <c r="L318" s="51">
        <f t="shared" si="93"/>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2">
      <c r="A319" s="31" t="s">
        <v>150</v>
      </c>
      <c r="B319" s="1" t="s">
        <v>414</v>
      </c>
      <c r="C319" s="30" t="str">
        <f t="shared" si="94"/>
        <v>LA England - Hillingdon</v>
      </c>
      <c r="D319" s="51">
        <f t="shared" si="85"/>
        <v>12340</v>
      </c>
      <c r="E319" s="51">
        <f t="shared" si="86"/>
        <v>38259</v>
      </c>
      <c r="F319" s="52">
        <f t="shared" si="87"/>
        <v>310681</v>
      </c>
      <c r="G319" s="52">
        <f t="shared" si="88"/>
        <v>154503</v>
      </c>
      <c r="H319" s="53">
        <f t="shared" si="89"/>
        <v>156178</v>
      </c>
      <c r="I319" s="53">
        <f t="shared" si="90"/>
        <v>117369</v>
      </c>
      <c r="J319" s="53">
        <f t="shared" si="91"/>
        <v>120731</v>
      </c>
      <c r="K319" s="50">
        <f t="shared" si="92"/>
        <v>37134</v>
      </c>
      <c r="L319" s="51">
        <f t="shared" si="93"/>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2">
      <c r="A320" s="31" t="s">
        <v>150</v>
      </c>
      <c r="B320" s="1" t="s">
        <v>415</v>
      </c>
      <c r="C320" s="30" t="str">
        <f t="shared" si="94"/>
        <v>LA England - Hinckley and Bosworth</v>
      </c>
      <c r="D320" s="51">
        <f t="shared" si="85"/>
        <v>3675</v>
      </c>
      <c r="E320" s="51">
        <f t="shared" si="86"/>
        <v>16416</v>
      </c>
      <c r="F320" s="52">
        <f t="shared" si="87"/>
        <v>114298</v>
      </c>
      <c r="G320" s="52">
        <f t="shared" si="88"/>
        <v>56349</v>
      </c>
      <c r="H320" s="53">
        <f t="shared" si="89"/>
        <v>57949</v>
      </c>
      <c r="I320" s="53">
        <f t="shared" si="90"/>
        <v>44825</v>
      </c>
      <c r="J320" s="53">
        <f t="shared" si="91"/>
        <v>47071</v>
      </c>
      <c r="K320" s="50">
        <f t="shared" si="92"/>
        <v>11524</v>
      </c>
      <c r="L320" s="51">
        <f t="shared" si="93"/>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2">
      <c r="A321" s="31" t="s">
        <v>150</v>
      </c>
      <c r="B321" s="1" t="s">
        <v>416</v>
      </c>
      <c r="C321" s="30" t="str">
        <f t="shared" si="94"/>
        <v>LA England - Horsham</v>
      </c>
      <c r="D321" s="51">
        <f t="shared" si="85"/>
        <v>4774</v>
      </c>
      <c r="E321" s="51">
        <f t="shared" si="86"/>
        <v>22137</v>
      </c>
      <c r="F321" s="52">
        <f t="shared" si="87"/>
        <v>148696</v>
      </c>
      <c r="G321" s="52">
        <f t="shared" si="88"/>
        <v>72638</v>
      </c>
      <c r="H321" s="53">
        <f t="shared" si="89"/>
        <v>76058</v>
      </c>
      <c r="I321" s="53">
        <f t="shared" si="90"/>
        <v>57103</v>
      </c>
      <c r="J321" s="53">
        <f t="shared" si="91"/>
        <v>61460</v>
      </c>
      <c r="K321" s="50">
        <f t="shared" si="92"/>
        <v>15535</v>
      </c>
      <c r="L321" s="51">
        <f t="shared" si="93"/>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2">
      <c r="A322" s="31" t="s">
        <v>150</v>
      </c>
      <c r="B322" s="1" t="s">
        <v>417</v>
      </c>
      <c r="C322" s="30" t="str">
        <f t="shared" si="94"/>
        <v>LA England - Hounslow</v>
      </c>
      <c r="D322" s="51">
        <f t="shared" si="85"/>
        <v>12489</v>
      </c>
      <c r="E322" s="51">
        <f t="shared" si="86"/>
        <v>36393</v>
      </c>
      <c r="F322" s="52">
        <f t="shared" si="87"/>
        <v>290488</v>
      </c>
      <c r="G322" s="52">
        <f t="shared" si="88"/>
        <v>145055</v>
      </c>
      <c r="H322" s="53">
        <f t="shared" si="89"/>
        <v>145433</v>
      </c>
      <c r="I322" s="53">
        <f t="shared" si="90"/>
        <v>110621</v>
      </c>
      <c r="J322" s="53">
        <f t="shared" si="91"/>
        <v>113039</v>
      </c>
      <c r="K322" s="50">
        <f t="shared" si="92"/>
        <v>34434</v>
      </c>
      <c r="L322" s="51">
        <f t="shared" si="93"/>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2">
      <c r="A323" s="31" t="s">
        <v>150</v>
      </c>
      <c r="B323" s="1" t="s">
        <v>418</v>
      </c>
      <c r="C323" s="30" t="str">
        <f t="shared" si="94"/>
        <v>LA England - Huntingdonshire</v>
      </c>
      <c r="D323" s="51">
        <f t="shared" si="85"/>
        <v>6038</v>
      </c>
      <c r="E323" s="51">
        <f t="shared" si="86"/>
        <v>26096</v>
      </c>
      <c r="F323" s="52">
        <f t="shared" si="87"/>
        <v>184052</v>
      </c>
      <c r="G323" s="52">
        <f t="shared" si="88"/>
        <v>91150</v>
      </c>
      <c r="H323" s="53">
        <f t="shared" si="89"/>
        <v>92902</v>
      </c>
      <c r="I323" s="53">
        <f t="shared" si="90"/>
        <v>71911</v>
      </c>
      <c r="J323" s="53">
        <f t="shared" si="91"/>
        <v>74728</v>
      </c>
      <c r="K323" s="50">
        <f t="shared" si="92"/>
        <v>19239</v>
      </c>
      <c r="L323" s="51">
        <f t="shared" si="93"/>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2">
      <c r="A324" s="31" t="s">
        <v>150</v>
      </c>
      <c r="B324" s="1" t="s">
        <v>419</v>
      </c>
      <c r="C324" s="30" t="str">
        <f t="shared" si="94"/>
        <v>LA England - Hyndburn</v>
      </c>
      <c r="D324" s="51">
        <f t="shared" si="85"/>
        <v>2612</v>
      </c>
      <c r="E324" s="51">
        <f t="shared" si="86"/>
        <v>11023</v>
      </c>
      <c r="F324" s="52">
        <f t="shared" si="87"/>
        <v>83213</v>
      </c>
      <c r="G324" s="52">
        <f t="shared" si="88"/>
        <v>41151</v>
      </c>
      <c r="H324" s="53">
        <f t="shared" si="89"/>
        <v>42062</v>
      </c>
      <c r="I324" s="53">
        <f t="shared" si="90"/>
        <v>31512</v>
      </c>
      <c r="J324" s="53">
        <f t="shared" si="91"/>
        <v>32814</v>
      </c>
      <c r="K324" s="50">
        <f t="shared" si="92"/>
        <v>9639</v>
      </c>
      <c r="L324" s="51">
        <f t="shared" si="93"/>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2">
      <c r="A325" s="31" t="s">
        <v>150</v>
      </c>
      <c r="B325" s="1" t="s">
        <v>420</v>
      </c>
      <c r="C325" s="30" t="str">
        <f t="shared" si="94"/>
        <v>LA England - Ipswich</v>
      </c>
      <c r="D325" s="51">
        <f t="shared" si="85"/>
        <v>4779</v>
      </c>
      <c r="E325" s="51">
        <f t="shared" si="86"/>
        <v>17672</v>
      </c>
      <c r="F325" s="52">
        <f t="shared" si="87"/>
        <v>139247</v>
      </c>
      <c r="G325" s="52">
        <f t="shared" si="88"/>
        <v>69076</v>
      </c>
      <c r="H325" s="53">
        <f t="shared" si="89"/>
        <v>70171</v>
      </c>
      <c r="I325" s="53">
        <f t="shared" si="90"/>
        <v>53071</v>
      </c>
      <c r="J325" s="53">
        <f t="shared" si="91"/>
        <v>54883</v>
      </c>
      <c r="K325" s="50">
        <f t="shared" si="92"/>
        <v>16005</v>
      </c>
      <c r="L325" s="51">
        <f t="shared" si="93"/>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2">
      <c r="A326" s="31" t="s">
        <v>150</v>
      </c>
      <c r="B326" s="1" t="s">
        <v>421</v>
      </c>
      <c r="C326" s="30" t="str">
        <f t="shared" si="94"/>
        <v>LA England - Isle of Wight</v>
      </c>
      <c r="D326" s="51">
        <f t="shared" si="85"/>
        <v>3707</v>
      </c>
      <c r="E326" s="51">
        <f t="shared" si="86"/>
        <v>21784</v>
      </c>
      <c r="F326" s="52">
        <f t="shared" si="87"/>
        <v>140794</v>
      </c>
      <c r="G326" s="52">
        <f t="shared" si="88"/>
        <v>68209</v>
      </c>
      <c r="H326" s="53">
        <f t="shared" si="89"/>
        <v>72585</v>
      </c>
      <c r="I326" s="53">
        <f t="shared" si="90"/>
        <v>56057</v>
      </c>
      <c r="J326" s="53">
        <f t="shared" si="91"/>
        <v>61177</v>
      </c>
      <c r="K326" s="50">
        <f t="shared" si="92"/>
        <v>12152</v>
      </c>
      <c r="L326" s="51">
        <f t="shared" si="93"/>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2">
      <c r="A327" s="31" t="s">
        <v>150</v>
      </c>
      <c r="B327" s="1" t="s">
        <v>422</v>
      </c>
      <c r="C327" s="30" t="str">
        <f t="shared" si="94"/>
        <v>LA England - Isles of Scilly</v>
      </c>
      <c r="D327" s="51">
        <f t="shared" si="85"/>
        <v>86</v>
      </c>
      <c r="E327" s="51">
        <f t="shared" si="86"/>
        <v>296</v>
      </c>
      <c r="F327" s="52">
        <f t="shared" si="87"/>
        <v>2281</v>
      </c>
      <c r="G327" s="52">
        <f t="shared" si="88"/>
        <v>1123</v>
      </c>
      <c r="H327" s="53">
        <f t="shared" si="89"/>
        <v>1158</v>
      </c>
      <c r="I327" s="53">
        <f t="shared" si="90"/>
        <v>934</v>
      </c>
      <c r="J327" s="53">
        <f t="shared" si="91"/>
        <v>988</v>
      </c>
      <c r="K327" s="50">
        <f t="shared" si="92"/>
        <v>189</v>
      </c>
      <c r="L327" s="51">
        <f t="shared" si="93"/>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2">
      <c r="A328" s="31" t="s">
        <v>150</v>
      </c>
      <c r="B328" s="1" t="s">
        <v>423</v>
      </c>
      <c r="C328" s="30" t="str">
        <f t="shared" si="94"/>
        <v>LA England - Islington</v>
      </c>
      <c r="D328" s="51">
        <f t="shared" si="85"/>
        <v>7367</v>
      </c>
      <c r="E328" s="51">
        <f t="shared" si="86"/>
        <v>24841</v>
      </c>
      <c r="F328" s="52">
        <f t="shared" si="87"/>
        <v>220373</v>
      </c>
      <c r="G328" s="52">
        <f t="shared" si="88"/>
        <v>104519</v>
      </c>
      <c r="H328" s="53">
        <f t="shared" si="89"/>
        <v>115854</v>
      </c>
      <c r="I328" s="53">
        <f t="shared" si="90"/>
        <v>86159</v>
      </c>
      <c r="J328" s="53">
        <f t="shared" si="91"/>
        <v>97926</v>
      </c>
      <c r="K328" s="50">
        <f t="shared" si="92"/>
        <v>18360</v>
      </c>
      <c r="L328" s="51">
        <f t="shared" si="93"/>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2">
      <c r="A329" s="31" t="s">
        <v>150</v>
      </c>
      <c r="B329" s="1" t="s">
        <v>424</v>
      </c>
      <c r="C329" s="30" t="str">
        <f t="shared" si="94"/>
        <v>LA England - Kensington and Chelsea</v>
      </c>
      <c r="D329" s="51">
        <f t="shared" ref="D329:D392" si="95">SUM(EN329:ER329)</f>
        <v>5162</v>
      </c>
      <c r="E329" s="51">
        <f t="shared" ref="E329:E392" si="96">SUM(ES329:FM329)</f>
        <v>22116</v>
      </c>
      <c r="F329" s="52">
        <f t="shared" si="87"/>
        <v>146154</v>
      </c>
      <c r="G329" s="52">
        <f t="shared" si="88"/>
        <v>68296</v>
      </c>
      <c r="H329" s="53">
        <f t="shared" si="89"/>
        <v>77858</v>
      </c>
      <c r="I329" s="53">
        <f t="shared" si="90"/>
        <v>56925</v>
      </c>
      <c r="J329" s="53">
        <f t="shared" si="91"/>
        <v>66635</v>
      </c>
      <c r="K329" s="50">
        <f t="shared" si="92"/>
        <v>11371</v>
      </c>
      <c r="L329" s="51">
        <f t="shared" si="93"/>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2">
      <c r="A330" s="31" t="s">
        <v>150</v>
      </c>
      <c r="B330" s="1" t="s">
        <v>425</v>
      </c>
      <c r="C330" s="30" t="str">
        <f t="shared" si="94"/>
        <v>LA England - King's Lynn and West Norfolk</v>
      </c>
      <c r="D330" s="51">
        <f t="shared" si="95"/>
        <v>4142</v>
      </c>
      <c r="E330" s="51">
        <f t="shared" si="96"/>
        <v>22626</v>
      </c>
      <c r="F330" s="52">
        <f t="shared" ref="F330:F393" si="97">G330+H330</f>
        <v>155741</v>
      </c>
      <c r="G330" s="52">
        <f t="shared" ref="G330:G393" si="98">SUM(M330:CY330)</f>
        <v>76209</v>
      </c>
      <c r="H330" s="53">
        <f t="shared" ref="H330:H393" si="99">SUM(CZ330:GL330)</f>
        <v>79532</v>
      </c>
      <c r="I330" s="53">
        <f t="shared" ref="I330:I393" si="100">SUM(AE330:CY330)</f>
        <v>61469</v>
      </c>
      <c r="J330" s="53">
        <f t="shared" ref="J330:J393" si="101">SUM(DR330:GL330)</f>
        <v>65483</v>
      </c>
      <c r="K330" s="50">
        <f t="shared" ref="K330:K390" si="102">SUM(M330:AD330)</f>
        <v>14740</v>
      </c>
      <c r="L330" s="51">
        <f t="shared" ref="L330:L393" si="103">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2">
      <c r="A331" s="31" t="s">
        <v>150</v>
      </c>
      <c r="B331" s="1" t="s">
        <v>426</v>
      </c>
      <c r="C331" s="30" t="str">
        <f t="shared" si="94"/>
        <v>LA England - Kingston upon Hull, City of</v>
      </c>
      <c r="D331" s="51">
        <f t="shared" si="95"/>
        <v>8079</v>
      </c>
      <c r="E331" s="51">
        <f t="shared" si="96"/>
        <v>33353</v>
      </c>
      <c r="F331" s="52">
        <f t="shared" si="97"/>
        <v>268852</v>
      </c>
      <c r="G331" s="52">
        <f t="shared" si="98"/>
        <v>134568</v>
      </c>
      <c r="H331" s="53">
        <f t="shared" si="99"/>
        <v>134284</v>
      </c>
      <c r="I331" s="53">
        <f t="shared" si="100"/>
        <v>103768</v>
      </c>
      <c r="J331" s="53">
        <f t="shared" si="101"/>
        <v>104915</v>
      </c>
      <c r="K331" s="50">
        <f t="shared" si="102"/>
        <v>30800</v>
      </c>
      <c r="L331" s="51">
        <f t="shared" si="103"/>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2">
      <c r="A332" s="31" t="s">
        <v>150</v>
      </c>
      <c r="B332" s="1" t="s">
        <v>427</v>
      </c>
      <c r="C332" s="30" t="str">
        <f t="shared" ref="C332:C395" si="104">CONCATENATE(A332," - ",B332)</f>
        <v>LA England - Kingston upon Thames</v>
      </c>
      <c r="D332" s="51">
        <f t="shared" si="95"/>
        <v>7140</v>
      </c>
      <c r="E332" s="51">
        <f t="shared" si="96"/>
        <v>22591</v>
      </c>
      <c r="F332" s="52">
        <f t="shared" si="97"/>
        <v>168302</v>
      </c>
      <c r="G332" s="52">
        <f t="shared" si="98"/>
        <v>80907</v>
      </c>
      <c r="H332" s="53">
        <f t="shared" si="99"/>
        <v>87395</v>
      </c>
      <c r="I332" s="53">
        <f t="shared" si="100"/>
        <v>62505</v>
      </c>
      <c r="J332" s="53">
        <f t="shared" si="101"/>
        <v>69337</v>
      </c>
      <c r="K332" s="50">
        <f t="shared" si="102"/>
        <v>18402</v>
      </c>
      <c r="L332" s="51">
        <f t="shared" si="103"/>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2">
      <c r="A333" s="31" t="s">
        <v>150</v>
      </c>
      <c r="B333" s="1" t="s">
        <v>428</v>
      </c>
      <c r="C333" s="30" t="str">
        <f t="shared" si="104"/>
        <v>LA England - Kirklees</v>
      </c>
      <c r="D333" s="51">
        <f t="shared" si="95"/>
        <v>14538</v>
      </c>
      <c r="E333" s="51">
        <f t="shared" si="96"/>
        <v>58867</v>
      </c>
      <c r="F333" s="52">
        <f t="shared" si="97"/>
        <v>437593</v>
      </c>
      <c r="G333" s="52">
        <f t="shared" si="98"/>
        <v>215001</v>
      </c>
      <c r="H333" s="53">
        <f t="shared" si="99"/>
        <v>222592</v>
      </c>
      <c r="I333" s="53">
        <f t="shared" si="100"/>
        <v>164518</v>
      </c>
      <c r="J333" s="53">
        <f t="shared" si="101"/>
        <v>174599</v>
      </c>
      <c r="K333" s="50">
        <f t="shared" si="102"/>
        <v>50483</v>
      </c>
      <c r="L333" s="51">
        <f t="shared" si="103"/>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2">
      <c r="A334" s="31" t="s">
        <v>150</v>
      </c>
      <c r="B334" s="1" t="s">
        <v>429</v>
      </c>
      <c r="C334" s="30" t="str">
        <f t="shared" si="104"/>
        <v>LA England - Knowsley</v>
      </c>
      <c r="D334" s="51">
        <f t="shared" si="95"/>
        <v>4937</v>
      </c>
      <c r="E334" s="51">
        <f t="shared" si="96"/>
        <v>22504</v>
      </c>
      <c r="F334" s="52">
        <f t="shared" si="97"/>
        <v>157103</v>
      </c>
      <c r="G334" s="52">
        <f t="shared" si="98"/>
        <v>75222</v>
      </c>
      <c r="H334" s="53">
        <f t="shared" si="99"/>
        <v>81881</v>
      </c>
      <c r="I334" s="53">
        <f t="shared" si="100"/>
        <v>57340</v>
      </c>
      <c r="J334" s="53">
        <f t="shared" si="101"/>
        <v>64955</v>
      </c>
      <c r="K334" s="50">
        <f t="shared" si="102"/>
        <v>17882</v>
      </c>
      <c r="L334" s="51">
        <f t="shared" si="103"/>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2">
      <c r="A335" s="31" t="s">
        <v>150</v>
      </c>
      <c r="B335" s="1" t="s">
        <v>430</v>
      </c>
      <c r="C335" s="30" t="str">
        <f t="shared" si="104"/>
        <v>LA England - Lambeth</v>
      </c>
      <c r="D335" s="51">
        <f t="shared" si="95"/>
        <v>11061</v>
      </c>
      <c r="E335" s="51">
        <f t="shared" si="96"/>
        <v>38293</v>
      </c>
      <c r="F335" s="52">
        <f t="shared" si="97"/>
        <v>316812</v>
      </c>
      <c r="G335" s="52">
        <f t="shared" si="98"/>
        <v>153533</v>
      </c>
      <c r="H335" s="53">
        <f t="shared" si="99"/>
        <v>163279</v>
      </c>
      <c r="I335" s="53">
        <f t="shared" si="100"/>
        <v>126443</v>
      </c>
      <c r="J335" s="53">
        <f t="shared" si="101"/>
        <v>137097</v>
      </c>
      <c r="K335" s="50">
        <f t="shared" si="102"/>
        <v>27090</v>
      </c>
      <c r="L335" s="51">
        <f t="shared" si="103"/>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2">
      <c r="A336" s="31" t="s">
        <v>150</v>
      </c>
      <c r="B336" s="1" t="s">
        <v>431</v>
      </c>
      <c r="C336" s="30" t="str">
        <f t="shared" si="104"/>
        <v>LA England - Lancaster</v>
      </c>
      <c r="D336" s="51">
        <f t="shared" si="95"/>
        <v>4061</v>
      </c>
      <c r="E336" s="51">
        <f t="shared" si="96"/>
        <v>19193</v>
      </c>
      <c r="F336" s="52">
        <f t="shared" si="97"/>
        <v>144446</v>
      </c>
      <c r="G336" s="52">
        <f t="shared" si="98"/>
        <v>70625</v>
      </c>
      <c r="H336" s="53">
        <f t="shared" si="99"/>
        <v>73821</v>
      </c>
      <c r="I336" s="53">
        <f t="shared" si="100"/>
        <v>57302</v>
      </c>
      <c r="J336" s="53">
        <f t="shared" si="101"/>
        <v>60946</v>
      </c>
      <c r="K336" s="50">
        <f t="shared" si="102"/>
        <v>13323</v>
      </c>
      <c r="L336" s="51">
        <f t="shared" si="103"/>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2">
      <c r="A337" s="31" t="s">
        <v>150</v>
      </c>
      <c r="B337" s="1" t="s">
        <v>432</v>
      </c>
      <c r="C337" s="30" t="str">
        <f t="shared" si="104"/>
        <v>LA England - Leeds</v>
      </c>
      <c r="D337" s="51">
        <f t="shared" si="95"/>
        <v>26981</v>
      </c>
      <c r="E337" s="51">
        <f t="shared" si="96"/>
        <v>99222</v>
      </c>
      <c r="F337" s="52">
        <f t="shared" si="97"/>
        <v>822483</v>
      </c>
      <c r="G337" s="52">
        <f t="shared" si="98"/>
        <v>402324</v>
      </c>
      <c r="H337" s="53">
        <f t="shared" si="99"/>
        <v>420159</v>
      </c>
      <c r="I337" s="53">
        <f t="shared" si="100"/>
        <v>313860</v>
      </c>
      <c r="J337" s="53">
        <f t="shared" si="101"/>
        <v>335972</v>
      </c>
      <c r="K337" s="50">
        <f t="shared" si="102"/>
        <v>88464</v>
      </c>
      <c r="L337" s="51">
        <f t="shared" si="103"/>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2">
      <c r="A338" s="31" t="s">
        <v>150</v>
      </c>
      <c r="B338" s="1" t="s">
        <v>433</v>
      </c>
      <c r="C338" s="30" t="str">
        <f t="shared" si="104"/>
        <v>LA England - Leicester</v>
      </c>
      <c r="D338" s="51">
        <f t="shared" si="95"/>
        <v>12738</v>
      </c>
      <c r="E338" s="51">
        <f t="shared" si="96"/>
        <v>42480</v>
      </c>
      <c r="F338" s="52">
        <f t="shared" si="97"/>
        <v>373399</v>
      </c>
      <c r="G338" s="52">
        <f t="shared" si="98"/>
        <v>186254</v>
      </c>
      <c r="H338" s="53">
        <f t="shared" si="99"/>
        <v>187145</v>
      </c>
      <c r="I338" s="53">
        <f t="shared" si="100"/>
        <v>140844</v>
      </c>
      <c r="J338" s="53">
        <f t="shared" si="101"/>
        <v>144720</v>
      </c>
      <c r="K338" s="50">
        <f t="shared" si="102"/>
        <v>45410</v>
      </c>
      <c r="L338" s="51">
        <f t="shared" si="103"/>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2">
      <c r="A339" s="31" t="s">
        <v>150</v>
      </c>
      <c r="B339" s="1" t="s">
        <v>434</v>
      </c>
      <c r="C339" s="30" t="str">
        <f t="shared" si="104"/>
        <v>LA England - Lewes</v>
      </c>
      <c r="D339" s="51">
        <f t="shared" si="95"/>
        <v>3004</v>
      </c>
      <c r="E339" s="51">
        <f t="shared" si="96"/>
        <v>15218</v>
      </c>
      <c r="F339" s="52">
        <f t="shared" si="97"/>
        <v>100677</v>
      </c>
      <c r="G339" s="52">
        <f t="shared" si="98"/>
        <v>48428</v>
      </c>
      <c r="H339" s="53">
        <f t="shared" si="99"/>
        <v>52249</v>
      </c>
      <c r="I339" s="53">
        <f t="shared" si="100"/>
        <v>38633</v>
      </c>
      <c r="J339" s="53">
        <f t="shared" si="101"/>
        <v>43152</v>
      </c>
      <c r="K339" s="50">
        <f t="shared" si="102"/>
        <v>9795</v>
      </c>
      <c r="L339" s="51">
        <f t="shared" si="103"/>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2">
      <c r="A340" s="31" t="s">
        <v>150</v>
      </c>
      <c r="B340" s="1" t="s">
        <v>435</v>
      </c>
      <c r="C340" s="30" t="str">
        <f t="shared" si="104"/>
        <v>LA England - Lewisham</v>
      </c>
      <c r="D340" s="51">
        <f t="shared" si="95"/>
        <v>12562</v>
      </c>
      <c r="E340" s="51">
        <f t="shared" si="96"/>
        <v>39708</v>
      </c>
      <c r="F340" s="52">
        <f t="shared" si="97"/>
        <v>298653</v>
      </c>
      <c r="G340" s="52">
        <f t="shared" si="98"/>
        <v>141527</v>
      </c>
      <c r="H340" s="53">
        <f t="shared" si="99"/>
        <v>157126</v>
      </c>
      <c r="I340" s="53">
        <f t="shared" si="100"/>
        <v>109313</v>
      </c>
      <c r="J340" s="53">
        <f t="shared" si="101"/>
        <v>125822</v>
      </c>
      <c r="K340" s="50">
        <f t="shared" si="102"/>
        <v>32214</v>
      </c>
      <c r="L340" s="51">
        <f t="shared" si="103"/>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2">
      <c r="A341" s="31" t="s">
        <v>150</v>
      </c>
      <c r="B341" s="1" t="s">
        <v>436</v>
      </c>
      <c r="C341" s="30" t="str">
        <f t="shared" si="104"/>
        <v>LA England - Lichfield</v>
      </c>
      <c r="D341" s="51">
        <f t="shared" si="95"/>
        <v>3260</v>
      </c>
      <c r="E341" s="51">
        <f t="shared" si="96"/>
        <v>15651</v>
      </c>
      <c r="F341" s="52">
        <f t="shared" si="97"/>
        <v>108352</v>
      </c>
      <c r="G341" s="52">
        <f t="shared" si="98"/>
        <v>53454</v>
      </c>
      <c r="H341" s="53">
        <f t="shared" si="99"/>
        <v>54898</v>
      </c>
      <c r="I341" s="53">
        <f t="shared" si="100"/>
        <v>43015</v>
      </c>
      <c r="J341" s="53">
        <f t="shared" si="101"/>
        <v>44818</v>
      </c>
      <c r="K341" s="50">
        <f t="shared" si="102"/>
        <v>10439</v>
      </c>
      <c r="L341" s="51">
        <f t="shared" si="103"/>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2">
      <c r="A342" s="31" t="s">
        <v>150</v>
      </c>
      <c r="B342" s="1" t="s">
        <v>437</v>
      </c>
      <c r="C342" s="30" t="str">
        <f t="shared" si="104"/>
        <v>LA England - Lincoln</v>
      </c>
      <c r="D342" s="51">
        <f t="shared" si="95"/>
        <v>3023</v>
      </c>
      <c r="E342" s="51">
        <f t="shared" si="96"/>
        <v>11524</v>
      </c>
      <c r="F342" s="52">
        <f t="shared" si="97"/>
        <v>102545</v>
      </c>
      <c r="G342" s="52">
        <f t="shared" si="98"/>
        <v>50965</v>
      </c>
      <c r="H342" s="53">
        <f t="shared" si="99"/>
        <v>51580</v>
      </c>
      <c r="I342" s="53">
        <f t="shared" si="100"/>
        <v>41121</v>
      </c>
      <c r="J342" s="53">
        <f t="shared" si="101"/>
        <v>42558</v>
      </c>
      <c r="K342" s="50">
        <f t="shared" si="102"/>
        <v>9844</v>
      </c>
      <c r="L342" s="51">
        <f t="shared" si="103"/>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2">
      <c r="A343" s="31" t="s">
        <v>150</v>
      </c>
      <c r="B343" s="1" t="s">
        <v>438</v>
      </c>
      <c r="C343" s="30" t="str">
        <f t="shared" si="104"/>
        <v>LA England - Liverpool</v>
      </c>
      <c r="D343" s="51">
        <f t="shared" si="95"/>
        <v>14702</v>
      </c>
      <c r="E343" s="51">
        <f t="shared" si="96"/>
        <v>60224</v>
      </c>
      <c r="F343" s="52">
        <f t="shared" si="97"/>
        <v>496770</v>
      </c>
      <c r="G343" s="52">
        <f t="shared" si="98"/>
        <v>243137</v>
      </c>
      <c r="H343" s="53">
        <f t="shared" si="99"/>
        <v>253633</v>
      </c>
      <c r="I343" s="53">
        <f t="shared" si="100"/>
        <v>194715</v>
      </c>
      <c r="J343" s="53">
        <f t="shared" si="101"/>
        <v>207573</v>
      </c>
      <c r="K343" s="50">
        <f t="shared" si="102"/>
        <v>48422</v>
      </c>
      <c r="L343" s="51">
        <f t="shared" si="103"/>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2">
      <c r="A344" s="31" t="s">
        <v>150</v>
      </c>
      <c r="B344" s="1" t="s">
        <v>439</v>
      </c>
      <c r="C344" s="30" t="str">
        <f t="shared" si="104"/>
        <v>LA England - Luton</v>
      </c>
      <c r="D344" s="51">
        <f t="shared" si="95"/>
        <v>8405</v>
      </c>
      <c r="E344" s="51">
        <f t="shared" si="96"/>
        <v>25134</v>
      </c>
      <c r="F344" s="52">
        <f t="shared" si="97"/>
        <v>226973</v>
      </c>
      <c r="G344" s="52">
        <f t="shared" si="98"/>
        <v>114850</v>
      </c>
      <c r="H344" s="53">
        <f t="shared" si="99"/>
        <v>112123</v>
      </c>
      <c r="I344" s="53">
        <f t="shared" si="100"/>
        <v>84338</v>
      </c>
      <c r="J344" s="53">
        <f t="shared" si="101"/>
        <v>83279</v>
      </c>
      <c r="K344" s="50">
        <f t="shared" si="102"/>
        <v>30512</v>
      </c>
      <c r="L344" s="51">
        <f t="shared" si="103"/>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2">
      <c r="A345" s="31" t="s">
        <v>150</v>
      </c>
      <c r="B345" s="1" t="s">
        <v>440</v>
      </c>
      <c r="C345" s="30" t="str">
        <f t="shared" si="104"/>
        <v>LA England - Maidstone</v>
      </c>
      <c r="D345" s="51">
        <f t="shared" si="95"/>
        <v>6053</v>
      </c>
      <c r="E345" s="51">
        <f t="shared" si="96"/>
        <v>24434</v>
      </c>
      <c r="F345" s="52">
        <f t="shared" si="97"/>
        <v>180428</v>
      </c>
      <c r="G345" s="52">
        <f t="shared" si="98"/>
        <v>88991</v>
      </c>
      <c r="H345" s="53">
        <f t="shared" si="99"/>
        <v>91437</v>
      </c>
      <c r="I345" s="53">
        <f t="shared" si="100"/>
        <v>68737</v>
      </c>
      <c r="J345" s="53">
        <f t="shared" si="101"/>
        <v>72436</v>
      </c>
      <c r="K345" s="50">
        <f t="shared" si="102"/>
        <v>20254</v>
      </c>
      <c r="L345" s="51">
        <f t="shared" si="103"/>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2">
      <c r="A346" s="31" t="s">
        <v>150</v>
      </c>
      <c r="B346" s="1" t="s">
        <v>441</v>
      </c>
      <c r="C346" s="30" t="str">
        <f t="shared" si="104"/>
        <v>LA England - Maldon</v>
      </c>
      <c r="D346" s="51">
        <f t="shared" si="95"/>
        <v>1865</v>
      </c>
      <c r="E346" s="51">
        <f t="shared" si="96"/>
        <v>10427</v>
      </c>
      <c r="F346" s="52">
        <f t="shared" si="97"/>
        <v>67554</v>
      </c>
      <c r="G346" s="52">
        <f t="shared" si="98"/>
        <v>33035</v>
      </c>
      <c r="H346" s="53">
        <f t="shared" si="99"/>
        <v>34519</v>
      </c>
      <c r="I346" s="53">
        <f t="shared" si="100"/>
        <v>26618</v>
      </c>
      <c r="J346" s="53">
        <f t="shared" si="101"/>
        <v>28395</v>
      </c>
      <c r="K346" s="50">
        <f t="shared" si="102"/>
        <v>6417</v>
      </c>
      <c r="L346" s="51">
        <f t="shared" si="103"/>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2">
      <c r="A347" s="31" t="s">
        <v>150</v>
      </c>
      <c r="B347" s="1" t="s">
        <v>442</v>
      </c>
      <c r="C347" s="30" t="str">
        <f t="shared" si="104"/>
        <v>LA England - Malvern Hills</v>
      </c>
      <c r="D347" s="51">
        <f t="shared" si="95"/>
        <v>2139</v>
      </c>
      <c r="E347" s="51">
        <f t="shared" si="96"/>
        <v>12707</v>
      </c>
      <c r="F347" s="52">
        <f t="shared" si="97"/>
        <v>81024</v>
      </c>
      <c r="G347" s="52">
        <f t="shared" si="98"/>
        <v>39376</v>
      </c>
      <c r="H347" s="53">
        <f t="shared" si="99"/>
        <v>41648</v>
      </c>
      <c r="I347" s="53">
        <f t="shared" si="100"/>
        <v>32005</v>
      </c>
      <c r="J347" s="53">
        <f t="shared" si="101"/>
        <v>34534</v>
      </c>
      <c r="K347" s="50">
        <f t="shared" si="102"/>
        <v>7371</v>
      </c>
      <c r="L347" s="51">
        <f t="shared" si="103"/>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2">
      <c r="A348" s="31" t="s">
        <v>150</v>
      </c>
      <c r="B348" s="1" t="s">
        <v>443</v>
      </c>
      <c r="C348" s="30" t="str">
        <f t="shared" si="104"/>
        <v>LA England - Manchester</v>
      </c>
      <c r="D348" s="51">
        <f t="shared" si="95"/>
        <v>18702</v>
      </c>
      <c r="E348" s="51">
        <f t="shared" si="96"/>
        <v>56477</v>
      </c>
      <c r="F348" s="52">
        <f t="shared" si="97"/>
        <v>568996</v>
      </c>
      <c r="G348" s="52">
        <f t="shared" si="98"/>
        <v>282913</v>
      </c>
      <c r="H348" s="53">
        <f t="shared" si="99"/>
        <v>286083</v>
      </c>
      <c r="I348" s="53">
        <f t="shared" si="100"/>
        <v>217609</v>
      </c>
      <c r="J348" s="53">
        <f t="shared" si="101"/>
        <v>223000</v>
      </c>
      <c r="K348" s="50">
        <f t="shared" si="102"/>
        <v>65304</v>
      </c>
      <c r="L348" s="51">
        <f t="shared" si="103"/>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2">
      <c r="A349" s="31" t="s">
        <v>150</v>
      </c>
      <c r="B349" s="1" t="s">
        <v>444</v>
      </c>
      <c r="C349" s="30" t="str">
        <f t="shared" si="104"/>
        <v>LA England - Mansfield</v>
      </c>
      <c r="D349" s="51">
        <f t="shared" si="95"/>
        <v>3476</v>
      </c>
      <c r="E349" s="51">
        <f t="shared" si="96"/>
        <v>15630</v>
      </c>
      <c r="F349" s="52">
        <f t="shared" si="97"/>
        <v>111117</v>
      </c>
      <c r="G349" s="52">
        <f t="shared" si="98"/>
        <v>54636</v>
      </c>
      <c r="H349" s="53">
        <f t="shared" si="99"/>
        <v>56481</v>
      </c>
      <c r="I349" s="53">
        <f t="shared" si="100"/>
        <v>42964</v>
      </c>
      <c r="J349" s="53">
        <f t="shared" si="101"/>
        <v>45199</v>
      </c>
      <c r="K349" s="50">
        <f t="shared" si="102"/>
        <v>11672</v>
      </c>
      <c r="L349" s="51">
        <f t="shared" si="103"/>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2">
      <c r="A350" s="31" t="s">
        <v>150</v>
      </c>
      <c r="B350" s="1" t="s">
        <v>445</v>
      </c>
      <c r="C350" s="30" t="str">
        <f t="shared" si="104"/>
        <v>LA England - Medway</v>
      </c>
      <c r="D350" s="51">
        <f t="shared" si="95"/>
        <v>9917</v>
      </c>
      <c r="E350" s="51">
        <f t="shared" si="96"/>
        <v>37360</v>
      </c>
      <c r="F350" s="52">
        <f t="shared" si="97"/>
        <v>282702</v>
      </c>
      <c r="G350" s="52">
        <f t="shared" si="98"/>
        <v>138474</v>
      </c>
      <c r="H350" s="53">
        <f t="shared" si="99"/>
        <v>144228</v>
      </c>
      <c r="I350" s="53">
        <f t="shared" si="100"/>
        <v>105144</v>
      </c>
      <c r="J350" s="53">
        <f t="shared" si="101"/>
        <v>112269</v>
      </c>
      <c r="K350" s="50">
        <f t="shared" si="102"/>
        <v>33330</v>
      </c>
      <c r="L350" s="51">
        <f t="shared" si="103"/>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2">
      <c r="A351" s="31" t="s">
        <v>150</v>
      </c>
      <c r="B351" s="1" t="s">
        <v>446</v>
      </c>
      <c r="C351" s="30" t="str">
        <f t="shared" si="104"/>
        <v>LA England - Melton</v>
      </c>
      <c r="D351" s="51">
        <f t="shared" si="95"/>
        <v>1558</v>
      </c>
      <c r="E351" s="51">
        <f t="shared" si="96"/>
        <v>8318</v>
      </c>
      <c r="F351" s="52">
        <f t="shared" si="97"/>
        <v>52433</v>
      </c>
      <c r="G351" s="52">
        <f t="shared" si="98"/>
        <v>25534</v>
      </c>
      <c r="H351" s="53">
        <f t="shared" si="99"/>
        <v>26899</v>
      </c>
      <c r="I351" s="53">
        <f t="shared" si="100"/>
        <v>20471</v>
      </c>
      <c r="J351" s="53">
        <f t="shared" si="101"/>
        <v>21944</v>
      </c>
      <c r="K351" s="50">
        <f t="shared" si="102"/>
        <v>5063</v>
      </c>
      <c r="L351" s="51">
        <f t="shared" si="103"/>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2">
      <c r="A352" s="31" t="s">
        <v>150</v>
      </c>
      <c r="B352" s="1" t="s">
        <v>447</v>
      </c>
      <c r="C352" s="30" t="str">
        <f t="shared" si="104"/>
        <v>LA England - Merton</v>
      </c>
      <c r="D352" s="51">
        <f t="shared" si="95"/>
        <v>9242</v>
      </c>
      <c r="E352" s="51">
        <f t="shared" si="96"/>
        <v>28448</v>
      </c>
      <c r="F352" s="52">
        <f t="shared" si="97"/>
        <v>214709</v>
      </c>
      <c r="G352" s="52">
        <f t="shared" si="98"/>
        <v>104479</v>
      </c>
      <c r="H352" s="53">
        <f t="shared" si="99"/>
        <v>110230</v>
      </c>
      <c r="I352" s="53">
        <f t="shared" si="100"/>
        <v>80172</v>
      </c>
      <c r="J352" s="53">
        <f t="shared" si="101"/>
        <v>87337</v>
      </c>
      <c r="K352" s="50">
        <f t="shared" si="102"/>
        <v>24307</v>
      </c>
      <c r="L352" s="51">
        <f t="shared" si="103"/>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2">
      <c r="A353" s="31" t="s">
        <v>150</v>
      </c>
      <c r="B353" s="1" t="s">
        <v>448</v>
      </c>
      <c r="C353" s="30" t="str">
        <f t="shared" si="104"/>
        <v>LA England - Mid Devon</v>
      </c>
      <c r="D353" s="51">
        <f t="shared" si="95"/>
        <v>2501</v>
      </c>
      <c r="E353" s="51">
        <f t="shared" si="96"/>
        <v>12605</v>
      </c>
      <c r="F353" s="52">
        <f t="shared" si="97"/>
        <v>83786</v>
      </c>
      <c r="G353" s="52">
        <f t="shared" si="98"/>
        <v>40955</v>
      </c>
      <c r="H353" s="53">
        <f t="shared" si="99"/>
        <v>42831</v>
      </c>
      <c r="I353" s="53">
        <f t="shared" si="100"/>
        <v>32315</v>
      </c>
      <c r="J353" s="53">
        <f t="shared" si="101"/>
        <v>34809</v>
      </c>
      <c r="K353" s="50">
        <f t="shared" si="102"/>
        <v>8640</v>
      </c>
      <c r="L353" s="51">
        <f t="shared" si="103"/>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2">
      <c r="A354" s="31" t="s">
        <v>150</v>
      </c>
      <c r="B354" s="1" t="s">
        <v>449</v>
      </c>
      <c r="C354" s="30" t="str">
        <f t="shared" si="104"/>
        <v>LA England - Mid Suffolk</v>
      </c>
      <c r="D354" s="51">
        <f t="shared" si="95"/>
        <v>2949</v>
      </c>
      <c r="E354" s="51">
        <f t="shared" si="96"/>
        <v>15918</v>
      </c>
      <c r="F354" s="52">
        <f t="shared" si="97"/>
        <v>105723</v>
      </c>
      <c r="G354" s="52">
        <f t="shared" si="98"/>
        <v>52191</v>
      </c>
      <c r="H354" s="53">
        <f t="shared" si="99"/>
        <v>53532</v>
      </c>
      <c r="I354" s="53">
        <f t="shared" si="100"/>
        <v>42291</v>
      </c>
      <c r="J354" s="53">
        <f t="shared" si="101"/>
        <v>44223</v>
      </c>
      <c r="K354" s="50">
        <f t="shared" si="102"/>
        <v>9900</v>
      </c>
      <c r="L354" s="51">
        <f t="shared" si="103"/>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2">
      <c r="A355" s="31" t="s">
        <v>150</v>
      </c>
      <c r="B355" s="1" t="s">
        <v>450</v>
      </c>
      <c r="C355" s="30" t="str">
        <f t="shared" si="104"/>
        <v>LA England - Mid Sussex</v>
      </c>
      <c r="D355" s="51">
        <f t="shared" si="95"/>
        <v>5641</v>
      </c>
      <c r="E355" s="51">
        <f t="shared" si="96"/>
        <v>22357</v>
      </c>
      <c r="F355" s="52">
        <f t="shared" si="97"/>
        <v>154930</v>
      </c>
      <c r="G355" s="52">
        <f t="shared" si="98"/>
        <v>75265</v>
      </c>
      <c r="H355" s="53">
        <f t="shared" si="99"/>
        <v>79665</v>
      </c>
      <c r="I355" s="53">
        <f t="shared" si="100"/>
        <v>58149</v>
      </c>
      <c r="J355" s="53">
        <f t="shared" si="101"/>
        <v>63165</v>
      </c>
      <c r="K355" s="50">
        <f t="shared" si="102"/>
        <v>17116</v>
      </c>
      <c r="L355" s="51">
        <f t="shared" si="103"/>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2">
      <c r="A356" s="31" t="s">
        <v>150</v>
      </c>
      <c r="B356" s="1" t="s">
        <v>451</v>
      </c>
      <c r="C356" s="30" t="str">
        <f t="shared" si="104"/>
        <v>LA England - Middlesbrough</v>
      </c>
      <c r="D356" s="51">
        <f t="shared" si="95"/>
        <v>4326</v>
      </c>
      <c r="E356" s="51">
        <f t="shared" si="96"/>
        <v>18435</v>
      </c>
      <c r="F356" s="52">
        <f t="shared" si="97"/>
        <v>148285</v>
      </c>
      <c r="G356" s="52">
        <f t="shared" si="98"/>
        <v>73893</v>
      </c>
      <c r="H356" s="53">
        <f t="shared" si="99"/>
        <v>74392</v>
      </c>
      <c r="I356" s="53">
        <f t="shared" si="100"/>
        <v>56441</v>
      </c>
      <c r="J356" s="53">
        <f t="shared" si="101"/>
        <v>57704</v>
      </c>
      <c r="K356" s="50">
        <f t="shared" si="102"/>
        <v>17452</v>
      </c>
      <c r="L356" s="51">
        <f t="shared" si="103"/>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2">
      <c r="A357" s="31" t="s">
        <v>150</v>
      </c>
      <c r="B357" s="1" t="s">
        <v>452</v>
      </c>
      <c r="C357" s="30" t="str">
        <f t="shared" si="104"/>
        <v>LA England - Milton Keynes</v>
      </c>
      <c r="D357" s="51">
        <f t="shared" si="95"/>
        <v>11741</v>
      </c>
      <c r="E357" s="51">
        <f t="shared" si="96"/>
        <v>37963</v>
      </c>
      <c r="F357" s="52">
        <f t="shared" si="97"/>
        <v>292180</v>
      </c>
      <c r="G357" s="52">
        <f t="shared" si="98"/>
        <v>144248</v>
      </c>
      <c r="H357" s="53">
        <f t="shared" si="99"/>
        <v>147932</v>
      </c>
      <c r="I357" s="53">
        <f t="shared" si="100"/>
        <v>107834</v>
      </c>
      <c r="J357" s="53">
        <f t="shared" si="101"/>
        <v>113512</v>
      </c>
      <c r="K357" s="50">
        <f t="shared" si="102"/>
        <v>36414</v>
      </c>
      <c r="L357" s="51">
        <f t="shared" si="103"/>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2">
      <c r="A358" s="31" t="s">
        <v>150</v>
      </c>
      <c r="B358" s="1" t="s">
        <v>453</v>
      </c>
      <c r="C358" s="30" t="str">
        <f t="shared" si="104"/>
        <v>LA England - Mole Valley</v>
      </c>
      <c r="D358" s="51">
        <f t="shared" si="95"/>
        <v>2818</v>
      </c>
      <c r="E358" s="51">
        <f t="shared" si="96"/>
        <v>13741</v>
      </c>
      <c r="F358" s="52">
        <f t="shared" si="97"/>
        <v>87769</v>
      </c>
      <c r="G358" s="52">
        <f t="shared" si="98"/>
        <v>42730</v>
      </c>
      <c r="H358" s="53">
        <f t="shared" si="99"/>
        <v>45039</v>
      </c>
      <c r="I358" s="53">
        <f t="shared" si="100"/>
        <v>33978</v>
      </c>
      <c r="J358" s="53">
        <f t="shared" si="101"/>
        <v>36578</v>
      </c>
      <c r="K358" s="50">
        <f t="shared" si="102"/>
        <v>8752</v>
      </c>
      <c r="L358" s="51">
        <f t="shared" si="103"/>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2">
      <c r="A359" s="31" t="s">
        <v>150</v>
      </c>
      <c r="B359" s="1" t="s">
        <v>454</v>
      </c>
      <c r="C359" s="30" t="str">
        <f t="shared" si="104"/>
        <v>LA England - New Forest</v>
      </c>
      <c r="D359" s="51">
        <f t="shared" si="95"/>
        <v>4752</v>
      </c>
      <c r="E359" s="51">
        <f t="shared" si="96"/>
        <v>27132</v>
      </c>
      <c r="F359" s="52">
        <f t="shared" si="97"/>
        <v>175942</v>
      </c>
      <c r="G359" s="52">
        <f t="shared" si="98"/>
        <v>84573</v>
      </c>
      <c r="H359" s="53">
        <f t="shared" si="99"/>
        <v>91369</v>
      </c>
      <c r="I359" s="53">
        <f t="shared" si="100"/>
        <v>68961</v>
      </c>
      <c r="J359" s="53">
        <f t="shared" si="101"/>
        <v>76537</v>
      </c>
      <c r="K359" s="50">
        <f t="shared" si="102"/>
        <v>15612</v>
      </c>
      <c r="L359" s="51">
        <f t="shared" si="103"/>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2">
      <c r="A360" s="31" t="s">
        <v>150</v>
      </c>
      <c r="B360" s="1" t="s">
        <v>455</v>
      </c>
      <c r="C360" s="30" t="str">
        <f t="shared" si="104"/>
        <v>LA England - Newark and Sherwood</v>
      </c>
      <c r="D360" s="51">
        <f t="shared" si="95"/>
        <v>3608</v>
      </c>
      <c r="E360" s="51">
        <f t="shared" si="96"/>
        <v>18242</v>
      </c>
      <c r="F360" s="52">
        <f t="shared" si="97"/>
        <v>125089</v>
      </c>
      <c r="G360" s="52">
        <f t="shared" si="98"/>
        <v>61623</v>
      </c>
      <c r="H360" s="53">
        <f t="shared" si="99"/>
        <v>63466</v>
      </c>
      <c r="I360" s="53">
        <f t="shared" si="100"/>
        <v>49311</v>
      </c>
      <c r="J360" s="53">
        <f t="shared" si="101"/>
        <v>51541</v>
      </c>
      <c r="K360" s="50">
        <f t="shared" si="102"/>
        <v>12312</v>
      </c>
      <c r="L360" s="51">
        <f t="shared" si="103"/>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2">
      <c r="A361" s="31" t="s">
        <v>150</v>
      </c>
      <c r="B361" s="1" t="s">
        <v>456</v>
      </c>
      <c r="C361" s="30" t="str">
        <f t="shared" si="104"/>
        <v>LA England - Newcastle upon Tyne</v>
      </c>
      <c r="D361" s="51">
        <f t="shared" si="95"/>
        <v>8980</v>
      </c>
      <c r="E361" s="51">
        <f t="shared" si="96"/>
        <v>34316</v>
      </c>
      <c r="F361" s="52">
        <f t="shared" si="97"/>
        <v>307565</v>
      </c>
      <c r="G361" s="52">
        <f t="shared" si="98"/>
        <v>152597</v>
      </c>
      <c r="H361" s="53">
        <f t="shared" si="99"/>
        <v>154968</v>
      </c>
      <c r="I361" s="53">
        <f t="shared" si="100"/>
        <v>122298</v>
      </c>
      <c r="J361" s="53">
        <f t="shared" si="101"/>
        <v>126308</v>
      </c>
      <c r="K361" s="50">
        <f t="shared" si="102"/>
        <v>30299</v>
      </c>
      <c r="L361" s="51">
        <f t="shared" si="103"/>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2">
      <c r="A362" s="31" t="s">
        <v>150</v>
      </c>
      <c r="B362" s="1" t="s">
        <v>457</v>
      </c>
      <c r="C362" s="30" t="str">
        <f t="shared" si="104"/>
        <v>LA England - Newcastle-under-Lyme</v>
      </c>
      <c r="D362" s="51">
        <f t="shared" si="95"/>
        <v>3620</v>
      </c>
      <c r="E362" s="51">
        <f t="shared" si="96"/>
        <v>17385</v>
      </c>
      <c r="F362" s="52">
        <f t="shared" si="97"/>
        <v>125297</v>
      </c>
      <c r="G362" s="52">
        <f t="shared" si="98"/>
        <v>61266</v>
      </c>
      <c r="H362" s="53">
        <f t="shared" si="99"/>
        <v>64031</v>
      </c>
      <c r="I362" s="53">
        <f t="shared" si="100"/>
        <v>49470</v>
      </c>
      <c r="J362" s="53">
        <f t="shared" si="101"/>
        <v>52892</v>
      </c>
      <c r="K362" s="50">
        <f t="shared" si="102"/>
        <v>11796</v>
      </c>
      <c r="L362" s="51">
        <f t="shared" si="103"/>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2">
      <c r="A363" s="31" t="s">
        <v>150</v>
      </c>
      <c r="B363" s="1" t="s">
        <v>458</v>
      </c>
      <c r="C363" s="30" t="str">
        <f t="shared" si="104"/>
        <v>LA England - Newham</v>
      </c>
      <c r="D363" s="51">
        <f t="shared" si="95"/>
        <v>13500</v>
      </c>
      <c r="E363" s="51">
        <f t="shared" si="96"/>
        <v>37449</v>
      </c>
      <c r="F363" s="52">
        <f t="shared" si="97"/>
        <v>358645</v>
      </c>
      <c r="G363" s="52">
        <f t="shared" si="98"/>
        <v>180140</v>
      </c>
      <c r="H363" s="53">
        <f t="shared" si="99"/>
        <v>178505</v>
      </c>
      <c r="I363" s="53">
        <f t="shared" si="100"/>
        <v>137947</v>
      </c>
      <c r="J363" s="53">
        <f t="shared" si="101"/>
        <v>136704</v>
      </c>
      <c r="K363" s="50">
        <f t="shared" si="102"/>
        <v>42193</v>
      </c>
      <c r="L363" s="51">
        <f t="shared" si="103"/>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2">
      <c r="A364" s="31" t="s">
        <v>150</v>
      </c>
      <c r="B364" s="1" t="s">
        <v>459</v>
      </c>
      <c r="C364" s="30" t="str">
        <f t="shared" si="104"/>
        <v>LA England - North Devon</v>
      </c>
      <c r="D364" s="51">
        <f t="shared" si="95"/>
        <v>2852</v>
      </c>
      <c r="E364" s="51">
        <f t="shared" si="96"/>
        <v>15154</v>
      </c>
      <c r="F364" s="52">
        <f t="shared" si="97"/>
        <v>100505</v>
      </c>
      <c r="G364" s="52">
        <f t="shared" si="98"/>
        <v>49055</v>
      </c>
      <c r="H364" s="53">
        <f t="shared" si="99"/>
        <v>51450</v>
      </c>
      <c r="I364" s="53">
        <f t="shared" si="100"/>
        <v>39496</v>
      </c>
      <c r="J364" s="53">
        <f t="shared" si="101"/>
        <v>42200</v>
      </c>
      <c r="K364" s="50">
        <f t="shared" si="102"/>
        <v>9559</v>
      </c>
      <c r="L364" s="51">
        <f t="shared" si="103"/>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2">
      <c r="A365" s="31" t="s">
        <v>150</v>
      </c>
      <c r="B365" s="1" t="s">
        <v>460</v>
      </c>
      <c r="C365" s="30" t="str">
        <f t="shared" si="104"/>
        <v>LA England - North East Derbyshire</v>
      </c>
      <c r="D365" s="51">
        <f t="shared" si="95"/>
        <v>2933</v>
      </c>
      <c r="E365" s="51">
        <f t="shared" si="96"/>
        <v>15409</v>
      </c>
      <c r="F365" s="52">
        <f t="shared" si="97"/>
        <v>103783</v>
      </c>
      <c r="G365" s="52">
        <f t="shared" si="98"/>
        <v>50502</v>
      </c>
      <c r="H365" s="53">
        <f t="shared" si="99"/>
        <v>53281</v>
      </c>
      <c r="I365" s="53">
        <f t="shared" si="100"/>
        <v>40786</v>
      </c>
      <c r="J365" s="53">
        <f t="shared" si="101"/>
        <v>43768</v>
      </c>
      <c r="K365" s="50">
        <f t="shared" si="102"/>
        <v>9716</v>
      </c>
      <c r="L365" s="51">
        <f t="shared" si="103"/>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2">
      <c r="A366" s="31" t="s">
        <v>150</v>
      </c>
      <c r="B366" s="1" t="s">
        <v>461</v>
      </c>
      <c r="C366" s="30" t="str">
        <f t="shared" si="104"/>
        <v>LA England - North East Lincolnshire</v>
      </c>
      <c r="D366" s="51">
        <f t="shared" si="95"/>
        <v>4526</v>
      </c>
      <c r="E366" s="51">
        <f t="shared" si="96"/>
        <v>22520</v>
      </c>
      <c r="F366" s="52">
        <f t="shared" si="97"/>
        <v>157754</v>
      </c>
      <c r="G366" s="52">
        <f t="shared" si="98"/>
        <v>77352</v>
      </c>
      <c r="H366" s="53">
        <f t="shared" si="99"/>
        <v>80402</v>
      </c>
      <c r="I366" s="53">
        <f t="shared" si="100"/>
        <v>60371</v>
      </c>
      <c r="J366" s="53">
        <f t="shared" si="101"/>
        <v>64235</v>
      </c>
      <c r="K366" s="50">
        <f t="shared" si="102"/>
        <v>16981</v>
      </c>
      <c r="L366" s="51">
        <f t="shared" si="103"/>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2">
      <c r="A367" s="31" t="s">
        <v>150</v>
      </c>
      <c r="B367" s="1" t="s">
        <v>462</v>
      </c>
      <c r="C367" s="30" t="str">
        <f t="shared" si="104"/>
        <v>LA England - North Hertfordshire</v>
      </c>
      <c r="D367" s="51">
        <f t="shared" si="95"/>
        <v>5003</v>
      </c>
      <c r="E367" s="51">
        <f t="shared" si="96"/>
        <v>19108</v>
      </c>
      <c r="F367" s="52">
        <f t="shared" si="97"/>
        <v>134159</v>
      </c>
      <c r="G367" s="52">
        <f t="shared" si="98"/>
        <v>65127</v>
      </c>
      <c r="H367" s="53">
        <f t="shared" si="99"/>
        <v>69032</v>
      </c>
      <c r="I367" s="53">
        <f t="shared" si="100"/>
        <v>50497</v>
      </c>
      <c r="J367" s="53">
        <f t="shared" si="101"/>
        <v>55060</v>
      </c>
      <c r="K367" s="50">
        <f t="shared" si="102"/>
        <v>14630</v>
      </c>
      <c r="L367" s="51">
        <f t="shared" si="103"/>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2">
      <c r="A368" s="31" t="s">
        <v>150</v>
      </c>
      <c r="B368" s="1" t="s">
        <v>463</v>
      </c>
      <c r="C368" s="30" t="str">
        <f t="shared" si="104"/>
        <v>LA England - North Kesteven</v>
      </c>
      <c r="D368" s="51">
        <f t="shared" si="95"/>
        <v>3516</v>
      </c>
      <c r="E368" s="51">
        <f t="shared" si="96"/>
        <v>17857</v>
      </c>
      <c r="F368" s="52">
        <f t="shared" si="97"/>
        <v>119709</v>
      </c>
      <c r="G368" s="52">
        <f t="shared" si="98"/>
        <v>58672</v>
      </c>
      <c r="H368" s="53">
        <f t="shared" si="99"/>
        <v>61037</v>
      </c>
      <c r="I368" s="53">
        <f t="shared" si="100"/>
        <v>47221</v>
      </c>
      <c r="J368" s="53">
        <f t="shared" si="101"/>
        <v>49744</v>
      </c>
      <c r="K368" s="50">
        <f t="shared" si="102"/>
        <v>11451</v>
      </c>
      <c r="L368" s="51">
        <f t="shared" si="103"/>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2">
      <c r="A369" s="31" t="s">
        <v>150</v>
      </c>
      <c r="B369" s="1" t="s">
        <v>464</v>
      </c>
      <c r="C369" s="30" t="str">
        <f t="shared" si="104"/>
        <v>LA England - North Lincolnshire</v>
      </c>
      <c r="D369" s="51">
        <f t="shared" si="95"/>
        <v>4867</v>
      </c>
      <c r="E369" s="51">
        <f t="shared" si="96"/>
        <v>24627</v>
      </c>
      <c r="F369" s="52">
        <f t="shared" si="97"/>
        <v>170042</v>
      </c>
      <c r="G369" s="52">
        <f t="shared" si="98"/>
        <v>83843</v>
      </c>
      <c r="H369" s="53">
        <f t="shared" si="99"/>
        <v>86199</v>
      </c>
      <c r="I369" s="53">
        <f t="shared" si="100"/>
        <v>66371</v>
      </c>
      <c r="J369" s="53">
        <f t="shared" si="101"/>
        <v>69310</v>
      </c>
      <c r="K369" s="50">
        <f t="shared" si="102"/>
        <v>17472</v>
      </c>
      <c r="L369" s="51">
        <f t="shared" si="103"/>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2">
      <c r="A370" s="31" t="s">
        <v>150</v>
      </c>
      <c r="B370" s="1" t="s">
        <v>465</v>
      </c>
      <c r="C370" s="30" t="str">
        <f t="shared" si="104"/>
        <v>LA England - North Norfolk</v>
      </c>
      <c r="D370" s="51">
        <f t="shared" si="95"/>
        <v>2353</v>
      </c>
      <c r="E370" s="51">
        <f t="shared" si="96"/>
        <v>16057</v>
      </c>
      <c r="F370" s="52">
        <f t="shared" si="97"/>
        <v>103227</v>
      </c>
      <c r="G370" s="52">
        <f t="shared" si="98"/>
        <v>50383</v>
      </c>
      <c r="H370" s="53">
        <f t="shared" si="99"/>
        <v>52844</v>
      </c>
      <c r="I370" s="53">
        <f t="shared" si="100"/>
        <v>42202</v>
      </c>
      <c r="J370" s="53">
        <f t="shared" si="101"/>
        <v>45374</v>
      </c>
      <c r="K370" s="50">
        <f t="shared" si="102"/>
        <v>8181</v>
      </c>
      <c r="L370" s="51">
        <f t="shared" si="103"/>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2">
      <c r="A371" s="31" t="s">
        <v>150</v>
      </c>
      <c r="B371" s="1" t="s">
        <v>775</v>
      </c>
      <c r="C371" s="30" t="str">
        <f t="shared" si="104"/>
        <v>LA England - North Northamptonshire</v>
      </c>
      <c r="D371" s="51">
        <f t="shared" si="95"/>
        <v>12156</v>
      </c>
      <c r="E371" s="51">
        <f t="shared" si="96"/>
        <v>50546</v>
      </c>
      <c r="F371" s="52">
        <f t="shared" si="97"/>
        <v>363408</v>
      </c>
      <c r="G371" s="52">
        <f t="shared" si="98"/>
        <v>179073</v>
      </c>
      <c r="H371" s="53">
        <f t="shared" si="99"/>
        <v>184335</v>
      </c>
      <c r="I371" s="53">
        <f t="shared" si="100"/>
        <v>138007</v>
      </c>
      <c r="J371" s="53">
        <f t="shared" si="101"/>
        <v>145289</v>
      </c>
      <c r="K371" s="50">
        <f t="shared" si="102"/>
        <v>41066</v>
      </c>
      <c r="L371" s="51">
        <f t="shared" si="103"/>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2">
      <c r="A372" s="31" t="s">
        <v>150</v>
      </c>
      <c r="B372" s="1" t="s">
        <v>466</v>
      </c>
      <c r="C372" s="30" t="str">
        <f t="shared" si="104"/>
        <v>LA England - North Somerset</v>
      </c>
      <c r="D372" s="51">
        <f t="shared" si="95"/>
        <v>7167</v>
      </c>
      <c r="E372" s="51">
        <f t="shared" si="96"/>
        <v>31349</v>
      </c>
      <c r="F372" s="52">
        <f t="shared" si="97"/>
        <v>219145</v>
      </c>
      <c r="G372" s="52">
        <f t="shared" si="98"/>
        <v>106653</v>
      </c>
      <c r="H372" s="53">
        <f t="shared" si="99"/>
        <v>112492</v>
      </c>
      <c r="I372" s="53">
        <f t="shared" si="100"/>
        <v>84352</v>
      </c>
      <c r="J372" s="53">
        <f t="shared" si="101"/>
        <v>91426</v>
      </c>
      <c r="K372" s="50">
        <f t="shared" si="102"/>
        <v>22301</v>
      </c>
      <c r="L372" s="51">
        <f t="shared" si="103"/>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2">
      <c r="A373" s="31" t="s">
        <v>150</v>
      </c>
      <c r="B373" s="1" t="s">
        <v>467</v>
      </c>
      <c r="C373" s="30" t="str">
        <f t="shared" si="104"/>
        <v>LA England - North Tyneside</v>
      </c>
      <c r="D373" s="51">
        <f t="shared" si="95"/>
        <v>7316</v>
      </c>
      <c r="E373" s="51">
        <f t="shared" si="96"/>
        <v>30488</v>
      </c>
      <c r="F373" s="52">
        <f t="shared" si="97"/>
        <v>210487</v>
      </c>
      <c r="G373" s="52">
        <f t="shared" si="98"/>
        <v>102303</v>
      </c>
      <c r="H373" s="53">
        <f t="shared" si="99"/>
        <v>108184</v>
      </c>
      <c r="I373" s="53">
        <f t="shared" si="100"/>
        <v>80464</v>
      </c>
      <c r="J373" s="53">
        <f t="shared" si="101"/>
        <v>87929</v>
      </c>
      <c r="K373" s="50">
        <f t="shared" si="102"/>
        <v>21839</v>
      </c>
      <c r="L373" s="51">
        <f t="shared" si="103"/>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2">
      <c r="A374" s="31" t="s">
        <v>150</v>
      </c>
      <c r="B374" s="1" t="s">
        <v>468</v>
      </c>
      <c r="C374" s="30" t="str">
        <f t="shared" si="104"/>
        <v>LA England - North Warwickshire</v>
      </c>
      <c r="D374" s="51">
        <f t="shared" si="95"/>
        <v>1949</v>
      </c>
      <c r="E374" s="51">
        <f t="shared" si="96"/>
        <v>9869</v>
      </c>
      <c r="F374" s="52">
        <f t="shared" si="97"/>
        <v>65946</v>
      </c>
      <c r="G374" s="52">
        <f t="shared" si="98"/>
        <v>32219</v>
      </c>
      <c r="H374" s="53">
        <f t="shared" si="99"/>
        <v>33727</v>
      </c>
      <c r="I374" s="53">
        <f t="shared" si="100"/>
        <v>25831</v>
      </c>
      <c r="J374" s="53">
        <f t="shared" si="101"/>
        <v>27256</v>
      </c>
      <c r="K374" s="50">
        <f t="shared" si="102"/>
        <v>6388</v>
      </c>
      <c r="L374" s="51">
        <f t="shared" si="103"/>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2">
      <c r="A375" s="31" t="s">
        <v>150</v>
      </c>
      <c r="B375" s="1" t="s">
        <v>469</v>
      </c>
      <c r="C375" s="30" t="str">
        <f t="shared" si="104"/>
        <v>LA England - North West Leicestershire</v>
      </c>
      <c r="D375" s="51">
        <f t="shared" si="95"/>
        <v>3347</v>
      </c>
      <c r="E375" s="51">
        <f t="shared" si="96"/>
        <v>15517</v>
      </c>
      <c r="F375" s="52">
        <f t="shared" si="97"/>
        <v>107672</v>
      </c>
      <c r="G375" s="52">
        <f t="shared" si="98"/>
        <v>52971</v>
      </c>
      <c r="H375" s="53">
        <f t="shared" si="99"/>
        <v>54701</v>
      </c>
      <c r="I375" s="53">
        <f t="shared" si="100"/>
        <v>41923</v>
      </c>
      <c r="J375" s="53">
        <f t="shared" si="101"/>
        <v>44299</v>
      </c>
      <c r="K375" s="50">
        <f t="shared" si="102"/>
        <v>11048</v>
      </c>
      <c r="L375" s="51">
        <f t="shared" si="103"/>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2">
      <c r="A376" s="31" t="s">
        <v>150</v>
      </c>
      <c r="B376" s="1" t="s">
        <v>776</v>
      </c>
      <c r="C376" s="30" t="str">
        <f t="shared" si="104"/>
        <v>LA England - North Yorkshire</v>
      </c>
      <c r="D376" s="51">
        <f t="shared" si="95"/>
        <v>17705</v>
      </c>
      <c r="E376" s="51">
        <f t="shared" si="96"/>
        <v>96742</v>
      </c>
      <c r="F376" s="52">
        <f t="shared" si="97"/>
        <v>623501</v>
      </c>
      <c r="G376" s="52">
        <f t="shared" si="98"/>
        <v>305722</v>
      </c>
      <c r="H376" s="53">
        <f t="shared" si="99"/>
        <v>317779</v>
      </c>
      <c r="I376" s="53">
        <f t="shared" si="100"/>
        <v>246935</v>
      </c>
      <c r="J376" s="53">
        <f t="shared" si="101"/>
        <v>262378</v>
      </c>
      <c r="K376" s="50">
        <f t="shared" si="102"/>
        <v>58787</v>
      </c>
      <c r="L376" s="51">
        <f t="shared" si="103"/>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2">
      <c r="A377" s="31" t="s">
        <v>150</v>
      </c>
      <c r="B377" s="1" t="s">
        <v>470</v>
      </c>
      <c r="C377" s="30" t="str">
        <f t="shared" si="104"/>
        <v>LA England - Northumberland</v>
      </c>
      <c r="D377" s="51">
        <f t="shared" si="95"/>
        <v>9395</v>
      </c>
      <c r="E377" s="51">
        <f t="shared" si="96"/>
        <v>50451</v>
      </c>
      <c r="F377" s="52">
        <f t="shared" si="97"/>
        <v>324362</v>
      </c>
      <c r="G377" s="52">
        <f t="shared" si="98"/>
        <v>158454</v>
      </c>
      <c r="H377" s="53">
        <f t="shared" si="99"/>
        <v>165908</v>
      </c>
      <c r="I377" s="53">
        <f t="shared" si="100"/>
        <v>128234</v>
      </c>
      <c r="J377" s="53">
        <f t="shared" si="101"/>
        <v>137538</v>
      </c>
      <c r="K377" s="50">
        <f t="shared" si="102"/>
        <v>30220</v>
      </c>
      <c r="L377" s="51">
        <f t="shared" si="103"/>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2">
      <c r="A378" s="31" t="s">
        <v>150</v>
      </c>
      <c r="B378" s="1" t="s">
        <v>471</v>
      </c>
      <c r="C378" s="30" t="str">
        <f t="shared" si="104"/>
        <v>LA England - Norwich</v>
      </c>
      <c r="D378" s="51">
        <f t="shared" si="95"/>
        <v>4516</v>
      </c>
      <c r="E378" s="51">
        <f t="shared" si="96"/>
        <v>15541</v>
      </c>
      <c r="F378" s="52">
        <f t="shared" si="97"/>
        <v>144525</v>
      </c>
      <c r="G378" s="52">
        <f t="shared" si="98"/>
        <v>71583</v>
      </c>
      <c r="H378" s="53">
        <f t="shared" si="99"/>
        <v>72942</v>
      </c>
      <c r="I378" s="53">
        <f t="shared" si="100"/>
        <v>58504</v>
      </c>
      <c r="J378" s="53">
        <f t="shared" si="101"/>
        <v>60393</v>
      </c>
      <c r="K378" s="50">
        <f t="shared" si="102"/>
        <v>13079</v>
      </c>
      <c r="L378" s="51">
        <f t="shared" si="103"/>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2">
      <c r="A379" s="31" t="s">
        <v>150</v>
      </c>
      <c r="B379" s="1" t="s">
        <v>472</v>
      </c>
      <c r="C379" s="30" t="str">
        <f t="shared" si="104"/>
        <v>LA England - Nottingham</v>
      </c>
      <c r="D379" s="51">
        <f t="shared" si="95"/>
        <v>9644</v>
      </c>
      <c r="E379" s="51">
        <f t="shared" si="96"/>
        <v>34334</v>
      </c>
      <c r="F379" s="52">
        <f t="shared" si="97"/>
        <v>328513</v>
      </c>
      <c r="G379" s="52">
        <f t="shared" si="98"/>
        <v>161634</v>
      </c>
      <c r="H379" s="53">
        <f t="shared" si="99"/>
        <v>166879</v>
      </c>
      <c r="I379" s="53">
        <f t="shared" si="100"/>
        <v>127293</v>
      </c>
      <c r="J379" s="53">
        <f t="shared" si="101"/>
        <v>134119</v>
      </c>
      <c r="K379" s="50">
        <f t="shared" si="102"/>
        <v>34341</v>
      </c>
      <c r="L379" s="51">
        <f t="shared" si="103"/>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2">
      <c r="A380" s="31" t="s">
        <v>150</v>
      </c>
      <c r="B380" s="1" t="s">
        <v>473</v>
      </c>
      <c r="C380" s="30" t="str">
        <f t="shared" si="104"/>
        <v>LA England - Nuneaton and Bedworth</v>
      </c>
      <c r="D380" s="51">
        <f t="shared" si="95"/>
        <v>4357</v>
      </c>
      <c r="E380" s="51">
        <f t="shared" si="96"/>
        <v>18278</v>
      </c>
      <c r="F380" s="52">
        <f t="shared" si="97"/>
        <v>135481</v>
      </c>
      <c r="G380" s="52">
        <f t="shared" si="98"/>
        <v>66464</v>
      </c>
      <c r="H380" s="53">
        <f t="shared" si="99"/>
        <v>69017</v>
      </c>
      <c r="I380" s="53">
        <f t="shared" si="100"/>
        <v>51571</v>
      </c>
      <c r="J380" s="53">
        <f t="shared" si="101"/>
        <v>54789</v>
      </c>
      <c r="K380" s="50">
        <f t="shared" si="102"/>
        <v>14893</v>
      </c>
      <c r="L380" s="51">
        <f t="shared" si="103"/>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2">
      <c r="A381" s="31" t="s">
        <v>150</v>
      </c>
      <c r="B381" s="1" t="s">
        <v>474</v>
      </c>
      <c r="C381" s="30" t="str">
        <f t="shared" si="104"/>
        <v>LA England - Oadby and Wigston</v>
      </c>
      <c r="D381" s="51">
        <f t="shared" si="95"/>
        <v>1936</v>
      </c>
      <c r="E381" s="51">
        <f t="shared" si="96"/>
        <v>7786</v>
      </c>
      <c r="F381" s="52">
        <f t="shared" si="97"/>
        <v>58341</v>
      </c>
      <c r="G381" s="52">
        <f t="shared" si="98"/>
        <v>28391</v>
      </c>
      <c r="H381" s="53">
        <f t="shared" si="99"/>
        <v>29950</v>
      </c>
      <c r="I381" s="53">
        <f t="shared" si="100"/>
        <v>22147</v>
      </c>
      <c r="J381" s="53">
        <f t="shared" si="101"/>
        <v>23994</v>
      </c>
      <c r="K381" s="50">
        <f t="shared" si="102"/>
        <v>6244</v>
      </c>
      <c r="L381" s="51">
        <f t="shared" si="103"/>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2">
      <c r="A382" s="31" t="s">
        <v>150</v>
      </c>
      <c r="B382" s="1" t="s">
        <v>475</v>
      </c>
      <c r="C382" s="30" t="str">
        <f t="shared" si="104"/>
        <v>LA England - Oldham</v>
      </c>
      <c r="D382" s="51">
        <f t="shared" si="95"/>
        <v>8088</v>
      </c>
      <c r="E382" s="51">
        <f t="shared" si="96"/>
        <v>30436</v>
      </c>
      <c r="F382" s="52">
        <f t="shared" si="97"/>
        <v>243912</v>
      </c>
      <c r="G382" s="52">
        <f t="shared" si="98"/>
        <v>119371</v>
      </c>
      <c r="H382" s="53">
        <f t="shared" si="99"/>
        <v>124541</v>
      </c>
      <c r="I382" s="53">
        <f t="shared" si="100"/>
        <v>87601</v>
      </c>
      <c r="J382" s="53">
        <f t="shared" si="101"/>
        <v>93872</v>
      </c>
      <c r="K382" s="50">
        <f t="shared" si="102"/>
        <v>31770</v>
      </c>
      <c r="L382" s="51">
        <f t="shared" si="103"/>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2">
      <c r="A383" s="31" t="s">
        <v>150</v>
      </c>
      <c r="B383" s="1" t="s">
        <v>476</v>
      </c>
      <c r="C383" s="30" t="str">
        <f t="shared" si="104"/>
        <v>LA England - Oxford</v>
      </c>
      <c r="D383" s="51">
        <f t="shared" si="95"/>
        <v>5003</v>
      </c>
      <c r="E383" s="51">
        <f t="shared" si="96"/>
        <v>17315</v>
      </c>
      <c r="F383" s="52">
        <f t="shared" si="97"/>
        <v>163257</v>
      </c>
      <c r="G383" s="52">
        <f t="shared" si="98"/>
        <v>80220</v>
      </c>
      <c r="H383" s="53">
        <f t="shared" si="99"/>
        <v>83037</v>
      </c>
      <c r="I383" s="53">
        <f t="shared" si="100"/>
        <v>65363</v>
      </c>
      <c r="J383" s="53">
        <f t="shared" si="101"/>
        <v>69154</v>
      </c>
      <c r="K383" s="50">
        <f t="shared" si="102"/>
        <v>14857</v>
      </c>
      <c r="L383" s="51">
        <f t="shared" si="103"/>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2">
      <c r="A384" s="31" t="s">
        <v>150</v>
      </c>
      <c r="B384" s="1" t="s">
        <v>477</v>
      </c>
      <c r="C384" s="30" t="str">
        <f t="shared" si="104"/>
        <v>LA England - Pendle</v>
      </c>
      <c r="D384" s="51">
        <f t="shared" si="95"/>
        <v>3115</v>
      </c>
      <c r="E384" s="51">
        <f t="shared" si="96"/>
        <v>12527</v>
      </c>
      <c r="F384" s="52">
        <f t="shared" si="97"/>
        <v>96110</v>
      </c>
      <c r="G384" s="52">
        <f t="shared" si="98"/>
        <v>47583</v>
      </c>
      <c r="H384" s="53">
        <f t="shared" si="99"/>
        <v>48527</v>
      </c>
      <c r="I384" s="53">
        <f t="shared" si="100"/>
        <v>35807</v>
      </c>
      <c r="J384" s="53">
        <f t="shared" si="101"/>
        <v>37259</v>
      </c>
      <c r="K384" s="50">
        <f t="shared" si="102"/>
        <v>11776</v>
      </c>
      <c r="L384" s="51">
        <f t="shared" si="103"/>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2">
      <c r="A385" s="31" t="s">
        <v>150</v>
      </c>
      <c r="B385" s="1" t="s">
        <v>478</v>
      </c>
      <c r="C385" s="30" t="str">
        <f t="shared" si="104"/>
        <v>LA England - Peterborough</v>
      </c>
      <c r="D385" s="51">
        <f t="shared" si="95"/>
        <v>8010</v>
      </c>
      <c r="E385" s="51">
        <f t="shared" si="96"/>
        <v>26676</v>
      </c>
      <c r="F385" s="52">
        <f t="shared" si="97"/>
        <v>217705</v>
      </c>
      <c r="G385" s="52">
        <f t="shared" si="98"/>
        <v>107535</v>
      </c>
      <c r="H385" s="53">
        <f t="shared" si="99"/>
        <v>110170</v>
      </c>
      <c r="I385" s="53">
        <f t="shared" si="100"/>
        <v>79208</v>
      </c>
      <c r="J385" s="53">
        <f t="shared" si="101"/>
        <v>83683</v>
      </c>
      <c r="K385" s="50">
        <f t="shared" si="102"/>
        <v>28327</v>
      </c>
      <c r="L385" s="51">
        <f t="shared" si="103"/>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2">
      <c r="A386" s="31" t="s">
        <v>150</v>
      </c>
      <c r="B386" s="1" t="s">
        <v>479</v>
      </c>
      <c r="C386" s="30" t="str">
        <f t="shared" si="104"/>
        <v>LA England - Plymouth</v>
      </c>
      <c r="D386" s="51">
        <f t="shared" si="95"/>
        <v>8260</v>
      </c>
      <c r="E386" s="51">
        <f t="shared" si="96"/>
        <v>34649</v>
      </c>
      <c r="F386" s="52">
        <f t="shared" si="97"/>
        <v>266862</v>
      </c>
      <c r="G386" s="52">
        <f t="shared" si="98"/>
        <v>131031</v>
      </c>
      <c r="H386" s="53">
        <f t="shared" si="99"/>
        <v>135831</v>
      </c>
      <c r="I386" s="53">
        <f t="shared" si="100"/>
        <v>104314</v>
      </c>
      <c r="J386" s="53">
        <f t="shared" si="101"/>
        <v>110592</v>
      </c>
      <c r="K386" s="50">
        <f t="shared" si="102"/>
        <v>26717</v>
      </c>
      <c r="L386" s="51">
        <f t="shared" si="103"/>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2">
      <c r="A387" s="31" t="s">
        <v>150</v>
      </c>
      <c r="B387" s="1" t="s">
        <v>480</v>
      </c>
      <c r="C387" s="30" t="str">
        <f t="shared" si="104"/>
        <v>LA England - Portsmouth</v>
      </c>
      <c r="D387" s="51">
        <f t="shared" si="95"/>
        <v>6466</v>
      </c>
      <c r="E387" s="51">
        <f t="shared" si="96"/>
        <v>25145</v>
      </c>
      <c r="F387" s="52">
        <f t="shared" si="97"/>
        <v>208420</v>
      </c>
      <c r="G387" s="52">
        <f t="shared" si="98"/>
        <v>103763</v>
      </c>
      <c r="H387" s="53">
        <f t="shared" si="99"/>
        <v>104657</v>
      </c>
      <c r="I387" s="53">
        <f t="shared" si="100"/>
        <v>82264</v>
      </c>
      <c r="J387" s="53">
        <f t="shared" si="101"/>
        <v>84108</v>
      </c>
      <c r="K387" s="50">
        <f t="shared" si="102"/>
        <v>21499</v>
      </c>
      <c r="L387" s="51">
        <f t="shared" si="103"/>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2">
      <c r="A388" s="31" t="s">
        <v>150</v>
      </c>
      <c r="B388" s="1" t="s">
        <v>481</v>
      </c>
      <c r="C388" s="30" t="str">
        <f t="shared" si="104"/>
        <v>LA England - Preston</v>
      </c>
      <c r="D388" s="51">
        <f t="shared" si="95"/>
        <v>4744</v>
      </c>
      <c r="E388" s="51">
        <f t="shared" si="96"/>
        <v>18314</v>
      </c>
      <c r="F388" s="52">
        <f t="shared" si="97"/>
        <v>151582</v>
      </c>
      <c r="G388" s="52">
        <f t="shared" si="98"/>
        <v>75998</v>
      </c>
      <c r="H388" s="53">
        <f t="shared" si="99"/>
        <v>75584</v>
      </c>
      <c r="I388" s="53">
        <f t="shared" si="100"/>
        <v>58655</v>
      </c>
      <c r="J388" s="53">
        <f t="shared" si="101"/>
        <v>59296</v>
      </c>
      <c r="K388" s="50">
        <f t="shared" si="102"/>
        <v>17343</v>
      </c>
      <c r="L388" s="51">
        <f t="shared" si="103"/>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2">
      <c r="A389" s="31" t="s">
        <v>150</v>
      </c>
      <c r="B389" s="1" t="s">
        <v>482</v>
      </c>
      <c r="C389" s="30" t="str">
        <f t="shared" si="104"/>
        <v>LA England - Reading</v>
      </c>
      <c r="D389" s="51">
        <f t="shared" si="95"/>
        <v>6402</v>
      </c>
      <c r="E389" s="51">
        <f t="shared" si="96"/>
        <v>20029</v>
      </c>
      <c r="F389" s="52">
        <f t="shared" si="97"/>
        <v>174820</v>
      </c>
      <c r="G389" s="52">
        <f t="shared" si="98"/>
        <v>87515</v>
      </c>
      <c r="H389" s="53">
        <f t="shared" si="99"/>
        <v>87305</v>
      </c>
      <c r="I389" s="53">
        <f t="shared" si="100"/>
        <v>68589</v>
      </c>
      <c r="J389" s="53">
        <f t="shared" si="101"/>
        <v>69305</v>
      </c>
      <c r="K389" s="50">
        <f t="shared" si="102"/>
        <v>18926</v>
      </c>
      <c r="L389" s="51">
        <f t="shared" si="103"/>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2">
      <c r="A390" s="31" t="s">
        <v>150</v>
      </c>
      <c r="B390" s="1" t="s">
        <v>483</v>
      </c>
      <c r="C390" s="30" t="str">
        <f t="shared" si="104"/>
        <v>LA England - Redbridge</v>
      </c>
      <c r="D390" s="51">
        <f t="shared" si="95"/>
        <v>12679</v>
      </c>
      <c r="E390" s="51">
        <f t="shared" si="96"/>
        <v>37922</v>
      </c>
      <c r="F390" s="52">
        <f t="shared" si="97"/>
        <v>310911</v>
      </c>
      <c r="G390" s="52">
        <f t="shared" si="98"/>
        <v>153994</v>
      </c>
      <c r="H390" s="53">
        <f t="shared" si="99"/>
        <v>156917</v>
      </c>
      <c r="I390" s="53">
        <f t="shared" si="100"/>
        <v>114653</v>
      </c>
      <c r="J390" s="53">
        <f t="shared" si="101"/>
        <v>119425</v>
      </c>
      <c r="K390" s="50">
        <f t="shared" si="102"/>
        <v>39341</v>
      </c>
      <c r="L390" s="51">
        <f t="shared" si="103"/>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2">
      <c r="A391" s="31" t="s">
        <v>150</v>
      </c>
      <c r="B391" s="1" t="s">
        <v>484</v>
      </c>
      <c r="C391" s="30" t="str">
        <f t="shared" si="104"/>
        <v>LA England - Redcar and Cleveland</v>
      </c>
      <c r="D391" s="51">
        <f t="shared" si="95"/>
        <v>4008</v>
      </c>
      <c r="E391" s="51">
        <f t="shared" si="96"/>
        <v>20378</v>
      </c>
      <c r="F391" s="52">
        <f t="shared" si="97"/>
        <v>137175</v>
      </c>
      <c r="G391" s="52">
        <f t="shared" si="98"/>
        <v>66603</v>
      </c>
      <c r="H391" s="53">
        <f t="shared" si="99"/>
        <v>70572</v>
      </c>
      <c r="I391" s="53">
        <f t="shared" si="100"/>
        <v>52655</v>
      </c>
      <c r="J391" s="53">
        <f t="shared" si="101"/>
        <v>57290</v>
      </c>
      <c r="K391" s="50">
        <f>SUM(M391:AD391)</f>
        <v>13948</v>
      </c>
      <c r="L391" s="51">
        <f t="shared" si="103"/>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2">
      <c r="A392" s="31" t="s">
        <v>150</v>
      </c>
      <c r="B392" s="1" t="s">
        <v>485</v>
      </c>
      <c r="C392" s="30" t="str">
        <f t="shared" si="104"/>
        <v>LA England - Redditch</v>
      </c>
      <c r="D392" s="51">
        <f t="shared" si="95"/>
        <v>3075</v>
      </c>
      <c r="E392" s="51">
        <f t="shared" si="96"/>
        <v>11490</v>
      </c>
      <c r="F392" s="52">
        <f t="shared" si="97"/>
        <v>87132</v>
      </c>
      <c r="G392" s="52">
        <f t="shared" si="98"/>
        <v>42934</v>
      </c>
      <c r="H392" s="53">
        <f t="shared" si="99"/>
        <v>44198</v>
      </c>
      <c r="I392" s="53">
        <f t="shared" si="100"/>
        <v>33200</v>
      </c>
      <c r="J392" s="53">
        <f t="shared" si="101"/>
        <v>35017</v>
      </c>
      <c r="K392" s="50">
        <f>SUM(M392:AD392)</f>
        <v>9734</v>
      </c>
      <c r="L392" s="51">
        <f t="shared" si="103"/>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2">
      <c r="A393" s="31" t="s">
        <v>150</v>
      </c>
      <c r="B393" s="1" t="s">
        <v>486</v>
      </c>
      <c r="C393" s="30" t="str">
        <f t="shared" si="104"/>
        <v>LA England - Reigate and Banstead</v>
      </c>
      <c r="D393" s="51">
        <f t="shared" ref="D393:D456" si="105">SUM(EN393:ER393)</f>
        <v>5933</v>
      </c>
      <c r="E393" s="51">
        <f t="shared" ref="E393:E456" si="106">SUM(ES393:FM393)</f>
        <v>21267</v>
      </c>
      <c r="F393" s="52">
        <f t="shared" si="97"/>
        <v>153629</v>
      </c>
      <c r="G393" s="52">
        <f t="shared" si="98"/>
        <v>75130</v>
      </c>
      <c r="H393" s="53">
        <f t="shared" si="99"/>
        <v>78499</v>
      </c>
      <c r="I393" s="53">
        <f t="shared" si="100"/>
        <v>57326</v>
      </c>
      <c r="J393" s="53">
        <f t="shared" si="101"/>
        <v>61482</v>
      </c>
      <c r="K393" s="50">
        <f>SUM(M393:AD393)</f>
        <v>17804</v>
      </c>
      <c r="L393" s="51">
        <f t="shared" si="103"/>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2">
      <c r="A394" s="31" t="s">
        <v>150</v>
      </c>
      <c r="B394" s="1" t="s">
        <v>487</v>
      </c>
      <c r="C394" s="30" t="str">
        <f t="shared" si="104"/>
        <v>LA England - Ribble Valley</v>
      </c>
      <c r="D394" s="51">
        <f t="shared" si="105"/>
        <v>1839</v>
      </c>
      <c r="E394" s="51">
        <f t="shared" si="106"/>
        <v>10046</v>
      </c>
      <c r="F394" s="52">
        <f t="shared" ref="F394:F457" si="107">G394+H394</f>
        <v>63107</v>
      </c>
      <c r="G394" s="52">
        <f t="shared" ref="G394:G457" si="108">SUM(M394:CY394)</f>
        <v>30876</v>
      </c>
      <c r="H394" s="53">
        <f t="shared" ref="H394:H457" si="109">SUM(CZ394:GL394)</f>
        <v>32231</v>
      </c>
      <c r="I394" s="53">
        <f t="shared" ref="I394:I457" si="110">SUM(AE394:CY394)</f>
        <v>24766</v>
      </c>
      <c r="J394" s="53">
        <f t="shared" ref="J394:J457" si="111">SUM(DR394:GL394)</f>
        <v>26411</v>
      </c>
      <c r="K394" s="50">
        <f t="shared" ref="K394:K457" si="112">SUM(M394:AD394)</f>
        <v>6110</v>
      </c>
      <c r="L394" s="51">
        <f t="shared" ref="L394:L457" si="113">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2">
      <c r="A395" s="31" t="s">
        <v>150</v>
      </c>
      <c r="B395" s="1" t="s">
        <v>488</v>
      </c>
      <c r="C395" s="30" t="str">
        <f t="shared" si="104"/>
        <v>LA England - Richmond upon Thames</v>
      </c>
      <c r="D395" s="51">
        <f t="shared" si="105"/>
        <v>8611</v>
      </c>
      <c r="E395" s="51">
        <f t="shared" si="106"/>
        <v>29760</v>
      </c>
      <c r="F395" s="52">
        <f t="shared" si="107"/>
        <v>194894</v>
      </c>
      <c r="G395" s="52">
        <f t="shared" si="108"/>
        <v>93837</v>
      </c>
      <c r="H395" s="53">
        <f t="shared" si="109"/>
        <v>101057</v>
      </c>
      <c r="I395" s="53">
        <f t="shared" si="110"/>
        <v>71343</v>
      </c>
      <c r="J395" s="53">
        <f t="shared" si="111"/>
        <v>79557</v>
      </c>
      <c r="K395" s="50">
        <f t="shared" si="112"/>
        <v>22494</v>
      </c>
      <c r="L395" s="51">
        <f t="shared" si="113"/>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2">
      <c r="A396" s="31" t="s">
        <v>150</v>
      </c>
      <c r="B396" s="1" t="s">
        <v>489</v>
      </c>
      <c r="C396" s="30" t="str">
        <f t="shared" ref="C396:C459" si="114">CONCATENATE(A396," - ",B396)</f>
        <v>LA England - Rochdale</v>
      </c>
      <c r="D396" s="51">
        <f t="shared" si="105"/>
        <v>7685</v>
      </c>
      <c r="E396" s="51">
        <f t="shared" si="106"/>
        <v>29288</v>
      </c>
      <c r="F396" s="52">
        <f t="shared" si="107"/>
        <v>226992</v>
      </c>
      <c r="G396" s="52">
        <f t="shared" si="108"/>
        <v>111355</v>
      </c>
      <c r="H396" s="53">
        <f t="shared" si="109"/>
        <v>115637</v>
      </c>
      <c r="I396" s="53">
        <f t="shared" si="110"/>
        <v>82750</v>
      </c>
      <c r="J396" s="53">
        <f t="shared" si="111"/>
        <v>88568</v>
      </c>
      <c r="K396" s="50">
        <f t="shared" si="112"/>
        <v>28605</v>
      </c>
      <c r="L396" s="51">
        <f t="shared" si="113"/>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2">
      <c r="A397" s="31" t="s">
        <v>150</v>
      </c>
      <c r="B397" s="1" t="s">
        <v>490</v>
      </c>
      <c r="C397" s="30" t="str">
        <f t="shared" si="114"/>
        <v>LA England - Rochford</v>
      </c>
      <c r="D397" s="51">
        <f t="shared" si="105"/>
        <v>2701</v>
      </c>
      <c r="E397" s="51">
        <f t="shared" si="106"/>
        <v>12836</v>
      </c>
      <c r="F397" s="52">
        <f t="shared" si="107"/>
        <v>87216</v>
      </c>
      <c r="G397" s="52">
        <f t="shared" si="108"/>
        <v>42260</v>
      </c>
      <c r="H397" s="53">
        <f t="shared" si="109"/>
        <v>44956</v>
      </c>
      <c r="I397" s="53">
        <f t="shared" si="110"/>
        <v>33399</v>
      </c>
      <c r="J397" s="53">
        <f t="shared" si="111"/>
        <v>36525</v>
      </c>
      <c r="K397" s="50">
        <f t="shared" si="112"/>
        <v>8861</v>
      </c>
      <c r="L397" s="51">
        <f t="shared" si="113"/>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2">
      <c r="A398" s="31" t="s">
        <v>150</v>
      </c>
      <c r="B398" s="1" t="s">
        <v>491</v>
      </c>
      <c r="C398" s="30" t="str">
        <f t="shared" si="114"/>
        <v>LA England - Rossendale</v>
      </c>
      <c r="D398" s="51">
        <f t="shared" si="105"/>
        <v>2358</v>
      </c>
      <c r="E398" s="51">
        <f t="shared" si="106"/>
        <v>10396</v>
      </c>
      <c r="F398" s="52">
        <f t="shared" si="107"/>
        <v>71169</v>
      </c>
      <c r="G398" s="52">
        <f t="shared" si="108"/>
        <v>34978</v>
      </c>
      <c r="H398" s="53">
        <f t="shared" si="109"/>
        <v>36191</v>
      </c>
      <c r="I398" s="53">
        <f t="shared" si="110"/>
        <v>27113</v>
      </c>
      <c r="J398" s="53">
        <f t="shared" si="111"/>
        <v>28718</v>
      </c>
      <c r="K398" s="50">
        <f t="shared" si="112"/>
        <v>7865</v>
      </c>
      <c r="L398" s="51">
        <f t="shared" si="113"/>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2">
      <c r="A399" s="31" t="s">
        <v>150</v>
      </c>
      <c r="B399" s="1" t="s">
        <v>492</v>
      </c>
      <c r="C399" s="30" t="str">
        <f t="shared" si="114"/>
        <v>LA England - Rother</v>
      </c>
      <c r="D399" s="51">
        <f t="shared" si="105"/>
        <v>2338</v>
      </c>
      <c r="E399" s="51">
        <f t="shared" si="106"/>
        <v>14459</v>
      </c>
      <c r="F399" s="52">
        <f t="shared" si="107"/>
        <v>94162</v>
      </c>
      <c r="G399" s="52">
        <f t="shared" si="108"/>
        <v>44734</v>
      </c>
      <c r="H399" s="53">
        <f t="shared" si="109"/>
        <v>49428</v>
      </c>
      <c r="I399" s="53">
        <f t="shared" si="110"/>
        <v>36694</v>
      </c>
      <c r="J399" s="53">
        <f t="shared" si="111"/>
        <v>41811</v>
      </c>
      <c r="K399" s="50">
        <f t="shared" si="112"/>
        <v>8040</v>
      </c>
      <c r="L399" s="51">
        <f t="shared" si="113"/>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2">
      <c r="A400" s="31" t="s">
        <v>150</v>
      </c>
      <c r="B400" s="1" t="s">
        <v>493</v>
      </c>
      <c r="C400" s="30" t="str">
        <f t="shared" si="114"/>
        <v>LA England - Rotherham</v>
      </c>
      <c r="D400" s="51">
        <f t="shared" si="105"/>
        <v>8278</v>
      </c>
      <c r="E400" s="51">
        <f t="shared" si="106"/>
        <v>37189</v>
      </c>
      <c r="F400" s="52">
        <f t="shared" si="107"/>
        <v>268354</v>
      </c>
      <c r="G400" s="52">
        <f t="shared" si="108"/>
        <v>131784</v>
      </c>
      <c r="H400" s="53">
        <f t="shared" si="109"/>
        <v>136570</v>
      </c>
      <c r="I400" s="53">
        <f t="shared" si="110"/>
        <v>102546</v>
      </c>
      <c r="J400" s="53">
        <f t="shared" si="111"/>
        <v>108578</v>
      </c>
      <c r="K400" s="50">
        <f t="shared" si="112"/>
        <v>29238</v>
      </c>
      <c r="L400" s="51">
        <f t="shared" si="113"/>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2">
      <c r="A401" s="31" t="s">
        <v>150</v>
      </c>
      <c r="B401" s="1" t="s">
        <v>494</v>
      </c>
      <c r="C401" s="30" t="str">
        <f t="shared" si="114"/>
        <v>LA England - Rugby</v>
      </c>
      <c r="D401" s="51">
        <f t="shared" si="105"/>
        <v>4093</v>
      </c>
      <c r="E401" s="51">
        <f t="shared" si="106"/>
        <v>15388</v>
      </c>
      <c r="F401" s="52">
        <f t="shared" si="107"/>
        <v>116436</v>
      </c>
      <c r="G401" s="52">
        <f t="shared" si="108"/>
        <v>57920</v>
      </c>
      <c r="H401" s="53">
        <f t="shared" si="109"/>
        <v>58516</v>
      </c>
      <c r="I401" s="53">
        <f t="shared" si="110"/>
        <v>44751</v>
      </c>
      <c r="J401" s="53">
        <f t="shared" si="111"/>
        <v>45862</v>
      </c>
      <c r="K401" s="50">
        <f t="shared" si="112"/>
        <v>13169</v>
      </c>
      <c r="L401" s="51">
        <f t="shared" si="113"/>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2">
      <c r="A402" s="31" t="s">
        <v>150</v>
      </c>
      <c r="B402" s="1" t="s">
        <v>495</v>
      </c>
      <c r="C402" s="30" t="str">
        <f t="shared" si="114"/>
        <v>LA England - Runnymede</v>
      </c>
      <c r="D402" s="51">
        <f t="shared" si="105"/>
        <v>2988</v>
      </c>
      <c r="E402" s="51">
        <f t="shared" si="106"/>
        <v>11914</v>
      </c>
      <c r="F402" s="52">
        <f t="shared" si="107"/>
        <v>88524</v>
      </c>
      <c r="G402" s="52">
        <f t="shared" si="108"/>
        <v>42769</v>
      </c>
      <c r="H402" s="53">
        <f t="shared" si="109"/>
        <v>45755</v>
      </c>
      <c r="I402" s="53">
        <f t="shared" si="110"/>
        <v>33925</v>
      </c>
      <c r="J402" s="53">
        <f t="shared" si="111"/>
        <v>37223</v>
      </c>
      <c r="K402" s="50">
        <f t="shared" si="112"/>
        <v>8844</v>
      </c>
      <c r="L402" s="51">
        <f t="shared" si="113"/>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2">
      <c r="A403" s="31" t="s">
        <v>150</v>
      </c>
      <c r="B403" s="1" t="s">
        <v>496</v>
      </c>
      <c r="C403" s="30" t="str">
        <f t="shared" si="114"/>
        <v>LA England - Rushcliffe</v>
      </c>
      <c r="D403" s="51">
        <f t="shared" si="105"/>
        <v>4104</v>
      </c>
      <c r="E403" s="51">
        <f t="shared" si="106"/>
        <v>17202</v>
      </c>
      <c r="F403" s="52">
        <f t="shared" si="107"/>
        <v>121582</v>
      </c>
      <c r="G403" s="52">
        <f t="shared" si="108"/>
        <v>59659</v>
      </c>
      <c r="H403" s="53">
        <f t="shared" si="109"/>
        <v>61923</v>
      </c>
      <c r="I403" s="53">
        <f t="shared" si="110"/>
        <v>46826</v>
      </c>
      <c r="J403" s="53">
        <f t="shared" si="111"/>
        <v>49888</v>
      </c>
      <c r="K403" s="50">
        <f t="shared" si="112"/>
        <v>12833</v>
      </c>
      <c r="L403" s="51">
        <f t="shared" si="113"/>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2">
      <c r="A404" s="31" t="s">
        <v>150</v>
      </c>
      <c r="B404" s="1" t="s">
        <v>497</v>
      </c>
      <c r="C404" s="30" t="str">
        <f t="shared" si="114"/>
        <v>LA England - Rushmoor</v>
      </c>
      <c r="D404" s="51">
        <f t="shared" si="105"/>
        <v>3501</v>
      </c>
      <c r="E404" s="51">
        <f t="shared" si="106"/>
        <v>13098</v>
      </c>
      <c r="F404" s="52">
        <f t="shared" si="107"/>
        <v>101060</v>
      </c>
      <c r="G404" s="52">
        <f t="shared" si="108"/>
        <v>50789</v>
      </c>
      <c r="H404" s="53">
        <f t="shared" si="109"/>
        <v>50271</v>
      </c>
      <c r="I404" s="53">
        <f t="shared" si="110"/>
        <v>39743</v>
      </c>
      <c r="J404" s="53">
        <f t="shared" si="111"/>
        <v>39973</v>
      </c>
      <c r="K404" s="50">
        <f t="shared" si="112"/>
        <v>11046</v>
      </c>
      <c r="L404" s="51">
        <f t="shared" si="113"/>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2">
      <c r="A405" s="31" t="s">
        <v>150</v>
      </c>
      <c r="B405" s="1" t="s">
        <v>498</v>
      </c>
      <c r="C405" s="30" t="str">
        <f t="shared" si="114"/>
        <v>LA England - Rutland</v>
      </c>
      <c r="D405" s="51">
        <f t="shared" si="105"/>
        <v>1161</v>
      </c>
      <c r="E405" s="51">
        <f t="shared" si="106"/>
        <v>5915</v>
      </c>
      <c r="F405" s="52">
        <f t="shared" si="107"/>
        <v>41151</v>
      </c>
      <c r="G405" s="52">
        <f t="shared" si="108"/>
        <v>21127</v>
      </c>
      <c r="H405" s="53">
        <f t="shared" si="109"/>
        <v>20024</v>
      </c>
      <c r="I405" s="53">
        <f t="shared" si="110"/>
        <v>16942</v>
      </c>
      <c r="J405" s="53">
        <f t="shared" si="111"/>
        <v>16235</v>
      </c>
      <c r="K405" s="50">
        <f t="shared" si="112"/>
        <v>4185</v>
      </c>
      <c r="L405" s="51">
        <f t="shared" si="113"/>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2">
      <c r="A406" s="31" t="s">
        <v>150</v>
      </c>
      <c r="B406" s="1" t="s">
        <v>499</v>
      </c>
      <c r="C406" s="30" t="str">
        <f t="shared" si="114"/>
        <v>LA England - Salford</v>
      </c>
      <c r="D406" s="51">
        <f t="shared" si="105"/>
        <v>8479</v>
      </c>
      <c r="E406" s="51">
        <f t="shared" si="106"/>
        <v>29632</v>
      </c>
      <c r="F406" s="52">
        <f t="shared" si="107"/>
        <v>278064</v>
      </c>
      <c r="G406" s="52">
        <f t="shared" si="108"/>
        <v>139829</v>
      </c>
      <c r="H406" s="53">
        <f t="shared" si="109"/>
        <v>138235</v>
      </c>
      <c r="I406" s="53">
        <f t="shared" si="110"/>
        <v>108861</v>
      </c>
      <c r="J406" s="53">
        <f t="shared" si="111"/>
        <v>108908</v>
      </c>
      <c r="K406" s="50">
        <f t="shared" si="112"/>
        <v>30968</v>
      </c>
      <c r="L406" s="51">
        <f t="shared" si="113"/>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2">
      <c r="A407" s="31" t="s">
        <v>150</v>
      </c>
      <c r="B407" s="1" t="s">
        <v>500</v>
      </c>
      <c r="C407" s="30" t="str">
        <f t="shared" si="114"/>
        <v>LA England - Sandwell</v>
      </c>
      <c r="D407" s="51">
        <f t="shared" si="105"/>
        <v>12168</v>
      </c>
      <c r="E407" s="51">
        <f t="shared" si="106"/>
        <v>43325</v>
      </c>
      <c r="F407" s="52">
        <f t="shared" si="107"/>
        <v>344210</v>
      </c>
      <c r="G407" s="52">
        <f t="shared" si="108"/>
        <v>170114</v>
      </c>
      <c r="H407" s="53">
        <f t="shared" si="109"/>
        <v>174096</v>
      </c>
      <c r="I407" s="53">
        <f t="shared" si="110"/>
        <v>125772</v>
      </c>
      <c r="J407" s="53">
        <f t="shared" si="111"/>
        <v>132614</v>
      </c>
      <c r="K407" s="50">
        <f t="shared" si="112"/>
        <v>44342</v>
      </c>
      <c r="L407" s="51">
        <f t="shared" si="113"/>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2">
      <c r="A408" s="31" t="s">
        <v>150</v>
      </c>
      <c r="B408" s="1" t="s">
        <v>501</v>
      </c>
      <c r="C408" s="30" t="str">
        <f t="shared" si="114"/>
        <v>LA England - Sefton</v>
      </c>
      <c r="D408" s="51">
        <f t="shared" si="105"/>
        <v>8402</v>
      </c>
      <c r="E408" s="51">
        <f t="shared" si="106"/>
        <v>41722</v>
      </c>
      <c r="F408" s="52">
        <f t="shared" si="107"/>
        <v>281027</v>
      </c>
      <c r="G408" s="52">
        <f t="shared" si="108"/>
        <v>136313</v>
      </c>
      <c r="H408" s="53">
        <f t="shared" si="109"/>
        <v>144714</v>
      </c>
      <c r="I408" s="53">
        <f t="shared" si="110"/>
        <v>108849</v>
      </c>
      <c r="J408" s="53">
        <f t="shared" si="111"/>
        <v>118743</v>
      </c>
      <c r="K408" s="50">
        <f t="shared" si="112"/>
        <v>27464</v>
      </c>
      <c r="L408" s="51">
        <f t="shared" si="113"/>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2">
      <c r="A409" s="31" t="s">
        <v>150</v>
      </c>
      <c r="B409" s="1" t="s">
        <v>502</v>
      </c>
      <c r="C409" s="30" t="str">
        <f t="shared" si="114"/>
        <v>LA England - Sevenoaks</v>
      </c>
      <c r="D409" s="51">
        <f t="shared" si="105"/>
        <v>4184</v>
      </c>
      <c r="E409" s="51">
        <f t="shared" si="106"/>
        <v>17685</v>
      </c>
      <c r="F409" s="52">
        <f t="shared" si="107"/>
        <v>121106</v>
      </c>
      <c r="G409" s="52">
        <f t="shared" si="108"/>
        <v>58375</v>
      </c>
      <c r="H409" s="53">
        <f t="shared" si="109"/>
        <v>62731</v>
      </c>
      <c r="I409" s="53">
        <f t="shared" si="110"/>
        <v>44614</v>
      </c>
      <c r="J409" s="53">
        <f t="shared" si="111"/>
        <v>49425</v>
      </c>
      <c r="K409" s="50">
        <f t="shared" si="112"/>
        <v>13761</v>
      </c>
      <c r="L409" s="51">
        <f t="shared" si="113"/>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2">
      <c r="A410" s="31" t="s">
        <v>150</v>
      </c>
      <c r="B410" s="1" t="s">
        <v>503</v>
      </c>
      <c r="C410" s="30" t="str">
        <f t="shared" si="114"/>
        <v>LA England - Sheffield</v>
      </c>
      <c r="D410" s="51">
        <f t="shared" si="105"/>
        <v>16821</v>
      </c>
      <c r="E410" s="51">
        <f t="shared" si="106"/>
        <v>68932</v>
      </c>
      <c r="F410" s="52">
        <f t="shared" si="107"/>
        <v>566242</v>
      </c>
      <c r="G410" s="52">
        <f t="shared" si="108"/>
        <v>280173</v>
      </c>
      <c r="H410" s="53">
        <f t="shared" si="109"/>
        <v>286069</v>
      </c>
      <c r="I410" s="53">
        <f t="shared" si="110"/>
        <v>221985</v>
      </c>
      <c r="J410" s="53">
        <f t="shared" si="111"/>
        <v>230539</v>
      </c>
      <c r="K410" s="50">
        <f t="shared" si="112"/>
        <v>58188</v>
      </c>
      <c r="L410" s="51">
        <f t="shared" si="113"/>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2">
      <c r="A411" s="31" t="s">
        <v>150</v>
      </c>
      <c r="B411" s="1" t="s">
        <v>504</v>
      </c>
      <c r="C411" s="30" t="str">
        <f t="shared" si="114"/>
        <v>LA England - Shropshire</v>
      </c>
      <c r="D411" s="51">
        <f t="shared" si="105"/>
        <v>8857</v>
      </c>
      <c r="E411" s="51">
        <f t="shared" si="106"/>
        <v>49665</v>
      </c>
      <c r="F411" s="52">
        <f t="shared" si="107"/>
        <v>327178</v>
      </c>
      <c r="G411" s="52">
        <f t="shared" si="108"/>
        <v>161354</v>
      </c>
      <c r="H411" s="53">
        <f t="shared" si="109"/>
        <v>165824</v>
      </c>
      <c r="I411" s="53">
        <f t="shared" si="110"/>
        <v>131142</v>
      </c>
      <c r="J411" s="53">
        <f t="shared" si="111"/>
        <v>137200</v>
      </c>
      <c r="K411" s="50">
        <f t="shared" si="112"/>
        <v>30212</v>
      </c>
      <c r="L411" s="51">
        <f t="shared" si="113"/>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2">
      <c r="A412" s="31" t="s">
        <v>150</v>
      </c>
      <c r="B412" s="1" t="s">
        <v>505</v>
      </c>
      <c r="C412" s="30" t="str">
        <f t="shared" si="114"/>
        <v>LA England - Slough</v>
      </c>
      <c r="D412" s="51">
        <f t="shared" si="105"/>
        <v>7079</v>
      </c>
      <c r="E412" s="51">
        <f t="shared" si="106"/>
        <v>18203</v>
      </c>
      <c r="F412" s="52">
        <f t="shared" si="107"/>
        <v>159182</v>
      </c>
      <c r="G412" s="52">
        <f t="shared" si="108"/>
        <v>78924</v>
      </c>
      <c r="H412" s="53">
        <f t="shared" si="109"/>
        <v>80258</v>
      </c>
      <c r="I412" s="53">
        <f t="shared" si="110"/>
        <v>56441</v>
      </c>
      <c r="J412" s="53">
        <f t="shared" si="111"/>
        <v>58435</v>
      </c>
      <c r="K412" s="50">
        <f t="shared" si="112"/>
        <v>22483</v>
      </c>
      <c r="L412" s="51">
        <f t="shared" si="113"/>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2">
      <c r="A413" s="31" t="s">
        <v>150</v>
      </c>
      <c r="B413" s="1" t="s">
        <v>506</v>
      </c>
      <c r="C413" s="30" t="str">
        <f t="shared" si="114"/>
        <v>LA England - Solihull</v>
      </c>
      <c r="D413" s="51">
        <f t="shared" si="105"/>
        <v>6860</v>
      </c>
      <c r="E413" s="51">
        <f t="shared" si="106"/>
        <v>30584</v>
      </c>
      <c r="F413" s="52">
        <f t="shared" si="107"/>
        <v>217678</v>
      </c>
      <c r="G413" s="52">
        <f t="shared" si="108"/>
        <v>105819</v>
      </c>
      <c r="H413" s="53">
        <f t="shared" si="109"/>
        <v>111859</v>
      </c>
      <c r="I413" s="53">
        <f t="shared" si="110"/>
        <v>81126</v>
      </c>
      <c r="J413" s="53">
        <f t="shared" si="111"/>
        <v>88740</v>
      </c>
      <c r="K413" s="50">
        <f t="shared" si="112"/>
        <v>24693</v>
      </c>
      <c r="L413" s="51">
        <f t="shared" si="113"/>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2">
      <c r="A414" s="31" t="s">
        <v>150</v>
      </c>
      <c r="B414" s="1" t="s">
        <v>297</v>
      </c>
      <c r="C414" s="30" t="str">
        <f t="shared" si="114"/>
        <v>LA England - Somerset</v>
      </c>
      <c r="D414" s="51">
        <f t="shared" si="105"/>
        <v>16235</v>
      </c>
      <c r="E414" s="51">
        <f t="shared" si="106"/>
        <v>84896</v>
      </c>
      <c r="F414" s="52">
        <f t="shared" si="107"/>
        <v>576852</v>
      </c>
      <c r="G414" s="52">
        <f t="shared" si="108"/>
        <v>282176</v>
      </c>
      <c r="H414" s="53">
        <f t="shared" si="109"/>
        <v>294676</v>
      </c>
      <c r="I414" s="53">
        <f t="shared" si="110"/>
        <v>225653</v>
      </c>
      <c r="J414" s="53">
        <f t="shared" si="111"/>
        <v>240687</v>
      </c>
      <c r="K414" s="50">
        <f t="shared" si="112"/>
        <v>56523</v>
      </c>
      <c r="L414" s="51">
        <f t="shared" si="113"/>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2">
      <c r="A415" s="31" t="s">
        <v>150</v>
      </c>
      <c r="B415" s="1" t="s">
        <v>507</v>
      </c>
      <c r="C415" s="30" t="str">
        <f t="shared" si="114"/>
        <v>LA England - South Cambridgeshire</v>
      </c>
      <c r="D415" s="51">
        <f t="shared" si="105"/>
        <v>6260</v>
      </c>
      <c r="E415" s="51">
        <f t="shared" si="106"/>
        <v>23716</v>
      </c>
      <c r="F415" s="52">
        <f t="shared" si="107"/>
        <v>165633</v>
      </c>
      <c r="G415" s="52">
        <f t="shared" si="108"/>
        <v>81130</v>
      </c>
      <c r="H415" s="53">
        <f t="shared" si="109"/>
        <v>84503</v>
      </c>
      <c r="I415" s="53">
        <f t="shared" si="110"/>
        <v>62452</v>
      </c>
      <c r="J415" s="53">
        <f t="shared" si="111"/>
        <v>66468</v>
      </c>
      <c r="K415" s="50">
        <f t="shared" si="112"/>
        <v>18678</v>
      </c>
      <c r="L415" s="51">
        <f t="shared" si="113"/>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2">
      <c r="A416" s="31" t="s">
        <v>150</v>
      </c>
      <c r="B416" s="1" t="s">
        <v>508</v>
      </c>
      <c r="C416" s="30" t="str">
        <f t="shared" si="114"/>
        <v>LA England - South Derbyshire</v>
      </c>
      <c r="D416" s="51">
        <f t="shared" si="105"/>
        <v>3639</v>
      </c>
      <c r="E416" s="51">
        <f t="shared" si="106"/>
        <v>16004</v>
      </c>
      <c r="F416" s="52">
        <f t="shared" si="107"/>
        <v>111133</v>
      </c>
      <c r="G416" s="52">
        <f t="shared" si="108"/>
        <v>54368</v>
      </c>
      <c r="H416" s="53">
        <f t="shared" si="109"/>
        <v>56765</v>
      </c>
      <c r="I416" s="53">
        <f t="shared" si="110"/>
        <v>42386</v>
      </c>
      <c r="J416" s="53">
        <f t="shared" si="111"/>
        <v>45156</v>
      </c>
      <c r="K416" s="50">
        <f t="shared" si="112"/>
        <v>11982</v>
      </c>
      <c r="L416" s="51">
        <f t="shared" si="113"/>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2">
      <c r="A417" s="31" t="s">
        <v>150</v>
      </c>
      <c r="B417" s="1" t="s">
        <v>509</v>
      </c>
      <c r="C417" s="30" t="str">
        <f t="shared" si="114"/>
        <v>LA England - South Gloucestershire</v>
      </c>
      <c r="D417" s="51">
        <f t="shared" si="105"/>
        <v>9449</v>
      </c>
      <c r="E417" s="51">
        <f t="shared" si="106"/>
        <v>38812</v>
      </c>
      <c r="F417" s="52">
        <f t="shared" si="107"/>
        <v>294765</v>
      </c>
      <c r="G417" s="52">
        <f t="shared" si="108"/>
        <v>145963</v>
      </c>
      <c r="H417" s="53">
        <f t="shared" si="109"/>
        <v>148802</v>
      </c>
      <c r="I417" s="53">
        <f t="shared" si="110"/>
        <v>115036</v>
      </c>
      <c r="J417" s="53">
        <f t="shared" si="111"/>
        <v>119572</v>
      </c>
      <c r="K417" s="50">
        <f t="shared" si="112"/>
        <v>30927</v>
      </c>
      <c r="L417" s="51">
        <f t="shared" si="113"/>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2">
      <c r="A418" s="31" t="s">
        <v>150</v>
      </c>
      <c r="B418" s="1" t="s">
        <v>510</v>
      </c>
      <c r="C418" s="30" t="str">
        <f t="shared" si="114"/>
        <v>LA England - South Hams</v>
      </c>
      <c r="D418" s="51">
        <f t="shared" si="105"/>
        <v>2565</v>
      </c>
      <c r="E418" s="51">
        <f t="shared" si="106"/>
        <v>14437</v>
      </c>
      <c r="F418" s="52">
        <f t="shared" si="107"/>
        <v>89812</v>
      </c>
      <c r="G418" s="52">
        <f t="shared" si="108"/>
        <v>43356</v>
      </c>
      <c r="H418" s="53">
        <f t="shared" si="109"/>
        <v>46456</v>
      </c>
      <c r="I418" s="53">
        <f t="shared" si="110"/>
        <v>35333</v>
      </c>
      <c r="J418" s="53">
        <f t="shared" si="111"/>
        <v>38702</v>
      </c>
      <c r="K418" s="50">
        <f t="shared" si="112"/>
        <v>8023</v>
      </c>
      <c r="L418" s="51">
        <f t="shared" si="113"/>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2">
      <c r="A419" s="31" t="s">
        <v>150</v>
      </c>
      <c r="B419" s="1" t="s">
        <v>511</v>
      </c>
      <c r="C419" s="30" t="str">
        <f t="shared" si="114"/>
        <v>LA England - South Holland</v>
      </c>
      <c r="D419" s="51">
        <f t="shared" si="105"/>
        <v>2796</v>
      </c>
      <c r="E419" s="51">
        <f t="shared" si="106"/>
        <v>14260</v>
      </c>
      <c r="F419" s="52">
        <f t="shared" si="107"/>
        <v>96983</v>
      </c>
      <c r="G419" s="52">
        <f t="shared" si="108"/>
        <v>47572</v>
      </c>
      <c r="H419" s="53">
        <f t="shared" si="109"/>
        <v>49411</v>
      </c>
      <c r="I419" s="53">
        <f t="shared" si="110"/>
        <v>38009</v>
      </c>
      <c r="J419" s="53">
        <f t="shared" si="111"/>
        <v>40343</v>
      </c>
      <c r="K419" s="50">
        <f t="shared" si="112"/>
        <v>9563</v>
      </c>
      <c r="L419" s="51">
        <f t="shared" si="113"/>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2">
      <c r="A420" s="31" t="s">
        <v>150</v>
      </c>
      <c r="B420" s="1" t="s">
        <v>512</v>
      </c>
      <c r="C420" s="30" t="str">
        <f t="shared" si="114"/>
        <v>LA England - South Kesteven</v>
      </c>
      <c r="D420" s="51">
        <f t="shared" si="105"/>
        <v>4508</v>
      </c>
      <c r="E420" s="51">
        <f t="shared" si="106"/>
        <v>21823</v>
      </c>
      <c r="F420" s="52">
        <f t="shared" si="107"/>
        <v>144249</v>
      </c>
      <c r="G420" s="52">
        <f t="shared" si="108"/>
        <v>69829</v>
      </c>
      <c r="H420" s="53">
        <f t="shared" si="109"/>
        <v>74420</v>
      </c>
      <c r="I420" s="53">
        <f t="shared" si="110"/>
        <v>55210</v>
      </c>
      <c r="J420" s="53">
        <f t="shared" si="111"/>
        <v>60301</v>
      </c>
      <c r="K420" s="50">
        <f t="shared" si="112"/>
        <v>14619</v>
      </c>
      <c r="L420" s="51">
        <f t="shared" si="113"/>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2">
      <c r="A421" s="31" t="s">
        <v>150</v>
      </c>
      <c r="B421" s="1" t="s">
        <v>513</v>
      </c>
      <c r="C421" s="30" t="str">
        <f t="shared" si="114"/>
        <v>LA England - South Norfolk</v>
      </c>
      <c r="D421" s="51">
        <f t="shared" si="105"/>
        <v>4525</v>
      </c>
      <c r="E421" s="51">
        <f t="shared" si="106"/>
        <v>21225</v>
      </c>
      <c r="F421" s="52">
        <f t="shared" si="107"/>
        <v>144593</v>
      </c>
      <c r="G421" s="52">
        <f t="shared" si="108"/>
        <v>70458</v>
      </c>
      <c r="H421" s="53">
        <f t="shared" si="109"/>
        <v>74135</v>
      </c>
      <c r="I421" s="53">
        <f t="shared" si="110"/>
        <v>55945</v>
      </c>
      <c r="J421" s="53">
        <f t="shared" si="111"/>
        <v>60231</v>
      </c>
      <c r="K421" s="50">
        <f t="shared" si="112"/>
        <v>14513</v>
      </c>
      <c r="L421" s="51">
        <f t="shared" si="113"/>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2">
      <c r="A422" s="31" t="s">
        <v>150</v>
      </c>
      <c r="B422" s="1" t="s">
        <v>514</v>
      </c>
      <c r="C422" s="30" t="str">
        <f t="shared" si="114"/>
        <v>LA England - South Oxfordshire</v>
      </c>
      <c r="D422" s="51">
        <f t="shared" si="105"/>
        <v>5033</v>
      </c>
      <c r="E422" s="51">
        <f t="shared" si="106"/>
        <v>22080</v>
      </c>
      <c r="F422" s="52">
        <f t="shared" si="107"/>
        <v>151820</v>
      </c>
      <c r="G422" s="52">
        <f t="shared" si="108"/>
        <v>74852</v>
      </c>
      <c r="H422" s="53">
        <f t="shared" si="109"/>
        <v>76968</v>
      </c>
      <c r="I422" s="53">
        <f t="shared" si="110"/>
        <v>58831</v>
      </c>
      <c r="J422" s="53">
        <f t="shared" si="111"/>
        <v>61584</v>
      </c>
      <c r="K422" s="50">
        <f t="shared" si="112"/>
        <v>16021</v>
      </c>
      <c r="L422" s="51">
        <f t="shared" si="113"/>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2">
      <c r="A423" s="31" t="s">
        <v>150</v>
      </c>
      <c r="B423" s="1" t="s">
        <v>515</v>
      </c>
      <c r="C423" s="30" t="str">
        <f t="shared" si="114"/>
        <v>LA England - South Ribble</v>
      </c>
      <c r="D423" s="51">
        <f t="shared" si="105"/>
        <v>3400</v>
      </c>
      <c r="E423" s="51">
        <f t="shared" si="106"/>
        <v>16555</v>
      </c>
      <c r="F423" s="52">
        <f t="shared" si="107"/>
        <v>112166</v>
      </c>
      <c r="G423" s="52">
        <f t="shared" si="108"/>
        <v>54874</v>
      </c>
      <c r="H423" s="53">
        <f t="shared" si="109"/>
        <v>57292</v>
      </c>
      <c r="I423" s="53">
        <f t="shared" si="110"/>
        <v>43597</v>
      </c>
      <c r="J423" s="53">
        <f t="shared" si="111"/>
        <v>46503</v>
      </c>
      <c r="K423" s="50">
        <f t="shared" si="112"/>
        <v>11277</v>
      </c>
      <c r="L423" s="51">
        <f t="shared" si="113"/>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2">
      <c r="A424" s="31" t="s">
        <v>150</v>
      </c>
      <c r="B424" s="1" t="s">
        <v>516</v>
      </c>
      <c r="C424" s="30" t="str">
        <f t="shared" si="114"/>
        <v>LA England - South Staffordshire</v>
      </c>
      <c r="D424" s="51">
        <f t="shared" si="105"/>
        <v>3018</v>
      </c>
      <c r="E424" s="51">
        <f t="shared" si="106"/>
        <v>16634</v>
      </c>
      <c r="F424" s="52">
        <f t="shared" si="107"/>
        <v>111527</v>
      </c>
      <c r="G424" s="52">
        <f t="shared" si="108"/>
        <v>55746</v>
      </c>
      <c r="H424" s="53">
        <f t="shared" si="109"/>
        <v>55781</v>
      </c>
      <c r="I424" s="53">
        <f t="shared" si="110"/>
        <v>45750</v>
      </c>
      <c r="J424" s="53">
        <f t="shared" si="111"/>
        <v>46074</v>
      </c>
      <c r="K424" s="50">
        <f t="shared" si="112"/>
        <v>9996</v>
      </c>
      <c r="L424" s="51">
        <f t="shared" si="113"/>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2">
      <c r="A425" s="31" t="s">
        <v>150</v>
      </c>
      <c r="B425" s="1" t="s">
        <v>517</v>
      </c>
      <c r="C425" s="30" t="str">
        <f t="shared" si="114"/>
        <v>LA England - South Tyneside</v>
      </c>
      <c r="D425" s="51">
        <f t="shared" si="105"/>
        <v>4639</v>
      </c>
      <c r="E425" s="51">
        <f t="shared" si="106"/>
        <v>21591</v>
      </c>
      <c r="F425" s="52">
        <f t="shared" si="107"/>
        <v>148667</v>
      </c>
      <c r="G425" s="52">
        <f t="shared" si="108"/>
        <v>72355</v>
      </c>
      <c r="H425" s="53">
        <f t="shared" si="109"/>
        <v>76312</v>
      </c>
      <c r="I425" s="53">
        <f t="shared" si="110"/>
        <v>56904</v>
      </c>
      <c r="J425" s="53">
        <f t="shared" si="111"/>
        <v>61816</v>
      </c>
      <c r="K425" s="50">
        <f t="shared" si="112"/>
        <v>15451</v>
      </c>
      <c r="L425" s="51">
        <f t="shared" si="113"/>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2">
      <c r="A426" s="31" t="s">
        <v>150</v>
      </c>
      <c r="B426" s="1" t="s">
        <v>518</v>
      </c>
      <c r="C426" s="30" t="str">
        <f t="shared" si="114"/>
        <v>LA England - Southampton</v>
      </c>
      <c r="D426" s="51">
        <f t="shared" si="105"/>
        <v>8387</v>
      </c>
      <c r="E426" s="51">
        <f t="shared" si="106"/>
        <v>27803</v>
      </c>
      <c r="F426" s="52">
        <f t="shared" si="107"/>
        <v>252689</v>
      </c>
      <c r="G426" s="52">
        <f t="shared" si="108"/>
        <v>126412</v>
      </c>
      <c r="H426" s="53">
        <f t="shared" si="109"/>
        <v>126277</v>
      </c>
      <c r="I426" s="53">
        <f t="shared" si="110"/>
        <v>100951</v>
      </c>
      <c r="J426" s="53">
        <f t="shared" si="111"/>
        <v>101874</v>
      </c>
      <c r="K426" s="50">
        <f t="shared" si="112"/>
        <v>25461</v>
      </c>
      <c r="L426" s="51">
        <f t="shared" si="113"/>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2">
      <c r="A427" s="31" t="s">
        <v>150</v>
      </c>
      <c r="B427" s="1" t="s">
        <v>519</v>
      </c>
      <c r="C427" s="30" t="str">
        <f t="shared" si="114"/>
        <v>LA England - Southend-on-Sea</v>
      </c>
      <c r="D427" s="51">
        <f t="shared" si="105"/>
        <v>6346</v>
      </c>
      <c r="E427" s="51">
        <f t="shared" si="106"/>
        <v>25037</v>
      </c>
      <c r="F427" s="52">
        <f t="shared" si="107"/>
        <v>180915</v>
      </c>
      <c r="G427" s="52">
        <f t="shared" si="108"/>
        <v>88198</v>
      </c>
      <c r="H427" s="53">
        <f t="shared" si="109"/>
        <v>92717</v>
      </c>
      <c r="I427" s="53">
        <f t="shared" si="110"/>
        <v>68646</v>
      </c>
      <c r="J427" s="53">
        <f t="shared" si="111"/>
        <v>73948</v>
      </c>
      <c r="K427" s="50">
        <f t="shared" si="112"/>
        <v>19552</v>
      </c>
      <c r="L427" s="51">
        <f t="shared" si="113"/>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2">
      <c r="A428" s="31" t="s">
        <v>150</v>
      </c>
      <c r="B428" s="1" t="s">
        <v>520</v>
      </c>
      <c r="C428" s="30" t="str">
        <f t="shared" si="114"/>
        <v>LA England - Southwark</v>
      </c>
      <c r="D428" s="51">
        <f t="shared" si="105"/>
        <v>11117</v>
      </c>
      <c r="E428" s="51">
        <f t="shared" si="106"/>
        <v>37506</v>
      </c>
      <c r="F428" s="52">
        <f t="shared" si="107"/>
        <v>311913</v>
      </c>
      <c r="G428" s="52">
        <f t="shared" si="108"/>
        <v>151277</v>
      </c>
      <c r="H428" s="53">
        <f t="shared" si="109"/>
        <v>160636</v>
      </c>
      <c r="I428" s="53">
        <f t="shared" si="110"/>
        <v>122213</v>
      </c>
      <c r="J428" s="53">
        <f t="shared" si="111"/>
        <v>132671</v>
      </c>
      <c r="K428" s="50">
        <f t="shared" si="112"/>
        <v>29064</v>
      </c>
      <c r="L428" s="51">
        <f t="shared" si="113"/>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2">
      <c r="A429" s="31" t="s">
        <v>150</v>
      </c>
      <c r="B429" s="1" t="s">
        <v>521</v>
      </c>
      <c r="C429" s="30" t="str">
        <f t="shared" si="114"/>
        <v>LA England - Spelthorne</v>
      </c>
      <c r="D429" s="51">
        <f t="shared" si="105"/>
        <v>3954</v>
      </c>
      <c r="E429" s="51">
        <f t="shared" si="106"/>
        <v>14213</v>
      </c>
      <c r="F429" s="52">
        <f t="shared" si="107"/>
        <v>103551</v>
      </c>
      <c r="G429" s="52">
        <f t="shared" si="108"/>
        <v>50846</v>
      </c>
      <c r="H429" s="53">
        <f t="shared" si="109"/>
        <v>52705</v>
      </c>
      <c r="I429" s="53">
        <f t="shared" si="110"/>
        <v>39462</v>
      </c>
      <c r="J429" s="53">
        <f t="shared" si="111"/>
        <v>41979</v>
      </c>
      <c r="K429" s="50">
        <f t="shared" si="112"/>
        <v>11384</v>
      </c>
      <c r="L429" s="51">
        <f t="shared" si="113"/>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2">
      <c r="A430" s="31" t="s">
        <v>150</v>
      </c>
      <c r="B430" s="1" t="s">
        <v>522</v>
      </c>
      <c r="C430" s="30" t="str">
        <f t="shared" si="114"/>
        <v>LA England - St Albans</v>
      </c>
      <c r="D430" s="51">
        <f t="shared" si="105"/>
        <v>5999</v>
      </c>
      <c r="E430" s="51">
        <f t="shared" si="106"/>
        <v>21696</v>
      </c>
      <c r="F430" s="52">
        <f t="shared" si="107"/>
        <v>148358</v>
      </c>
      <c r="G430" s="52">
        <f t="shared" si="108"/>
        <v>72473</v>
      </c>
      <c r="H430" s="53">
        <f t="shared" si="109"/>
        <v>75885</v>
      </c>
      <c r="I430" s="53">
        <f t="shared" si="110"/>
        <v>53988</v>
      </c>
      <c r="J430" s="53">
        <f t="shared" si="111"/>
        <v>58356</v>
      </c>
      <c r="K430" s="50">
        <f t="shared" si="112"/>
        <v>18485</v>
      </c>
      <c r="L430" s="51">
        <f t="shared" si="113"/>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2">
      <c r="A431" s="31" t="s">
        <v>150</v>
      </c>
      <c r="B431" s="1" t="s">
        <v>523</v>
      </c>
      <c r="C431" s="30" t="str">
        <f t="shared" si="114"/>
        <v>LA England - St. Helens</v>
      </c>
      <c r="D431" s="51">
        <f t="shared" si="105"/>
        <v>5654</v>
      </c>
      <c r="E431" s="51">
        <f t="shared" si="106"/>
        <v>26145</v>
      </c>
      <c r="F431" s="52">
        <f t="shared" si="107"/>
        <v>184728</v>
      </c>
      <c r="G431" s="52">
        <f t="shared" si="108"/>
        <v>90663</v>
      </c>
      <c r="H431" s="53">
        <f t="shared" si="109"/>
        <v>94065</v>
      </c>
      <c r="I431" s="53">
        <f t="shared" si="110"/>
        <v>71708</v>
      </c>
      <c r="J431" s="53">
        <f t="shared" si="111"/>
        <v>76120</v>
      </c>
      <c r="K431" s="50">
        <f t="shared" si="112"/>
        <v>18955</v>
      </c>
      <c r="L431" s="51">
        <f t="shared" si="113"/>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2">
      <c r="A432" s="31" t="s">
        <v>150</v>
      </c>
      <c r="B432" s="1" t="s">
        <v>524</v>
      </c>
      <c r="C432" s="30" t="str">
        <f t="shared" si="114"/>
        <v>LA England - Stafford</v>
      </c>
      <c r="D432" s="51">
        <f t="shared" si="105"/>
        <v>4215</v>
      </c>
      <c r="E432" s="51">
        <f t="shared" si="106"/>
        <v>20071</v>
      </c>
      <c r="F432" s="52">
        <f t="shared" si="107"/>
        <v>138670</v>
      </c>
      <c r="G432" s="52">
        <f t="shared" si="108"/>
        <v>68380</v>
      </c>
      <c r="H432" s="53">
        <f t="shared" si="109"/>
        <v>70290</v>
      </c>
      <c r="I432" s="53">
        <f t="shared" si="110"/>
        <v>54925</v>
      </c>
      <c r="J432" s="53">
        <f t="shared" si="111"/>
        <v>57357</v>
      </c>
      <c r="K432" s="50">
        <f t="shared" si="112"/>
        <v>13455</v>
      </c>
      <c r="L432" s="51">
        <f t="shared" si="113"/>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2">
      <c r="A433" s="31" t="s">
        <v>150</v>
      </c>
      <c r="B433" s="1" t="s">
        <v>525</v>
      </c>
      <c r="C433" s="30" t="str">
        <f t="shared" si="114"/>
        <v>LA England - Staffordshire Moorlands</v>
      </c>
      <c r="D433" s="51">
        <f t="shared" si="105"/>
        <v>2575</v>
      </c>
      <c r="E433" s="51">
        <f t="shared" si="106"/>
        <v>14851</v>
      </c>
      <c r="F433" s="52">
        <f t="shared" si="107"/>
        <v>95899</v>
      </c>
      <c r="G433" s="52">
        <f t="shared" si="108"/>
        <v>47233</v>
      </c>
      <c r="H433" s="53">
        <f t="shared" si="109"/>
        <v>48666</v>
      </c>
      <c r="I433" s="53">
        <f t="shared" si="110"/>
        <v>38487</v>
      </c>
      <c r="J433" s="53">
        <f t="shared" si="111"/>
        <v>40418</v>
      </c>
      <c r="K433" s="50">
        <f t="shared" si="112"/>
        <v>8746</v>
      </c>
      <c r="L433" s="51">
        <f t="shared" si="113"/>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2">
      <c r="A434" s="31" t="s">
        <v>150</v>
      </c>
      <c r="B434" s="1" t="s">
        <v>526</v>
      </c>
      <c r="C434" s="30" t="str">
        <f t="shared" si="114"/>
        <v>LA England - Stevenage</v>
      </c>
      <c r="D434" s="51">
        <f t="shared" si="105"/>
        <v>3051</v>
      </c>
      <c r="E434" s="51">
        <f t="shared" si="106"/>
        <v>11913</v>
      </c>
      <c r="F434" s="52">
        <f t="shared" si="107"/>
        <v>89737</v>
      </c>
      <c r="G434" s="52">
        <f t="shared" si="108"/>
        <v>44356</v>
      </c>
      <c r="H434" s="53">
        <f t="shared" si="109"/>
        <v>45381</v>
      </c>
      <c r="I434" s="53">
        <f t="shared" si="110"/>
        <v>33692</v>
      </c>
      <c r="J434" s="53">
        <f t="shared" si="111"/>
        <v>35549</v>
      </c>
      <c r="K434" s="50">
        <f t="shared" si="112"/>
        <v>10664</v>
      </c>
      <c r="L434" s="51">
        <f t="shared" si="113"/>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2">
      <c r="A435" s="31" t="s">
        <v>150</v>
      </c>
      <c r="B435" s="1" t="s">
        <v>527</v>
      </c>
      <c r="C435" s="30" t="str">
        <f t="shared" si="114"/>
        <v>LA England - Stockport</v>
      </c>
      <c r="D435" s="51">
        <f t="shared" si="105"/>
        <v>10312</v>
      </c>
      <c r="E435" s="51">
        <f t="shared" si="106"/>
        <v>41036</v>
      </c>
      <c r="F435" s="52">
        <f t="shared" si="107"/>
        <v>297107</v>
      </c>
      <c r="G435" s="52">
        <f t="shared" si="108"/>
        <v>144724</v>
      </c>
      <c r="H435" s="53">
        <f t="shared" si="109"/>
        <v>152383</v>
      </c>
      <c r="I435" s="53">
        <f t="shared" si="110"/>
        <v>112123</v>
      </c>
      <c r="J435" s="53">
        <f t="shared" si="111"/>
        <v>121529</v>
      </c>
      <c r="K435" s="50">
        <f t="shared" si="112"/>
        <v>32601</v>
      </c>
      <c r="L435" s="51">
        <f t="shared" si="113"/>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2">
      <c r="A436" s="31" t="s">
        <v>150</v>
      </c>
      <c r="B436" s="1" t="s">
        <v>528</v>
      </c>
      <c r="C436" s="30" t="str">
        <f t="shared" si="114"/>
        <v>LA England - Stockton-on-Tees</v>
      </c>
      <c r="D436" s="51">
        <f t="shared" si="105"/>
        <v>6361</v>
      </c>
      <c r="E436" s="51">
        <f t="shared" si="106"/>
        <v>28020</v>
      </c>
      <c r="F436" s="52">
        <f t="shared" si="107"/>
        <v>199966</v>
      </c>
      <c r="G436" s="52">
        <f t="shared" si="108"/>
        <v>98511</v>
      </c>
      <c r="H436" s="53">
        <f t="shared" si="109"/>
        <v>101455</v>
      </c>
      <c r="I436" s="53">
        <f t="shared" si="110"/>
        <v>76156</v>
      </c>
      <c r="J436" s="53">
        <f t="shared" si="111"/>
        <v>80008</v>
      </c>
      <c r="K436" s="50">
        <f t="shared" si="112"/>
        <v>22355</v>
      </c>
      <c r="L436" s="51">
        <f t="shared" si="113"/>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2">
      <c r="A437" s="31" t="s">
        <v>150</v>
      </c>
      <c r="B437" s="1" t="s">
        <v>529</v>
      </c>
      <c r="C437" s="30" t="str">
        <f t="shared" si="114"/>
        <v>LA England - Stoke-on-Trent</v>
      </c>
      <c r="D437" s="51">
        <f t="shared" si="105"/>
        <v>8170</v>
      </c>
      <c r="E437" s="51">
        <f t="shared" si="106"/>
        <v>32303</v>
      </c>
      <c r="F437" s="52">
        <f t="shared" si="107"/>
        <v>259965</v>
      </c>
      <c r="G437" s="52">
        <f t="shared" si="108"/>
        <v>129616</v>
      </c>
      <c r="H437" s="53">
        <f t="shared" si="109"/>
        <v>130349</v>
      </c>
      <c r="I437" s="53">
        <f t="shared" si="110"/>
        <v>99573</v>
      </c>
      <c r="J437" s="53">
        <f t="shared" si="111"/>
        <v>101147</v>
      </c>
      <c r="K437" s="50">
        <f t="shared" si="112"/>
        <v>30043</v>
      </c>
      <c r="L437" s="51">
        <f t="shared" si="113"/>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2">
      <c r="A438" s="31" t="s">
        <v>150</v>
      </c>
      <c r="B438" s="1" t="s">
        <v>530</v>
      </c>
      <c r="C438" s="30" t="str">
        <f t="shared" si="114"/>
        <v>LA England - Stratford-on-Avon</v>
      </c>
      <c r="D438" s="51">
        <f t="shared" si="105"/>
        <v>4151</v>
      </c>
      <c r="E438" s="51">
        <f t="shared" si="106"/>
        <v>21470</v>
      </c>
      <c r="F438" s="52">
        <f t="shared" si="107"/>
        <v>138583</v>
      </c>
      <c r="G438" s="52">
        <f t="shared" si="108"/>
        <v>67296</v>
      </c>
      <c r="H438" s="53">
        <f t="shared" si="109"/>
        <v>71287</v>
      </c>
      <c r="I438" s="53">
        <f t="shared" si="110"/>
        <v>54171</v>
      </c>
      <c r="J438" s="53">
        <f t="shared" si="111"/>
        <v>58699</v>
      </c>
      <c r="K438" s="50">
        <f t="shared" si="112"/>
        <v>13125</v>
      </c>
      <c r="L438" s="51">
        <f t="shared" si="113"/>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2">
      <c r="A439" s="31" t="s">
        <v>150</v>
      </c>
      <c r="B439" s="1" t="s">
        <v>531</v>
      </c>
      <c r="C439" s="30" t="str">
        <f t="shared" si="114"/>
        <v>LA England - Stroud</v>
      </c>
      <c r="D439" s="51">
        <f t="shared" si="105"/>
        <v>3863</v>
      </c>
      <c r="E439" s="51">
        <f t="shared" si="106"/>
        <v>18989</v>
      </c>
      <c r="F439" s="52">
        <f t="shared" si="107"/>
        <v>123205</v>
      </c>
      <c r="G439" s="52">
        <f t="shared" si="108"/>
        <v>60231</v>
      </c>
      <c r="H439" s="53">
        <f t="shared" si="109"/>
        <v>62974</v>
      </c>
      <c r="I439" s="53">
        <f t="shared" si="110"/>
        <v>47896</v>
      </c>
      <c r="J439" s="53">
        <f t="shared" si="111"/>
        <v>51332</v>
      </c>
      <c r="K439" s="50">
        <f t="shared" si="112"/>
        <v>12335</v>
      </c>
      <c r="L439" s="51">
        <f t="shared" si="113"/>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2">
      <c r="A440" s="31" t="s">
        <v>150</v>
      </c>
      <c r="B440" s="1" t="s">
        <v>532</v>
      </c>
      <c r="C440" s="30" t="str">
        <f t="shared" si="114"/>
        <v>LA England - Sunderland</v>
      </c>
      <c r="D440" s="51">
        <f t="shared" si="105"/>
        <v>8570</v>
      </c>
      <c r="E440" s="51">
        <f t="shared" si="106"/>
        <v>39818</v>
      </c>
      <c r="F440" s="52">
        <f t="shared" si="107"/>
        <v>277354</v>
      </c>
      <c r="G440" s="52">
        <f t="shared" si="108"/>
        <v>135038</v>
      </c>
      <c r="H440" s="53">
        <f t="shared" si="109"/>
        <v>142316</v>
      </c>
      <c r="I440" s="53">
        <f t="shared" si="110"/>
        <v>106856</v>
      </c>
      <c r="J440" s="53">
        <f t="shared" si="111"/>
        <v>115417</v>
      </c>
      <c r="K440" s="50">
        <f t="shared" si="112"/>
        <v>28182</v>
      </c>
      <c r="L440" s="51">
        <f t="shared" si="113"/>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2">
      <c r="A441" s="31" t="s">
        <v>150</v>
      </c>
      <c r="B441" s="1" t="s">
        <v>533</v>
      </c>
      <c r="C441" s="30" t="str">
        <f t="shared" si="114"/>
        <v>LA England - Surrey Heath</v>
      </c>
      <c r="D441" s="51">
        <f t="shared" si="105"/>
        <v>3255</v>
      </c>
      <c r="E441" s="51">
        <f t="shared" si="106"/>
        <v>13459</v>
      </c>
      <c r="F441" s="52">
        <f t="shared" si="107"/>
        <v>91237</v>
      </c>
      <c r="G441" s="52">
        <f t="shared" si="108"/>
        <v>44936</v>
      </c>
      <c r="H441" s="53">
        <f t="shared" si="109"/>
        <v>46301</v>
      </c>
      <c r="I441" s="53">
        <f t="shared" si="110"/>
        <v>35098</v>
      </c>
      <c r="J441" s="53">
        <f t="shared" si="111"/>
        <v>37088</v>
      </c>
      <c r="K441" s="50">
        <f t="shared" si="112"/>
        <v>9838</v>
      </c>
      <c r="L441" s="51">
        <f t="shared" si="113"/>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2">
      <c r="A442" s="31" t="s">
        <v>150</v>
      </c>
      <c r="B442" s="1" t="s">
        <v>534</v>
      </c>
      <c r="C442" s="30" t="str">
        <f t="shared" si="114"/>
        <v>LA England - Sutton</v>
      </c>
      <c r="D442" s="51">
        <f t="shared" si="105"/>
        <v>9160</v>
      </c>
      <c r="E442" s="51">
        <f t="shared" si="106"/>
        <v>28809</v>
      </c>
      <c r="F442" s="52">
        <f t="shared" si="107"/>
        <v>210053</v>
      </c>
      <c r="G442" s="52">
        <f t="shared" si="108"/>
        <v>101742</v>
      </c>
      <c r="H442" s="53">
        <f t="shared" si="109"/>
        <v>108311</v>
      </c>
      <c r="I442" s="53">
        <f t="shared" si="110"/>
        <v>76298</v>
      </c>
      <c r="J442" s="53">
        <f t="shared" si="111"/>
        <v>84273</v>
      </c>
      <c r="K442" s="50">
        <f t="shared" si="112"/>
        <v>25444</v>
      </c>
      <c r="L442" s="51">
        <f t="shared" si="113"/>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2">
      <c r="A443" s="31" t="s">
        <v>150</v>
      </c>
      <c r="B443" s="1" t="s">
        <v>535</v>
      </c>
      <c r="C443" s="30" t="str">
        <f t="shared" si="114"/>
        <v>LA England - Swale</v>
      </c>
      <c r="D443" s="51">
        <f t="shared" si="105"/>
        <v>4931</v>
      </c>
      <c r="E443" s="51">
        <f t="shared" si="106"/>
        <v>21066</v>
      </c>
      <c r="F443" s="52">
        <f t="shared" si="107"/>
        <v>154619</v>
      </c>
      <c r="G443" s="52">
        <f t="shared" si="108"/>
        <v>76731</v>
      </c>
      <c r="H443" s="53">
        <f t="shared" si="109"/>
        <v>77888</v>
      </c>
      <c r="I443" s="53">
        <f t="shared" si="110"/>
        <v>59250</v>
      </c>
      <c r="J443" s="53">
        <f t="shared" si="111"/>
        <v>61367</v>
      </c>
      <c r="K443" s="50">
        <f t="shared" si="112"/>
        <v>17481</v>
      </c>
      <c r="L443" s="51">
        <f t="shared" si="113"/>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2">
      <c r="A444" s="31" t="s">
        <v>150</v>
      </c>
      <c r="B444" s="1" t="s">
        <v>536</v>
      </c>
      <c r="C444" s="30" t="str">
        <f t="shared" si="114"/>
        <v>LA England - Swindon</v>
      </c>
      <c r="D444" s="51">
        <f t="shared" si="105"/>
        <v>8370</v>
      </c>
      <c r="E444" s="51">
        <f t="shared" si="106"/>
        <v>32014</v>
      </c>
      <c r="F444" s="52">
        <f t="shared" si="107"/>
        <v>235657</v>
      </c>
      <c r="G444" s="52">
        <f t="shared" si="108"/>
        <v>117144</v>
      </c>
      <c r="H444" s="53">
        <f t="shared" si="109"/>
        <v>118513</v>
      </c>
      <c r="I444" s="53">
        <f t="shared" si="110"/>
        <v>90470</v>
      </c>
      <c r="J444" s="53">
        <f t="shared" si="111"/>
        <v>92993</v>
      </c>
      <c r="K444" s="50">
        <f t="shared" si="112"/>
        <v>26674</v>
      </c>
      <c r="L444" s="51">
        <f t="shared" si="113"/>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2">
      <c r="A445" s="31" t="s">
        <v>150</v>
      </c>
      <c r="B445" s="1" t="s">
        <v>537</v>
      </c>
      <c r="C445" s="30" t="str">
        <f t="shared" si="114"/>
        <v>LA England - Tameside</v>
      </c>
      <c r="D445" s="51">
        <f t="shared" si="105"/>
        <v>7508</v>
      </c>
      <c r="E445" s="51">
        <f t="shared" si="106"/>
        <v>31851</v>
      </c>
      <c r="F445" s="52">
        <f t="shared" si="107"/>
        <v>232753</v>
      </c>
      <c r="G445" s="52">
        <f t="shared" si="108"/>
        <v>114289</v>
      </c>
      <c r="H445" s="53">
        <f t="shared" si="109"/>
        <v>118464</v>
      </c>
      <c r="I445" s="53">
        <f t="shared" si="110"/>
        <v>87749</v>
      </c>
      <c r="J445" s="53">
        <f t="shared" si="111"/>
        <v>93356</v>
      </c>
      <c r="K445" s="50">
        <f t="shared" si="112"/>
        <v>26540</v>
      </c>
      <c r="L445" s="51">
        <f t="shared" si="113"/>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2">
      <c r="A446" s="31" t="s">
        <v>150</v>
      </c>
      <c r="B446" s="1" t="s">
        <v>538</v>
      </c>
      <c r="C446" s="30" t="str">
        <f t="shared" si="114"/>
        <v>LA England - Tamworth</v>
      </c>
      <c r="D446" s="51">
        <f t="shared" si="105"/>
        <v>2489</v>
      </c>
      <c r="E446" s="51">
        <f t="shared" si="106"/>
        <v>11007</v>
      </c>
      <c r="F446" s="52">
        <f t="shared" si="107"/>
        <v>79639</v>
      </c>
      <c r="G446" s="52">
        <f t="shared" si="108"/>
        <v>39099</v>
      </c>
      <c r="H446" s="53">
        <f t="shared" si="109"/>
        <v>40540</v>
      </c>
      <c r="I446" s="53">
        <f t="shared" si="110"/>
        <v>30375</v>
      </c>
      <c r="J446" s="53">
        <f t="shared" si="111"/>
        <v>32366</v>
      </c>
      <c r="K446" s="50">
        <f t="shared" si="112"/>
        <v>8724</v>
      </c>
      <c r="L446" s="51">
        <f t="shared" si="113"/>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2">
      <c r="A447" s="31" t="s">
        <v>150</v>
      </c>
      <c r="B447" s="1" t="s">
        <v>539</v>
      </c>
      <c r="C447" s="30" t="str">
        <f t="shared" si="114"/>
        <v>LA England - Tandridge</v>
      </c>
      <c r="D447" s="51">
        <f t="shared" si="105"/>
        <v>3061</v>
      </c>
      <c r="E447" s="51">
        <f t="shared" si="106"/>
        <v>13041</v>
      </c>
      <c r="F447" s="52">
        <f t="shared" si="107"/>
        <v>88707</v>
      </c>
      <c r="G447" s="52">
        <f t="shared" si="108"/>
        <v>42751</v>
      </c>
      <c r="H447" s="53">
        <f t="shared" si="109"/>
        <v>45956</v>
      </c>
      <c r="I447" s="53">
        <f t="shared" si="110"/>
        <v>32937</v>
      </c>
      <c r="J447" s="53">
        <f t="shared" si="111"/>
        <v>36216</v>
      </c>
      <c r="K447" s="50">
        <f t="shared" si="112"/>
        <v>9814</v>
      </c>
      <c r="L447" s="51">
        <f t="shared" si="113"/>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2">
      <c r="A448" s="31" t="s">
        <v>150</v>
      </c>
      <c r="B448" s="1" t="s">
        <v>540</v>
      </c>
      <c r="C448" s="30" t="str">
        <f t="shared" si="114"/>
        <v>LA England - Teignbridge</v>
      </c>
      <c r="D448" s="51">
        <f t="shared" si="105"/>
        <v>3743</v>
      </c>
      <c r="E448" s="51">
        <f t="shared" si="106"/>
        <v>21072</v>
      </c>
      <c r="F448" s="52">
        <f t="shared" si="107"/>
        <v>135952</v>
      </c>
      <c r="G448" s="52">
        <f t="shared" si="108"/>
        <v>66022</v>
      </c>
      <c r="H448" s="53">
        <f t="shared" si="109"/>
        <v>69930</v>
      </c>
      <c r="I448" s="53">
        <f t="shared" si="110"/>
        <v>53523</v>
      </c>
      <c r="J448" s="53">
        <f t="shared" si="111"/>
        <v>58246</v>
      </c>
      <c r="K448" s="50">
        <f t="shared" si="112"/>
        <v>12499</v>
      </c>
      <c r="L448" s="51">
        <f t="shared" si="113"/>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2">
      <c r="A449" s="31" t="s">
        <v>150</v>
      </c>
      <c r="B449" s="1" t="s">
        <v>541</v>
      </c>
      <c r="C449" s="30" t="str">
        <f t="shared" si="114"/>
        <v>LA England - Telford and Wrekin</v>
      </c>
      <c r="D449" s="51">
        <f t="shared" si="105"/>
        <v>5964</v>
      </c>
      <c r="E449" s="51">
        <f t="shared" si="106"/>
        <v>25759</v>
      </c>
      <c r="F449" s="52">
        <f t="shared" si="107"/>
        <v>188871</v>
      </c>
      <c r="G449" s="52">
        <f t="shared" si="108"/>
        <v>92843</v>
      </c>
      <c r="H449" s="53">
        <f t="shared" si="109"/>
        <v>96028</v>
      </c>
      <c r="I449" s="53">
        <f t="shared" si="110"/>
        <v>71191</v>
      </c>
      <c r="J449" s="53">
        <f t="shared" si="111"/>
        <v>75392</v>
      </c>
      <c r="K449" s="50">
        <f t="shared" si="112"/>
        <v>21652</v>
      </c>
      <c r="L449" s="51">
        <f t="shared" si="113"/>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2">
      <c r="A450" s="31" t="s">
        <v>150</v>
      </c>
      <c r="B450" s="1" t="s">
        <v>542</v>
      </c>
      <c r="C450" s="30" t="str">
        <f t="shared" si="114"/>
        <v>LA England - Tendring</v>
      </c>
      <c r="D450" s="51">
        <f t="shared" si="105"/>
        <v>3811</v>
      </c>
      <c r="E450" s="51">
        <f t="shared" si="106"/>
        <v>22185</v>
      </c>
      <c r="F450" s="52">
        <f t="shared" si="107"/>
        <v>151451</v>
      </c>
      <c r="G450" s="52">
        <f t="shared" si="108"/>
        <v>72970</v>
      </c>
      <c r="H450" s="53">
        <f t="shared" si="109"/>
        <v>78481</v>
      </c>
      <c r="I450" s="53">
        <f t="shared" si="110"/>
        <v>59275</v>
      </c>
      <c r="J450" s="53">
        <f t="shared" si="111"/>
        <v>65302</v>
      </c>
      <c r="K450" s="50">
        <f t="shared" si="112"/>
        <v>13695</v>
      </c>
      <c r="L450" s="51">
        <f t="shared" si="113"/>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2">
      <c r="A451" s="31" t="s">
        <v>150</v>
      </c>
      <c r="B451" s="1" t="s">
        <v>543</v>
      </c>
      <c r="C451" s="30" t="str">
        <f t="shared" si="114"/>
        <v>LA England - Test Valley</v>
      </c>
      <c r="D451" s="51">
        <f t="shared" si="105"/>
        <v>4343</v>
      </c>
      <c r="E451" s="51">
        <f t="shared" si="106"/>
        <v>19258</v>
      </c>
      <c r="F451" s="52">
        <f t="shared" si="107"/>
        <v>132871</v>
      </c>
      <c r="G451" s="52">
        <f t="shared" si="108"/>
        <v>64891</v>
      </c>
      <c r="H451" s="53">
        <f t="shared" si="109"/>
        <v>67980</v>
      </c>
      <c r="I451" s="53">
        <f t="shared" si="110"/>
        <v>51126</v>
      </c>
      <c r="J451" s="53">
        <f t="shared" si="111"/>
        <v>54565</v>
      </c>
      <c r="K451" s="50">
        <f t="shared" si="112"/>
        <v>13765</v>
      </c>
      <c r="L451" s="51">
        <f t="shared" si="113"/>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2">
      <c r="A452" s="31" t="s">
        <v>150</v>
      </c>
      <c r="B452" s="1" t="s">
        <v>544</v>
      </c>
      <c r="C452" s="30" t="str">
        <f t="shared" si="114"/>
        <v>LA England - Tewkesbury</v>
      </c>
      <c r="D452" s="51">
        <f t="shared" si="105"/>
        <v>3150</v>
      </c>
      <c r="E452" s="51">
        <f t="shared" si="106"/>
        <v>13728</v>
      </c>
      <c r="F452" s="52">
        <f t="shared" si="107"/>
        <v>97000</v>
      </c>
      <c r="G452" s="52">
        <f t="shared" si="108"/>
        <v>47040</v>
      </c>
      <c r="H452" s="53">
        <f t="shared" si="109"/>
        <v>49960</v>
      </c>
      <c r="I452" s="53">
        <f t="shared" si="110"/>
        <v>36746</v>
      </c>
      <c r="J452" s="53">
        <f t="shared" si="111"/>
        <v>40256</v>
      </c>
      <c r="K452" s="50">
        <f t="shared" si="112"/>
        <v>10294</v>
      </c>
      <c r="L452" s="51">
        <f t="shared" si="113"/>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2">
      <c r="A453" s="31" t="s">
        <v>150</v>
      </c>
      <c r="B453" s="1" t="s">
        <v>545</v>
      </c>
      <c r="C453" s="30" t="str">
        <f t="shared" si="114"/>
        <v>LA England - Thanet</v>
      </c>
      <c r="D453" s="51">
        <f t="shared" si="105"/>
        <v>4319</v>
      </c>
      <c r="E453" s="51">
        <f t="shared" si="106"/>
        <v>20185</v>
      </c>
      <c r="F453" s="52">
        <f t="shared" si="107"/>
        <v>140689</v>
      </c>
      <c r="G453" s="52">
        <f t="shared" si="108"/>
        <v>67694</v>
      </c>
      <c r="H453" s="53">
        <f t="shared" si="109"/>
        <v>72995</v>
      </c>
      <c r="I453" s="53">
        <f t="shared" si="110"/>
        <v>52906</v>
      </c>
      <c r="J453" s="53">
        <f t="shared" si="111"/>
        <v>59428</v>
      </c>
      <c r="K453" s="50">
        <f t="shared" si="112"/>
        <v>14788</v>
      </c>
      <c r="L453" s="51">
        <f t="shared" si="113"/>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2">
      <c r="A454" s="31" t="s">
        <v>150</v>
      </c>
      <c r="B454" s="1" t="s">
        <v>546</v>
      </c>
      <c r="C454" s="30" t="str">
        <f t="shared" si="114"/>
        <v>LA England - Three Rivers</v>
      </c>
      <c r="D454" s="51">
        <f t="shared" si="105"/>
        <v>3785</v>
      </c>
      <c r="E454" s="51">
        <f t="shared" si="106"/>
        <v>13724</v>
      </c>
      <c r="F454" s="52">
        <f t="shared" si="107"/>
        <v>94123</v>
      </c>
      <c r="G454" s="52">
        <f t="shared" si="108"/>
        <v>45800</v>
      </c>
      <c r="H454" s="53">
        <f t="shared" si="109"/>
        <v>48323</v>
      </c>
      <c r="I454" s="53">
        <f t="shared" si="110"/>
        <v>35006</v>
      </c>
      <c r="J454" s="53">
        <f t="shared" si="111"/>
        <v>37853</v>
      </c>
      <c r="K454" s="50">
        <f t="shared" si="112"/>
        <v>10794</v>
      </c>
      <c r="L454" s="51">
        <f t="shared" si="113"/>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2">
      <c r="A455" s="31" t="s">
        <v>150</v>
      </c>
      <c r="B455" s="1" t="s">
        <v>547</v>
      </c>
      <c r="C455" s="30" t="str">
        <f t="shared" si="114"/>
        <v>LA England - Thurrock</v>
      </c>
      <c r="D455" s="51">
        <f t="shared" si="105"/>
        <v>6628</v>
      </c>
      <c r="E455" s="51">
        <f t="shared" si="106"/>
        <v>22228</v>
      </c>
      <c r="F455" s="52">
        <f t="shared" si="107"/>
        <v>176877</v>
      </c>
      <c r="G455" s="52">
        <f t="shared" si="108"/>
        <v>86665</v>
      </c>
      <c r="H455" s="53">
        <f t="shared" si="109"/>
        <v>90212</v>
      </c>
      <c r="I455" s="53">
        <f t="shared" si="110"/>
        <v>63582</v>
      </c>
      <c r="J455" s="53">
        <f t="shared" si="111"/>
        <v>68415</v>
      </c>
      <c r="K455" s="50">
        <f t="shared" si="112"/>
        <v>23083</v>
      </c>
      <c r="L455" s="51">
        <f t="shared" si="113"/>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2">
      <c r="A456" s="31" t="s">
        <v>150</v>
      </c>
      <c r="B456" s="1" t="s">
        <v>548</v>
      </c>
      <c r="C456" s="30" t="str">
        <f t="shared" si="114"/>
        <v>LA England - Tonbridge and Malling</v>
      </c>
      <c r="D456" s="51">
        <f t="shared" si="105"/>
        <v>4675</v>
      </c>
      <c r="E456" s="51">
        <f t="shared" si="106"/>
        <v>19245</v>
      </c>
      <c r="F456" s="52">
        <f t="shared" si="107"/>
        <v>133661</v>
      </c>
      <c r="G456" s="52">
        <f t="shared" si="108"/>
        <v>64931</v>
      </c>
      <c r="H456" s="53">
        <f t="shared" si="109"/>
        <v>68730</v>
      </c>
      <c r="I456" s="53">
        <f t="shared" si="110"/>
        <v>49279</v>
      </c>
      <c r="J456" s="53">
        <f t="shared" si="111"/>
        <v>54077</v>
      </c>
      <c r="K456" s="50">
        <f t="shared" si="112"/>
        <v>15652</v>
      </c>
      <c r="L456" s="51">
        <f t="shared" si="113"/>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2">
      <c r="A457" s="31" t="s">
        <v>150</v>
      </c>
      <c r="B457" s="1" t="s">
        <v>549</v>
      </c>
      <c r="C457" s="30" t="str">
        <f t="shared" si="114"/>
        <v>LA England - Torbay</v>
      </c>
      <c r="D457" s="51">
        <f t="shared" ref="D457:D496" si="115">SUM(EN457:ER457)</f>
        <v>3889</v>
      </c>
      <c r="E457" s="51">
        <f t="shared" ref="E457:E496" si="116">SUM(ES457:FM457)</f>
        <v>20736</v>
      </c>
      <c r="F457" s="52">
        <f t="shared" si="107"/>
        <v>139479</v>
      </c>
      <c r="G457" s="52">
        <f t="shared" si="108"/>
        <v>67916</v>
      </c>
      <c r="H457" s="53">
        <f t="shared" si="109"/>
        <v>71563</v>
      </c>
      <c r="I457" s="53">
        <f t="shared" si="110"/>
        <v>55034</v>
      </c>
      <c r="J457" s="53">
        <f t="shared" si="111"/>
        <v>59323</v>
      </c>
      <c r="K457" s="50">
        <f t="shared" si="112"/>
        <v>12882</v>
      </c>
      <c r="L457" s="51">
        <f t="shared" si="113"/>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2">
      <c r="A458" s="31" t="s">
        <v>150</v>
      </c>
      <c r="B458" s="1" t="s">
        <v>550</v>
      </c>
      <c r="C458" s="30" t="str">
        <f t="shared" si="114"/>
        <v>LA England - Torridge</v>
      </c>
      <c r="D458" s="51">
        <f t="shared" si="115"/>
        <v>1767</v>
      </c>
      <c r="E458" s="51">
        <f t="shared" si="116"/>
        <v>10997</v>
      </c>
      <c r="F458" s="52">
        <f t="shared" ref="F458:F496" si="117">G458+H458</f>
        <v>68635</v>
      </c>
      <c r="G458" s="52">
        <f t="shared" ref="G458:G496" si="118">SUM(M458:CY458)</f>
        <v>33615</v>
      </c>
      <c r="H458" s="53">
        <f t="shared" ref="H458:H496" si="119">SUM(CZ458:GL458)</f>
        <v>35020</v>
      </c>
      <c r="I458" s="53">
        <f t="shared" ref="I458:I496" si="120">SUM(AE458:CY458)</f>
        <v>27392</v>
      </c>
      <c r="J458" s="53">
        <f t="shared" ref="J458:J496" si="121">SUM(DR458:GL458)</f>
        <v>29329</v>
      </c>
      <c r="K458" s="50">
        <f t="shared" ref="K458:K496" si="122">SUM(M458:AD458)</f>
        <v>6223</v>
      </c>
      <c r="L458" s="51">
        <f t="shared" ref="L458:L496" si="123">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2">
      <c r="A459" s="31" t="s">
        <v>150</v>
      </c>
      <c r="B459" s="1" t="s">
        <v>551</v>
      </c>
      <c r="C459" s="30" t="str">
        <f t="shared" si="114"/>
        <v>LA England - Tower Hamlets</v>
      </c>
      <c r="D459" s="51">
        <f t="shared" si="115"/>
        <v>11508</v>
      </c>
      <c r="E459" s="51">
        <f t="shared" si="116"/>
        <v>25248</v>
      </c>
      <c r="F459" s="52">
        <f t="shared" si="117"/>
        <v>325789</v>
      </c>
      <c r="G459" s="52">
        <f t="shared" si="118"/>
        <v>163842</v>
      </c>
      <c r="H459" s="53">
        <f t="shared" si="119"/>
        <v>161947</v>
      </c>
      <c r="I459" s="53">
        <f t="shared" si="120"/>
        <v>131116</v>
      </c>
      <c r="J459" s="53">
        <f t="shared" si="121"/>
        <v>130385</v>
      </c>
      <c r="K459" s="50">
        <f t="shared" si="122"/>
        <v>32726</v>
      </c>
      <c r="L459" s="51">
        <f t="shared" si="123"/>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2">
      <c r="A460" s="31" t="s">
        <v>150</v>
      </c>
      <c r="B460" s="1" t="s">
        <v>552</v>
      </c>
      <c r="C460" s="30" t="str">
        <f t="shared" ref="C460:C496" si="124">CONCATENATE(A460," - ",B460)</f>
        <v>LA England - Trafford</v>
      </c>
      <c r="D460" s="51">
        <f t="shared" si="115"/>
        <v>9383</v>
      </c>
      <c r="E460" s="51">
        <f t="shared" si="116"/>
        <v>32617</v>
      </c>
      <c r="F460" s="52">
        <f t="shared" si="117"/>
        <v>236301</v>
      </c>
      <c r="G460" s="52">
        <f t="shared" si="118"/>
        <v>115249</v>
      </c>
      <c r="H460" s="53">
        <f t="shared" si="119"/>
        <v>121052</v>
      </c>
      <c r="I460" s="53">
        <f t="shared" si="120"/>
        <v>86869</v>
      </c>
      <c r="J460" s="53">
        <f t="shared" si="121"/>
        <v>94098</v>
      </c>
      <c r="K460" s="50">
        <f t="shared" si="122"/>
        <v>28380</v>
      </c>
      <c r="L460" s="51">
        <f t="shared" si="123"/>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2">
      <c r="A461" s="31" t="s">
        <v>150</v>
      </c>
      <c r="B461" s="1" t="s">
        <v>553</v>
      </c>
      <c r="C461" s="30" t="str">
        <f t="shared" si="124"/>
        <v>LA England - Tunbridge Wells</v>
      </c>
      <c r="D461" s="51">
        <f t="shared" si="115"/>
        <v>4171</v>
      </c>
      <c r="E461" s="51">
        <f t="shared" si="116"/>
        <v>17109</v>
      </c>
      <c r="F461" s="52">
        <f t="shared" si="117"/>
        <v>116028</v>
      </c>
      <c r="G461" s="52">
        <f t="shared" si="118"/>
        <v>56457</v>
      </c>
      <c r="H461" s="53">
        <f t="shared" si="119"/>
        <v>59571</v>
      </c>
      <c r="I461" s="53">
        <f t="shared" si="120"/>
        <v>43174</v>
      </c>
      <c r="J461" s="53">
        <f t="shared" si="121"/>
        <v>46777</v>
      </c>
      <c r="K461" s="50">
        <f t="shared" si="122"/>
        <v>13283</v>
      </c>
      <c r="L461" s="51">
        <f t="shared" si="123"/>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2">
      <c r="A462" s="31" t="s">
        <v>150</v>
      </c>
      <c r="B462" s="1" t="s">
        <v>554</v>
      </c>
      <c r="C462" s="30" t="str">
        <f t="shared" si="124"/>
        <v>LA England - Uttlesford</v>
      </c>
      <c r="D462" s="51">
        <f t="shared" si="115"/>
        <v>3230</v>
      </c>
      <c r="E462" s="51">
        <f t="shared" si="116"/>
        <v>13912</v>
      </c>
      <c r="F462" s="52">
        <f t="shared" si="117"/>
        <v>92578</v>
      </c>
      <c r="G462" s="52">
        <f t="shared" si="118"/>
        <v>45371</v>
      </c>
      <c r="H462" s="53">
        <f t="shared" si="119"/>
        <v>47207</v>
      </c>
      <c r="I462" s="53">
        <f t="shared" si="120"/>
        <v>35068</v>
      </c>
      <c r="J462" s="53">
        <f t="shared" si="121"/>
        <v>37411</v>
      </c>
      <c r="K462" s="50">
        <f t="shared" si="122"/>
        <v>10303</v>
      </c>
      <c r="L462" s="51">
        <f t="shared" si="123"/>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2">
      <c r="A463" s="31" t="s">
        <v>150</v>
      </c>
      <c r="B463" s="1" t="s">
        <v>555</v>
      </c>
      <c r="C463" s="30" t="str">
        <f t="shared" si="124"/>
        <v>LA England - Vale of White Horse</v>
      </c>
      <c r="D463" s="51">
        <f t="shared" si="115"/>
        <v>4898</v>
      </c>
      <c r="E463" s="51">
        <f t="shared" si="116"/>
        <v>19433</v>
      </c>
      <c r="F463" s="52">
        <f t="shared" si="117"/>
        <v>142116</v>
      </c>
      <c r="G463" s="52">
        <f t="shared" si="118"/>
        <v>70559</v>
      </c>
      <c r="H463" s="53">
        <f t="shared" si="119"/>
        <v>71557</v>
      </c>
      <c r="I463" s="53">
        <f t="shared" si="120"/>
        <v>54457</v>
      </c>
      <c r="J463" s="53">
        <f t="shared" si="121"/>
        <v>56871</v>
      </c>
      <c r="K463" s="50">
        <f t="shared" si="122"/>
        <v>16102</v>
      </c>
      <c r="L463" s="51">
        <f t="shared" si="123"/>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2">
      <c r="A464" s="31" t="s">
        <v>150</v>
      </c>
      <c r="B464" s="1" t="s">
        <v>556</v>
      </c>
      <c r="C464" s="30" t="str">
        <f t="shared" si="124"/>
        <v>LA England - Wakefield</v>
      </c>
      <c r="D464" s="51">
        <f t="shared" si="115"/>
        <v>11136</v>
      </c>
      <c r="E464" s="51">
        <f t="shared" si="116"/>
        <v>49858</v>
      </c>
      <c r="F464" s="52">
        <f t="shared" si="117"/>
        <v>357729</v>
      </c>
      <c r="G464" s="52">
        <f t="shared" si="118"/>
        <v>176034</v>
      </c>
      <c r="H464" s="53">
        <f t="shared" si="119"/>
        <v>181695</v>
      </c>
      <c r="I464" s="53">
        <f t="shared" si="120"/>
        <v>137621</v>
      </c>
      <c r="J464" s="53">
        <f t="shared" si="121"/>
        <v>145330</v>
      </c>
      <c r="K464" s="50">
        <f t="shared" si="122"/>
        <v>38413</v>
      </c>
      <c r="L464" s="51">
        <f t="shared" si="123"/>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2">
      <c r="A465" s="31" t="s">
        <v>150</v>
      </c>
      <c r="B465" s="1" t="s">
        <v>557</v>
      </c>
      <c r="C465" s="30" t="str">
        <f t="shared" si="124"/>
        <v>LA England - Walsall</v>
      </c>
      <c r="D465" s="51">
        <f t="shared" si="115"/>
        <v>9221</v>
      </c>
      <c r="E465" s="51">
        <f t="shared" si="116"/>
        <v>36600</v>
      </c>
      <c r="F465" s="52">
        <f t="shared" si="117"/>
        <v>286105</v>
      </c>
      <c r="G465" s="52">
        <f t="shared" si="118"/>
        <v>140018</v>
      </c>
      <c r="H465" s="53">
        <f t="shared" si="119"/>
        <v>146087</v>
      </c>
      <c r="I465" s="53">
        <f t="shared" si="120"/>
        <v>104721</v>
      </c>
      <c r="J465" s="53">
        <f t="shared" si="121"/>
        <v>112263</v>
      </c>
      <c r="K465" s="50">
        <f t="shared" si="122"/>
        <v>35297</v>
      </c>
      <c r="L465" s="51">
        <f t="shared" si="123"/>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2">
      <c r="A466" s="31" t="s">
        <v>150</v>
      </c>
      <c r="B466" s="1" t="s">
        <v>558</v>
      </c>
      <c r="C466" s="30" t="str">
        <f t="shared" si="124"/>
        <v>LA England - Waltham Forest</v>
      </c>
      <c r="D466" s="51">
        <f t="shared" si="115"/>
        <v>11945</v>
      </c>
      <c r="E466" s="51">
        <f t="shared" si="116"/>
        <v>34582</v>
      </c>
      <c r="F466" s="52">
        <f t="shared" si="117"/>
        <v>275887</v>
      </c>
      <c r="G466" s="52">
        <f t="shared" si="118"/>
        <v>134906</v>
      </c>
      <c r="H466" s="53">
        <f t="shared" si="119"/>
        <v>140981</v>
      </c>
      <c r="I466" s="53">
        <f t="shared" si="120"/>
        <v>103110</v>
      </c>
      <c r="J466" s="53">
        <f t="shared" si="121"/>
        <v>110543</v>
      </c>
      <c r="K466" s="50">
        <f t="shared" si="122"/>
        <v>31796</v>
      </c>
      <c r="L466" s="51">
        <f t="shared" si="123"/>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2">
      <c r="A467" s="31" t="s">
        <v>150</v>
      </c>
      <c r="B467" s="1" t="s">
        <v>559</v>
      </c>
      <c r="C467" s="30" t="str">
        <f t="shared" si="124"/>
        <v>LA England - Wandsworth</v>
      </c>
      <c r="D467" s="51">
        <f t="shared" si="115"/>
        <v>12654</v>
      </c>
      <c r="E467" s="51">
        <f t="shared" si="116"/>
        <v>36624</v>
      </c>
      <c r="F467" s="52">
        <f t="shared" si="117"/>
        <v>329035</v>
      </c>
      <c r="G467" s="52">
        <f t="shared" si="118"/>
        <v>155750</v>
      </c>
      <c r="H467" s="53">
        <f t="shared" si="119"/>
        <v>173285</v>
      </c>
      <c r="I467" s="53">
        <f t="shared" si="120"/>
        <v>125772</v>
      </c>
      <c r="J467" s="53">
        <f t="shared" si="121"/>
        <v>144662</v>
      </c>
      <c r="K467" s="50">
        <f t="shared" si="122"/>
        <v>29978</v>
      </c>
      <c r="L467" s="51">
        <f t="shared" si="123"/>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2">
      <c r="A468" s="31" t="s">
        <v>150</v>
      </c>
      <c r="B468" s="1" t="s">
        <v>560</v>
      </c>
      <c r="C468" s="30" t="str">
        <f t="shared" si="124"/>
        <v>LA England - Warrington</v>
      </c>
      <c r="D468" s="51">
        <f t="shared" si="115"/>
        <v>7083</v>
      </c>
      <c r="E468" s="51">
        <f t="shared" si="116"/>
        <v>30751</v>
      </c>
      <c r="F468" s="52">
        <f t="shared" si="117"/>
        <v>211580</v>
      </c>
      <c r="G468" s="52">
        <f t="shared" si="118"/>
        <v>104613</v>
      </c>
      <c r="H468" s="53">
        <f t="shared" si="119"/>
        <v>106967</v>
      </c>
      <c r="I468" s="53">
        <f t="shared" si="120"/>
        <v>82284</v>
      </c>
      <c r="J468" s="53">
        <f t="shared" si="121"/>
        <v>85828</v>
      </c>
      <c r="K468" s="50">
        <f t="shared" si="122"/>
        <v>22329</v>
      </c>
      <c r="L468" s="51">
        <f t="shared" si="123"/>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2">
      <c r="A469" s="31" t="s">
        <v>150</v>
      </c>
      <c r="B469" s="1" t="s">
        <v>561</v>
      </c>
      <c r="C469" s="30" t="str">
        <f t="shared" si="124"/>
        <v>LA England - Warwick</v>
      </c>
      <c r="D469" s="51">
        <f t="shared" si="115"/>
        <v>4922</v>
      </c>
      <c r="E469" s="51">
        <f t="shared" si="116"/>
        <v>19570</v>
      </c>
      <c r="F469" s="52">
        <f t="shared" si="117"/>
        <v>151158</v>
      </c>
      <c r="G469" s="52">
        <f t="shared" si="118"/>
        <v>75257</v>
      </c>
      <c r="H469" s="53">
        <f t="shared" si="119"/>
        <v>75901</v>
      </c>
      <c r="I469" s="53">
        <f t="shared" si="120"/>
        <v>60382</v>
      </c>
      <c r="J469" s="53">
        <f t="shared" si="121"/>
        <v>61789</v>
      </c>
      <c r="K469" s="50">
        <f t="shared" si="122"/>
        <v>14875</v>
      </c>
      <c r="L469" s="51">
        <f t="shared" si="123"/>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2">
      <c r="A470" s="31" t="s">
        <v>150</v>
      </c>
      <c r="B470" s="1" t="s">
        <v>562</v>
      </c>
      <c r="C470" s="30" t="str">
        <f t="shared" si="124"/>
        <v>LA England - Watford</v>
      </c>
      <c r="D470" s="51">
        <f t="shared" si="115"/>
        <v>4385</v>
      </c>
      <c r="E470" s="51">
        <f t="shared" si="116"/>
        <v>12836</v>
      </c>
      <c r="F470" s="52">
        <f t="shared" si="117"/>
        <v>103031</v>
      </c>
      <c r="G470" s="52">
        <f t="shared" si="118"/>
        <v>50602</v>
      </c>
      <c r="H470" s="53">
        <f t="shared" si="119"/>
        <v>52429</v>
      </c>
      <c r="I470" s="53">
        <f t="shared" si="120"/>
        <v>38247</v>
      </c>
      <c r="J470" s="53">
        <f t="shared" si="121"/>
        <v>40598</v>
      </c>
      <c r="K470" s="50">
        <f t="shared" si="122"/>
        <v>12355</v>
      </c>
      <c r="L470" s="51">
        <f t="shared" si="123"/>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2">
      <c r="A471" s="31" t="s">
        <v>150</v>
      </c>
      <c r="B471" s="1" t="s">
        <v>563</v>
      </c>
      <c r="C471" s="30" t="str">
        <f t="shared" si="124"/>
        <v>LA England - Waverley</v>
      </c>
      <c r="D471" s="51">
        <f t="shared" si="115"/>
        <v>4474</v>
      </c>
      <c r="E471" s="51">
        <f t="shared" si="116"/>
        <v>19361</v>
      </c>
      <c r="F471" s="52">
        <f t="shared" si="117"/>
        <v>130063</v>
      </c>
      <c r="G471" s="52">
        <f t="shared" si="118"/>
        <v>62934</v>
      </c>
      <c r="H471" s="53">
        <f t="shared" si="119"/>
        <v>67129</v>
      </c>
      <c r="I471" s="53">
        <f t="shared" si="120"/>
        <v>48174</v>
      </c>
      <c r="J471" s="53">
        <f t="shared" si="121"/>
        <v>53203</v>
      </c>
      <c r="K471" s="50">
        <f t="shared" si="122"/>
        <v>14760</v>
      </c>
      <c r="L471" s="51">
        <f t="shared" si="123"/>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2">
      <c r="A472" s="31" t="s">
        <v>150</v>
      </c>
      <c r="B472" s="1" t="s">
        <v>564</v>
      </c>
      <c r="C472" s="30" t="str">
        <f t="shared" si="124"/>
        <v>LA England - Wealden</v>
      </c>
      <c r="D472" s="51">
        <f t="shared" si="115"/>
        <v>4541</v>
      </c>
      <c r="E472" s="51">
        <f t="shared" si="116"/>
        <v>25347</v>
      </c>
      <c r="F472" s="52">
        <f t="shared" si="117"/>
        <v>163012</v>
      </c>
      <c r="G472" s="52">
        <f t="shared" si="118"/>
        <v>78460</v>
      </c>
      <c r="H472" s="53">
        <f t="shared" si="119"/>
        <v>84552</v>
      </c>
      <c r="I472" s="53">
        <f t="shared" si="120"/>
        <v>62777</v>
      </c>
      <c r="J472" s="53">
        <f t="shared" si="121"/>
        <v>69627</v>
      </c>
      <c r="K472" s="50">
        <f t="shared" si="122"/>
        <v>15683</v>
      </c>
      <c r="L472" s="51">
        <f t="shared" si="123"/>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2">
      <c r="A473" s="31" t="s">
        <v>150</v>
      </c>
      <c r="B473" s="1" t="s">
        <v>565</v>
      </c>
      <c r="C473" s="30" t="str">
        <f t="shared" si="124"/>
        <v>LA England - Welwyn Hatfield</v>
      </c>
      <c r="D473" s="51">
        <f t="shared" si="115"/>
        <v>4182</v>
      </c>
      <c r="E473" s="51">
        <f t="shared" si="116"/>
        <v>15219</v>
      </c>
      <c r="F473" s="52">
        <f t="shared" si="117"/>
        <v>120213</v>
      </c>
      <c r="G473" s="52">
        <f t="shared" si="118"/>
        <v>59463</v>
      </c>
      <c r="H473" s="53">
        <f t="shared" si="119"/>
        <v>60750</v>
      </c>
      <c r="I473" s="53">
        <f t="shared" si="120"/>
        <v>46448</v>
      </c>
      <c r="J473" s="53">
        <f t="shared" si="121"/>
        <v>48368</v>
      </c>
      <c r="K473" s="50">
        <f t="shared" si="122"/>
        <v>13015</v>
      </c>
      <c r="L473" s="51">
        <f t="shared" si="123"/>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2">
      <c r="A474" s="31" t="s">
        <v>150</v>
      </c>
      <c r="B474" s="1" t="s">
        <v>566</v>
      </c>
      <c r="C474" s="30" t="str">
        <f t="shared" si="124"/>
        <v>LA England - West Berkshire</v>
      </c>
      <c r="D474" s="51">
        <f t="shared" si="115"/>
        <v>5423</v>
      </c>
      <c r="E474" s="51">
        <f t="shared" si="116"/>
        <v>24012</v>
      </c>
      <c r="F474" s="52">
        <f t="shared" si="117"/>
        <v>162215</v>
      </c>
      <c r="G474" s="52">
        <f t="shared" si="118"/>
        <v>80000</v>
      </c>
      <c r="H474" s="53">
        <f t="shared" si="119"/>
        <v>82215</v>
      </c>
      <c r="I474" s="53">
        <f t="shared" si="120"/>
        <v>62228</v>
      </c>
      <c r="J474" s="53">
        <f t="shared" si="121"/>
        <v>65218</v>
      </c>
      <c r="K474" s="50">
        <f t="shared" si="122"/>
        <v>17772</v>
      </c>
      <c r="L474" s="51">
        <f t="shared" si="123"/>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2">
      <c r="A475" s="31" t="s">
        <v>150</v>
      </c>
      <c r="B475" s="1" t="s">
        <v>567</v>
      </c>
      <c r="C475" s="30" t="str">
        <f t="shared" si="124"/>
        <v>LA England - West Devon</v>
      </c>
      <c r="D475" s="51">
        <f t="shared" si="115"/>
        <v>1536</v>
      </c>
      <c r="E475" s="51">
        <f t="shared" si="116"/>
        <v>9322</v>
      </c>
      <c r="F475" s="52">
        <f t="shared" si="117"/>
        <v>58190</v>
      </c>
      <c r="G475" s="52">
        <f t="shared" si="118"/>
        <v>28479</v>
      </c>
      <c r="H475" s="53">
        <f t="shared" si="119"/>
        <v>29711</v>
      </c>
      <c r="I475" s="53">
        <f t="shared" si="120"/>
        <v>23429</v>
      </c>
      <c r="J475" s="53">
        <f t="shared" si="121"/>
        <v>24733</v>
      </c>
      <c r="K475" s="50">
        <f t="shared" si="122"/>
        <v>5050</v>
      </c>
      <c r="L475" s="51">
        <f t="shared" si="123"/>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2">
      <c r="A476" s="31" t="s">
        <v>150</v>
      </c>
      <c r="B476" s="1" t="s">
        <v>568</v>
      </c>
      <c r="C476" s="30" t="str">
        <f t="shared" si="124"/>
        <v>LA England - West Lancashire</v>
      </c>
      <c r="D476" s="51">
        <f t="shared" si="115"/>
        <v>3247</v>
      </c>
      <c r="E476" s="51">
        <f t="shared" si="116"/>
        <v>17241</v>
      </c>
      <c r="F476" s="52">
        <f t="shared" si="117"/>
        <v>119367</v>
      </c>
      <c r="G476" s="52">
        <f t="shared" si="118"/>
        <v>57283</v>
      </c>
      <c r="H476" s="53">
        <f t="shared" si="119"/>
        <v>62084</v>
      </c>
      <c r="I476" s="53">
        <f t="shared" si="120"/>
        <v>45960</v>
      </c>
      <c r="J476" s="53">
        <f t="shared" si="121"/>
        <v>51265</v>
      </c>
      <c r="K476" s="50">
        <f t="shared" si="122"/>
        <v>11323</v>
      </c>
      <c r="L476" s="51">
        <f t="shared" si="123"/>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2">
      <c r="A477" s="31" t="s">
        <v>150</v>
      </c>
      <c r="B477" s="1" t="s">
        <v>569</v>
      </c>
      <c r="C477" s="30" t="str">
        <f t="shared" si="124"/>
        <v>LA England - West Lindsey</v>
      </c>
      <c r="D477" s="51">
        <f t="shared" si="115"/>
        <v>2764</v>
      </c>
      <c r="E477" s="51">
        <f t="shared" si="116"/>
        <v>14816</v>
      </c>
      <c r="F477" s="52">
        <f t="shared" si="117"/>
        <v>96817</v>
      </c>
      <c r="G477" s="52">
        <f t="shared" si="118"/>
        <v>47535</v>
      </c>
      <c r="H477" s="53">
        <f t="shared" si="119"/>
        <v>49282</v>
      </c>
      <c r="I477" s="53">
        <f t="shared" si="120"/>
        <v>38057</v>
      </c>
      <c r="J477" s="53">
        <f t="shared" si="121"/>
        <v>40441</v>
      </c>
      <c r="K477" s="50">
        <f t="shared" si="122"/>
        <v>9478</v>
      </c>
      <c r="L477" s="51">
        <f t="shared" si="123"/>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2">
      <c r="A478" s="31" t="s">
        <v>150</v>
      </c>
      <c r="B478" s="1" t="s">
        <v>777</v>
      </c>
      <c r="C478" s="30" t="str">
        <f t="shared" si="124"/>
        <v>LA England - West Northamptonshire</v>
      </c>
      <c r="D478" s="51">
        <f t="shared" si="115"/>
        <v>14873</v>
      </c>
      <c r="E478" s="51">
        <f t="shared" si="116"/>
        <v>58143</v>
      </c>
      <c r="F478" s="52">
        <f t="shared" si="117"/>
        <v>429013</v>
      </c>
      <c r="G478" s="52">
        <f t="shared" si="118"/>
        <v>212074</v>
      </c>
      <c r="H478" s="53">
        <f t="shared" si="119"/>
        <v>216939</v>
      </c>
      <c r="I478" s="53">
        <f t="shared" si="120"/>
        <v>164541</v>
      </c>
      <c r="J478" s="53">
        <f t="shared" si="121"/>
        <v>170970</v>
      </c>
      <c r="K478" s="50">
        <f t="shared" si="122"/>
        <v>47533</v>
      </c>
      <c r="L478" s="51">
        <f t="shared" si="123"/>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2">
      <c r="A479" s="31" t="s">
        <v>150</v>
      </c>
      <c r="B479" s="1" t="s">
        <v>570</v>
      </c>
      <c r="C479" s="30" t="str">
        <f t="shared" si="124"/>
        <v>LA England - West Oxfordshire</v>
      </c>
      <c r="D479" s="51">
        <f t="shared" si="115"/>
        <v>3701</v>
      </c>
      <c r="E479" s="51">
        <f t="shared" si="116"/>
        <v>16937</v>
      </c>
      <c r="F479" s="52">
        <f t="shared" si="117"/>
        <v>116928</v>
      </c>
      <c r="G479" s="52">
        <f t="shared" si="118"/>
        <v>57569</v>
      </c>
      <c r="H479" s="53">
        <f t="shared" si="119"/>
        <v>59359</v>
      </c>
      <c r="I479" s="53">
        <f t="shared" si="120"/>
        <v>45599</v>
      </c>
      <c r="J479" s="53">
        <f t="shared" si="121"/>
        <v>48039</v>
      </c>
      <c r="K479" s="50">
        <f t="shared" si="122"/>
        <v>11970</v>
      </c>
      <c r="L479" s="51">
        <f t="shared" si="123"/>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2">
      <c r="A480" s="31" t="s">
        <v>150</v>
      </c>
      <c r="B480" s="1" t="s">
        <v>571</v>
      </c>
      <c r="C480" s="30" t="str">
        <f t="shared" si="124"/>
        <v>LA England - West Suffolk</v>
      </c>
      <c r="D480" s="51">
        <f t="shared" si="115"/>
        <v>5431</v>
      </c>
      <c r="E480" s="51">
        <f t="shared" si="116"/>
        <v>24030</v>
      </c>
      <c r="F480" s="52">
        <f t="shared" si="117"/>
        <v>182228</v>
      </c>
      <c r="G480" s="52">
        <f t="shared" si="118"/>
        <v>91277</v>
      </c>
      <c r="H480" s="53">
        <f t="shared" si="119"/>
        <v>90951</v>
      </c>
      <c r="I480" s="53">
        <f t="shared" si="120"/>
        <v>72670</v>
      </c>
      <c r="J480" s="53">
        <f t="shared" si="121"/>
        <v>73488</v>
      </c>
      <c r="K480" s="50">
        <f t="shared" si="122"/>
        <v>18607</v>
      </c>
      <c r="L480" s="51">
        <f t="shared" si="123"/>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2">
      <c r="A481" s="31" t="s">
        <v>150</v>
      </c>
      <c r="B481" s="1" t="s">
        <v>572</v>
      </c>
      <c r="C481" s="30" t="str">
        <f t="shared" si="124"/>
        <v>LA England - Westminster</v>
      </c>
      <c r="D481" s="51">
        <f t="shared" si="115"/>
        <v>6959</v>
      </c>
      <c r="E481" s="51">
        <f t="shared" si="116"/>
        <v>27244</v>
      </c>
      <c r="F481" s="52">
        <f t="shared" si="117"/>
        <v>211365</v>
      </c>
      <c r="G481" s="52">
        <f t="shared" si="118"/>
        <v>102207</v>
      </c>
      <c r="H481" s="53">
        <f t="shared" si="119"/>
        <v>109158</v>
      </c>
      <c r="I481" s="53">
        <f t="shared" si="120"/>
        <v>86711</v>
      </c>
      <c r="J481" s="53">
        <f t="shared" si="121"/>
        <v>94428</v>
      </c>
      <c r="K481" s="50">
        <f t="shared" si="122"/>
        <v>15496</v>
      </c>
      <c r="L481" s="51">
        <f t="shared" si="123"/>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2">
      <c r="A482" s="31" t="s">
        <v>150</v>
      </c>
      <c r="B482" s="1" t="s">
        <v>778</v>
      </c>
      <c r="C482" s="30" t="str">
        <f t="shared" si="124"/>
        <v>LA England - Westmorland and Furness</v>
      </c>
      <c r="D482" s="51">
        <f t="shared" si="115"/>
        <v>6185</v>
      </c>
      <c r="E482" s="51">
        <f t="shared" si="116"/>
        <v>35307</v>
      </c>
      <c r="F482" s="52">
        <f t="shared" si="117"/>
        <v>227643</v>
      </c>
      <c r="G482" s="52">
        <f t="shared" si="118"/>
        <v>112393</v>
      </c>
      <c r="H482" s="53">
        <f t="shared" si="119"/>
        <v>115250</v>
      </c>
      <c r="I482" s="53">
        <f t="shared" si="120"/>
        <v>92287</v>
      </c>
      <c r="J482" s="53">
        <f t="shared" si="121"/>
        <v>96258</v>
      </c>
      <c r="K482" s="50">
        <f t="shared" si="122"/>
        <v>20106</v>
      </c>
      <c r="L482" s="51">
        <f t="shared" si="123"/>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2">
      <c r="A483" s="31" t="s">
        <v>150</v>
      </c>
      <c r="B483" s="1" t="s">
        <v>573</v>
      </c>
      <c r="C483" s="30" t="str">
        <f t="shared" si="124"/>
        <v>LA England - Wigan</v>
      </c>
      <c r="D483" s="51">
        <f t="shared" si="115"/>
        <v>10356</v>
      </c>
      <c r="E483" s="51">
        <f t="shared" si="116"/>
        <v>46413</v>
      </c>
      <c r="F483" s="52">
        <f t="shared" si="117"/>
        <v>334110</v>
      </c>
      <c r="G483" s="52">
        <f t="shared" si="118"/>
        <v>165612</v>
      </c>
      <c r="H483" s="53">
        <f t="shared" si="119"/>
        <v>168498</v>
      </c>
      <c r="I483" s="53">
        <f t="shared" si="120"/>
        <v>129821</v>
      </c>
      <c r="J483" s="53">
        <f t="shared" si="121"/>
        <v>134943</v>
      </c>
      <c r="K483" s="50">
        <f t="shared" si="122"/>
        <v>35791</v>
      </c>
      <c r="L483" s="51">
        <f t="shared" si="123"/>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2">
      <c r="A484" s="31" t="s">
        <v>150</v>
      </c>
      <c r="B484" s="1" t="s">
        <v>574</v>
      </c>
      <c r="C484" s="30" t="str">
        <f t="shared" si="124"/>
        <v>LA England - Wiltshire</v>
      </c>
      <c r="D484" s="51">
        <f t="shared" si="115"/>
        <v>15599</v>
      </c>
      <c r="E484" s="51">
        <f t="shared" si="116"/>
        <v>75901</v>
      </c>
      <c r="F484" s="52">
        <f t="shared" si="117"/>
        <v>515885</v>
      </c>
      <c r="G484" s="52">
        <f t="shared" si="118"/>
        <v>254963</v>
      </c>
      <c r="H484" s="53">
        <f t="shared" si="119"/>
        <v>260922</v>
      </c>
      <c r="I484" s="53">
        <f t="shared" si="120"/>
        <v>202273</v>
      </c>
      <c r="J484" s="53">
        <f t="shared" si="121"/>
        <v>210563</v>
      </c>
      <c r="K484" s="50">
        <f t="shared" si="122"/>
        <v>52690</v>
      </c>
      <c r="L484" s="51">
        <f t="shared" si="123"/>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2">
      <c r="A485" s="31" t="s">
        <v>150</v>
      </c>
      <c r="B485" s="1" t="s">
        <v>575</v>
      </c>
      <c r="C485" s="30" t="str">
        <f t="shared" si="124"/>
        <v>LA England - Winchester</v>
      </c>
      <c r="D485" s="51">
        <f t="shared" si="115"/>
        <v>4178</v>
      </c>
      <c r="E485" s="51">
        <f t="shared" si="116"/>
        <v>18300</v>
      </c>
      <c r="F485" s="52">
        <f t="shared" si="117"/>
        <v>130268</v>
      </c>
      <c r="G485" s="52">
        <f t="shared" si="118"/>
        <v>63583</v>
      </c>
      <c r="H485" s="53">
        <f t="shared" si="119"/>
        <v>66685</v>
      </c>
      <c r="I485" s="53">
        <f t="shared" si="120"/>
        <v>49783</v>
      </c>
      <c r="J485" s="53">
        <f t="shared" si="121"/>
        <v>53918</v>
      </c>
      <c r="K485" s="50">
        <f t="shared" si="122"/>
        <v>13800</v>
      </c>
      <c r="L485" s="51">
        <f t="shared" si="123"/>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2">
      <c r="A486" s="31" t="s">
        <v>150</v>
      </c>
      <c r="B486" s="1" t="s">
        <v>576</v>
      </c>
      <c r="C486" s="30" t="str">
        <f t="shared" si="124"/>
        <v>LA England - Windsor and Maidenhead</v>
      </c>
      <c r="D486" s="51">
        <f t="shared" si="115"/>
        <v>5896</v>
      </c>
      <c r="E486" s="51">
        <f t="shared" si="116"/>
        <v>22617</v>
      </c>
      <c r="F486" s="52">
        <f t="shared" si="117"/>
        <v>154738</v>
      </c>
      <c r="G486" s="52">
        <f t="shared" si="118"/>
        <v>76388</v>
      </c>
      <c r="H486" s="53">
        <f t="shared" si="119"/>
        <v>78350</v>
      </c>
      <c r="I486" s="53">
        <f t="shared" si="120"/>
        <v>58554</v>
      </c>
      <c r="J486" s="53">
        <f t="shared" si="121"/>
        <v>62091</v>
      </c>
      <c r="K486" s="50">
        <f t="shared" si="122"/>
        <v>17834</v>
      </c>
      <c r="L486" s="51">
        <f t="shared" si="123"/>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2">
      <c r="A487" s="31" t="s">
        <v>150</v>
      </c>
      <c r="B487" s="1" t="s">
        <v>577</v>
      </c>
      <c r="C487" s="30" t="str">
        <f t="shared" si="124"/>
        <v>LA England - Wirral</v>
      </c>
      <c r="D487" s="51">
        <f t="shared" si="115"/>
        <v>9813</v>
      </c>
      <c r="E487" s="51">
        <f t="shared" si="116"/>
        <v>47236</v>
      </c>
      <c r="F487" s="52">
        <f t="shared" si="117"/>
        <v>322453</v>
      </c>
      <c r="G487" s="52">
        <f t="shared" si="118"/>
        <v>156079</v>
      </c>
      <c r="H487" s="53">
        <f t="shared" si="119"/>
        <v>166374</v>
      </c>
      <c r="I487" s="53">
        <f t="shared" si="120"/>
        <v>122282</v>
      </c>
      <c r="J487" s="53">
        <f t="shared" si="121"/>
        <v>134481</v>
      </c>
      <c r="K487" s="50">
        <f t="shared" si="122"/>
        <v>33797</v>
      </c>
      <c r="L487" s="51">
        <f t="shared" si="123"/>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2">
      <c r="A488" s="31" t="s">
        <v>150</v>
      </c>
      <c r="B488" s="1" t="s">
        <v>578</v>
      </c>
      <c r="C488" s="30" t="str">
        <f t="shared" si="124"/>
        <v>LA England - Woking</v>
      </c>
      <c r="D488" s="51">
        <f t="shared" si="115"/>
        <v>4187</v>
      </c>
      <c r="E488" s="51">
        <f t="shared" si="116"/>
        <v>14086</v>
      </c>
      <c r="F488" s="52">
        <f t="shared" si="117"/>
        <v>104179</v>
      </c>
      <c r="G488" s="52">
        <f t="shared" si="118"/>
        <v>51709</v>
      </c>
      <c r="H488" s="53">
        <f t="shared" si="119"/>
        <v>52470</v>
      </c>
      <c r="I488" s="53">
        <f t="shared" si="120"/>
        <v>39702</v>
      </c>
      <c r="J488" s="53">
        <f t="shared" si="121"/>
        <v>41208</v>
      </c>
      <c r="K488" s="50">
        <f t="shared" si="122"/>
        <v>12007</v>
      </c>
      <c r="L488" s="51">
        <f t="shared" si="123"/>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2">
      <c r="A489" s="31" t="s">
        <v>150</v>
      </c>
      <c r="B489" s="1" t="s">
        <v>579</v>
      </c>
      <c r="C489" s="30" t="str">
        <f t="shared" si="124"/>
        <v>LA England - Wokingham</v>
      </c>
      <c r="D489" s="51">
        <f t="shared" si="115"/>
        <v>7380</v>
      </c>
      <c r="E489" s="51">
        <f t="shared" si="116"/>
        <v>25206</v>
      </c>
      <c r="F489" s="52">
        <f t="shared" si="117"/>
        <v>180967</v>
      </c>
      <c r="G489" s="52">
        <f t="shared" si="118"/>
        <v>88984</v>
      </c>
      <c r="H489" s="53">
        <f t="shared" si="119"/>
        <v>91983</v>
      </c>
      <c r="I489" s="53">
        <f t="shared" si="120"/>
        <v>67200</v>
      </c>
      <c r="J489" s="53">
        <f t="shared" si="121"/>
        <v>71396</v>
      </c>
      <c r="K489" s="50">
        <f t="shared" si="122"/>
        <v>21784</v>
      </c>
      <c r="L489" s="51">
        <f t="shared" si="123"/>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2">
      <c r="A490" s="31" t="s">
        <v>150</v>
      </c>
      <c r="B490" s="1" t="s">
        <v>580</v>
      </c>
      <c r="C490" s="30" t="str">
        <f t="shared" si="124"/>
        <v>LA England - Wolverhampton</v>
      </c>
      <c r="D490" s="51">
        <f t="shared" si="115"/>
        <v>9273</v>
      </c>
      <c r="E490" s="51">
        <f t="shared" si="116"/>
        <v>34331</v>
      </c>
      <c r="F490" s="52">
        <f t="shared" si="117"/>
        <v>267651</v>
      </c>
      <c r="G490" s="52">
        <f t="shared" si="118"/>
        <v>131809</v>
      </c>
      <c r="H490" s="53">
        <f t="shared" si="119"/>
        <v>135842</v>
      </c>
      <c r="I490" s="53">
        <f t="shared" si="120"/>
        <v>98939</v>
      </c>
      <c r="J490" s="53">
        <f t="shared" si="121"/>
        <v>105012</v>
      </c>
      <c r="K490" s="50">
        <f t="shared" si="122"/>
        <v>32870</v>
      </c>
      <c r="L490" s="51">
        <f t="shared" si="123"/>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2">
      <c r="A491" s="31" t="s">
        <v>150</v>
      </c>
      <c r="B491" s="1" t="s">
        <v>581</v>
      </c>
      <c r="C491" s="30" t="str">
        <f t="shared" si="124"/>
        <v>LA England - Worcester</v>
      </c>
      <c r="D491" s="51">
        <f t="shared" si="115"/>
        <v>3359</v>
      </c>
      <c r="E491" s="51">
        <f t="shared" si="116"/>
        <v>13913</v>
      </c>
      <c r="F491" s="52">
        <f t="shared" si="117"/>
        <v>104120</v>
      </c>
      <c r="G491" s="52">
        <f t="shared" si="118"/>
        <v>50821</v>
      </c>
      <c r="H491" s="53">
        <f t="shared" si="119"/>
        <v>53299</v>
      </c>
      <c r="I491" s="53">
        <f t="shared" si="120"/>
        <v>40332</v>
      </c>
      <c r="J491" s="53">
        <f t="shared" si="121"/>
        <v>43237</v>
      </c>
      <c r="K491" s="50">
        <f t="shared" si="122"/>
        <v>10489</v>
      </c>
      <c r="L491" s="51">
        <f t="shared" si="123"/>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2">
      <c r="A492" s="31" t="s">
        <v>150</v>
      </c>
      <c r="B492" s="1" t="s">
        <v>582</v>
      </c>
      <c r="C492" s="30" t="str">
        <f t="shared" si="124"/>
        <v>LA England - Worthing</v>
      </c>
      <c r="D492" s="51">
        <f t="shared" si="115"/>
        <v>3813</v>
      </c>
      <c r="E492" s="51">
        <f t="shared" si="116"/>
        <v>16167</v>
      </c>
      <c r="F492" s="52">
        <f t="shared" si="117"/>
        <v>112044</v>
      </c>
      <c r="G492" s="52">
        <f t="shared" si="118"/>
        <v>54118</v>
      </c>
      <c r="H492" s="53">
        <f t="shared" si="119"/>
        <v>57926</v>
      </c>
      <c r="I492" s="53">
        <f t="shared" si="120"/>
        <v>43261</v>
      </c>
      <c r="J492" s="53">
        <f t="shared" si="121"/>
        <v>47561</v>
      </c>
      <c r="K492" s="50">
        <f t="shared" si="122"/>
        <v>10857</v>
      </c>
      <c r="L492" s="51">
        <f t="shared" si="123"/>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2">
      <c r="A493" s="31" t="s">
        <v>150</v>
      </c>
      <c r="B493" s="1" t="s">
        <v>583</v>
      </c>
      <c r="C493" s="30" t="str">
        <f t="shared" si="124"/>
        <v>LA England - Wychavon</v>
      </c>
      <c r="D493" s="51">
        <f t="shared" si="115"/>
        <v>3935</v>
      </c>
      <c r="E493" s="51">
        <f t="shared" si="116"/>
        <v>20304</v>
      </c>
      <c r="F493" s="52">
        <f t="shared" si="117"/>
        <v>134536</v>
      </c>
      <c r="G493" s="52">
        <f t="shared" si="118"/>
        <v>65827</v>
      </c>
      <c r="H493" s="53">
        <f t="shared" si="119"/>
        <v>68709</v>
      </c>
      <c r="I493" s="53">
        <f t="shared" si="120"/>
        <v>52982</v>
      </c>
      <c r="J493" s="53">
        <f t="shared" si="121"/>
        <v>56493</v>
      </c>
      <c r="K493" s="50">
        <f t="shared" si="122"/>
        <v>12845</v>
      </c>
      <c r="L493" s="51">
        <f t="shared" si="123"/>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2">
      <c r="A494" s="31" t="s">
        <v>150</v>
      </c>
      <c r="B494" s="1" t="s">
        <v>584</v>
      </c>
      <c r="C494" s="30" t="str">
        <f t="shared" si="124"/>
        <v>LA England - Wyre</v>
      </c>
      <c r="D494" s="51">
        <f t="shared" si="115"/>
        <v>2979</v>
      </c>
      <c r="E494" s="51">
        <f t="shared" si="116"/>
        <v>17366</v>
      </c>
      <c r="F494" s="52">
        <f t="shared" si="117"/>
        <v>114809</v>
      </c>
      <c r="G494" s="52">
        <f t="shared" si="118"/>
        <v>55883</v>
      </c>
      <c r="H494" s="53">
        <f t="shared" si="119"/>
        <v>58926</v>
      </c>
      <c r="I494" s="53">
        <f t="shared" si="120"/>
        <v>45357</v>
      </c>
      <c r="J494" s="53">
        <f t="shared" si="121"/>
        <v>49033</v>
      </c>
      <c r="K494" s="50">
        <f t="shared" si="122"/>
        <v>10526</v>
      </c>
      <c r="L494" s="51">
        <f t="shared" si="123"/>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2">
      <c r="A495" s="31" t="s">
        <v>150</v>
      </c>
      <c r="B495" s="1" t="s">
        <v>585</v>
      </c>
      <c r="C495" s="30" t="str">
        <f t="shared" si="124"/>
        <v>LA England - Wyre Forest</v>
      </c>
      <c r="D495" s="51">
        <f t="shared" si="115"/>
        <v>2827</v>
      </c>
      <c r="E495" s="51">
        <f t="shared" si="116"/>
        <v>14877</v>
      </c>
      <c r="F495" s="52">
        <f t="shared" si="117"/>
        <v>102328</v>
      </c>
      <c r="G495" s="52">
        <f t="shared" si="118"/>
        <v>50175</v>
      </c>
      <c r="H495" s="53">
        <f t="shared" si="119"/>
        <v>52153</v>
      </c>
      <c r="I495" s="53">
        <f t="shared" si="120"/>
        <v>40213</v>
      </c>
      <c r="J495" s="53">
        <f t="shared" si="121"/>
        <v>42976</v>
      </c>
      <c r="K495" s="50">
        <f t="shared" si="122"/>
        <v>9962</v>
      </c>
      <c r="L495" s="51">
        <f t="shared" si="123"/>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2">
      <c r="A496" s="31" t="s">
        <v>150</v>
      </c>
      <c r="B496" s="1" t="s">
        <v>586</v>
      </c>
      <c r="C496" s="30" t="str">
        <f t="shared" si="124"/>
        <v>LA England - York</v>
      </c>
      <c r="D496" s="51">
        <f t="shared" si="115"/>
        <v>6279</v>
      </c>
      <c r="E496" s="51">
        <f t="shared" si="116"/>
        <v>25986</v>
      </c>
      <c r="F496" s="52">
        <f t="shared" si="117"/>
        <v>204551</v>
      </c>
      <c r="G496" s="52">
        <f t="shared" si="118"/>
        <v>98072</v>
      </c>
      <c r="H496" s="53">
        <f t="shared" si="119"/>
        <v>106479</v>
      </c>
      <c r="I496" s="53">
        <f t="shared" si="120"/>
        <v>80380</v>
      </c>
      <c r="J496" s="53">
        <f t="shared" si="121"/>
        <v>89539</v>
      </c>
      <c r="K496" s="50">
        <f t="shared" si="122"/>
        <v>17692</v>
      </c>
      <c r="L496" s="51">
        <f t="shared" si="123"/>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5" customFormat="1" ht="15" x14ac:dyDescent="0.25">
      <c r="A497" s="112"/>
      <c r="B497" s="119"/>
      <c r="C497" s="112"/>
      <c r="D497" s="135">
        <f t="shared" ref="D497:L497" si="125">SUM(D201:D496)</f>
        <v>1887736</v>
      </c>
      <c r="E497" s="135">
        <f t="shared" si="125"/>
        <v>7720096</v>
      </c>
      <c r="F497" s="135">
        <f t="shared" si="125"/>
        <v>57106398</v>
      </c>
      <c r="G497" s="135">
        <f t="shared" si="125"/>
        <v>27983290</v>
      </c>
      <c r="H497" s="135">
        <f t="shared" si="125"/>
        <v>29123108</v>
      </c>
      <c r="I497" s="135">
        <f t="shared" si="125"/>
        <v>21895402</v>
      </c>
      <c r="J497" s="135">
        <f t="shared" si="125"/>
        <v>23324090</v>
      </c>
      <c r="K497" s="135">
        <f t="shared" si="125"/>
        <v>6087888</v>
      </c>
      <c r="L497" s="135">
        <f t="shared" si="125"/>
        <v>5799018</v>
      </c>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c r="AO497" s="114"/>
      <c r="AP497" s="114"/>
      <c r="AQ497" s="114"/>
      <c r="AR497" s="114"/>
      <c r="AS497" s="114"/>
      <c r="AT497" s="114"/>
      <c r="AU497" s="114"/>
      <c r="AV497" s="114"/>
      <c r="AW497" s="114"/>
      <c r="AX497" s="114"/>
      <c r="AY497" s="114"/>
      <c r="AZ497" s="114"/>
      <c r="BA497" s="114"/>
      <c r="BB497" s="114"/>
      <c r="BC497" s="114"/>
      <c r="BD497" s="114"/>
      <c r="BE497" s="114"/>
      <c r="BF497" s="114"/>
      <c r="BG497" s="114"/>
      <c r="BH497" s="114"/>
      <c r="BI497" s="114"/>
      <c r="BJ497" s="114"/>
      <c r="BK497" s="114"/>
      <c r="BL497" s="114"/>
      <c r="BM497" s="114"/>
      <c r="BN497" s="114"/>
      <c r="BO497" s="114"/>
      <c r="BP497" s="114"/>
      <c r="BQ497" s="114"/>
      <c r="BR497" s="114"/>
      <c r="BS497" s="114"/>
      <c r="BT497" s="114"/>
      <c r="BU497" s="114"/>
      <c r="BV497" s="114"/>
      <c r="BW497" s="114"/>
      <c r="BX497" s="114"/>
      <c r="BY497" s="114"/>
      <c r="BZ497" s="114"/>
      <c r="CA497" s="114"/>
      <c r="CB497" s="114"/>
      <c r="CC497" s="114"/>
      <c r="CD497" s="114"/>
      <c r="CE497" s="114"/>
      <c r="CF497" s="114"/>
      <c r="CG497" s="114"/>
      <c r="CH497" s="114"/>
      <c r="CI497" s="114"/>
      <c r="CJ497" s="114"/>
      <c r="CK497" s="114"/>
      <c r="CL497" s="114"/>
      <c r="CM497" s="114"/>
      <c r="CN497" s="114"/>
      <c r="CO497" s="114"/>
      <c r="CP497" s="114"/>
      <c r="CQ497" s="114"/>
      <c r="CR497" s="114"/>
      <c r="CS497" s="114"/>
      <c r="CT497" s="114"/>
      <c r="CU497" s="114"/>
      <c r="CV497" s="114"/>
      <c r="CW497" s="114"/>
      <c r="CX497" s="114"/>
      <c r="CY497" s="114"/>
      <c r="CZ497" s="114"/>
      <c r="DA497" s="114"/>
      <c r="DB497" s="114"/>
      <c r="DC497" s="114"/>
      <c r="DD497" s="114"/>
      <c r="DE497" s="114"/>
      <c r="DF497" s="114"/>
      <c r="DG497" s="114"/>
      <c r="DH497" s="114"/>
      <c r="DI497" s="114"/>
      <c r="DJ497" s="114"/>
      <c r="DK497" s="114"/>
      <c r="DL497" s="114"/>
      <c r="DM497" s="114"/>
      <c r="DN497" s="114"/>
      <c r="DO497" s="114"/>
      <c r="DP497" s="114"/>
      <c r="DQ497" s="114"/>
      <c r="DR497" s="114"/>
      <c r="DS497" s="114"/>
      <c r="DT497" s="114"/>
      <c r="DU497" s="114"/>
      <c r="DV497" s="114"/>
      <c r="DW497" s="114"/>
      <c r="DX497" s="114"/>
      <c r="DY497" s="114"/>
      <c r="DZ497" s="114"/>
      <c r="EA497" s="114"/>
      <c r="EB497" s="114"/>
      <c r="EC497" s="114"/>
      <c r="ED497" s="114"/>
      <c r="EE497" s="114"/>
      <c r="EF497" s="114"/>
      <c r="EG497" s="114"/>
      <c r="EH497" s="114"/>
      <c r="EI497" s="114"/>
      <c r="EJ497" s="114"/>
      <c r="EK497" s="114"/>
      <c r="EL497" s="114"/>
      <c r="EM497" s="114"/>
      <c r="EN497" s="114"/>
      <c r="EO497" s="114"/>
      <c r="EP497" s="114"/>
      <c r="EQ497" s="114"/>
      <c r="ER497" s="114"/>
      <c r="ES497" s="114"/>
      <c r="ET497" s="114"/>
      <c r="EU497" s="114"/>
      <c r="EV497" s="114"/>
      <c r="EW497" s="114"/>
      <c r="EX497" s="114"/>
      <c r="EY497" s="114"/>
      <c r="EZ497" s="114"/>
      <c r="FA497" s="114"/>
      <c r="FB497" s="114"/>
      <c r="FC497" s="114"/>
      <c r="FD497" s="114"/>
      <c r="FE497" s="114"/>
      <c r="FF497" s="114"/>
      <c r="FG497" s="114"/>
      <c r="FH497" s="114"/>
      <c r="FI497" s="114"/>
      <c r="FJ497" s="114"/>
      <c r="FK497" s="114"/>
      <c r="FL497" s="114"/>
      <c r="FM497" s="114"/>
      <c r="FN497" s="114"/>
      <c r="FO497" s="114"/>
      <c r="FP497" s="114"/>
      <c r="FQ497" s="114"/>
      <c r="FR497" s="114"/>
      <c r="FS497" s="114"/>
      <c r="FT497" s="114"/>
      <c r="FU497" s="114"/>
      <c r="FV497" s="114"/>
      <c r="FW497" s="114"/>
      <c r="FX497" s="114"/>
      <c r="FY497" s="114"/>
      <c r="FZ497" s="114"/>
      <c r="GA497" s="114"/>
      <c r="GB497" s="114"/>
      <c r="GC497" s="114"/>
      <c r="GD497" s="114"/>
      <c r="GE497" s="114"/>
      <c r="GF497" s="114"/>
      <c r="GG497" s="114"/>
      <c r="GH497" s="114"/>
      <c r="GI497" s="114"/>
      <c r="GJ497" s="114"/>
      <c r="GK497" s="114"/>
      <c r="GL497" s="113"/>
    </row>
    <row r="498" spans="1:194" s="1" customFormat="1" x14ac:dyDescent="0.2">
      <c r="A498" s="31" t="s">
        <v>587</v>
      </c>
      <c r="B498" s="1" t="s">
        <v>588</v>
      </c>
      <c r="C498" s="30" t="str">
        <f t="shared" ref="C498:C531" si="126">CONCATENATE(A498," - ",B498)</f>
        <v>LA wales - Blaenau Gwent</v>
      </c>
      <c r="D498" s="51">
        <f t="shared" ref="D498:D519" si="127">SUM(EN498:ER498)</f>
        <v>1966</v>
      </c>
      <c r="E498" s="51">
        <f t="shared" ref="E498:E519" si="128">SUM(ES498:FM498)</f>
        <v>9801</v>
      </c>
      <c r="F498" s="52">
        <f>G498+H498</f>
        <v>67014</v>
      </c>
      <c r="G498" s="52">
        <f>SUM(M498:CY498)</f>
        <v>32977</v>
      </c>
      <c r="H498" s="53">
        <f>SUM(CZ498:GL498)</f>
        <v>34037</v>
      </c>
      <c r="I498" s="53">
        <f>SUM(AE498:CY498)</f>
        <v>26209</v>
      </c>
      <c r="J498" s="53">
        <f>SUM(DR498:GL498)</f>
        <v>27615</v>
      </c>
      <c r="K498" s="50">
        <f>SUM(M498:AD498)</f>
        <v>6768</v>
      </c>
      <c r="L498" s="51">
        <f>SUM(CZ498:DQ498)</f>
        <v>6422</v>
      </c>
      <c r="M498" s="410">
        <v>391</v>
      </c>
      <c r="N498" s="410">
        <v>334</v>
      </c>
      <c r="O498" s="410">
        <v>374</v>
      </c>
      <c r="P498" s="410">
        <v>393</v>
      </c>
      <c r="Q498" s="410">
        <v>365</v>
      </c>
      <c r="R498" s="410">
        <v>333</v>
      </c>
      <c r="S498" s="410">
        <v>365</v>
      </c>
      <c r="T498" s="410">
        <v>388</v>
      </c>
      <c r="U498" s="410">
        <v>394</v>
      </c>
      <c r="V498" s="410">
        <v>392</v>
      </c>
      <c r="W498" s="410">
        <v>375</v>
      </c>
      <c r="X498" s="410">
        <v>423</v>
      </c>
      <c r="Y498" s="410">
        <v>403</v>
      </c>
      <c r="Z498" s="410">
        <v>425</v>
      </c>
      <c r="AA498" s="410">
        <v>394</v>
      </c>
      <c r="AB498" s="410">
        <v>319</v>
      </c>
      <c r="AC498" s="410">
        <v>337</v>
      </c>
      <c r="AD498" s="410">
        <v>363</v>
      </c>
      <c r="AE498" s="410">
        <v>363</v>
      </c>
      <c r="AF498" s="410">
        <v>317</v>
      </c>
      <c r="AG498" s="410">
        <v>288</v>
      </c>
      <c r="AH498" s="410">
        <v>332</v>
      </c>
      <c r="AI498" s="410">
        <v>374</v>
      </c>
      <c r="AJ498" s="410">
        <v>338</v>
      </c>
      <c r="AK498" s="410">
        <v>389</v>
      </c>
      <c r="AL498" s="410">
        <v>412</v>
      </c>
      <c r="AM498" s="410">
        <v>367</v>
      </c>
      <c r="AN498" s="410">
        <v>361</v>
      </c>
      <c r="AO498" s="410">
        <v>441</v>
      </c>
      <c r="AP498" s="410">
        <v>438</v>
      </c>
      <c r="AQ498" s="410">
        <v>468</v>
      </c>
      <c r="AR498" s="410">
        <v>465</v>
      </c>
      <c r="AS498" s="410">
        <v>442</v>
      </c>
      <c r="AT498" s="410">
        <v>467</v>
      </c>
      <c r="AU498" s="410">
        <v>398</v>
      </c>
      <c r="AV498" s="410">
        <v>423</v>
      </c>
      <c r="AW498" s="410">
        <v>418</v>
      </c>
      <c r="AX498" s="410">
        <v>449</v>
      </c>
      <c r="AY498" s="410">
        <v>389</v>
      </c>
      <c r="AZ498" s="410">
        <v>409</v>
      </c>
      <c r="BA498" s="410">
        <v>365</v>
      </c>
      <c r="BB498" s="410">
        <v>396</v>
      </c>
      <c r="BC498" s="410">
        <v>373</v>
      </c>
      <c r="BD498" s="410">
        <v>369</v>
      </c>
      <c r="BE498" s="410">
        <v>348</v>
      </c>
      <c r="BF498" s="410">
        <v>299</v>
      </c>
      <c r="BG498" s="410">
        <v>345</v>
      </c>
      <c r="BH498" s="410">
        <v>417</v>
      </c>
      <c r="BI498" s="410">
        <v>386</v>
      </c>
      <c r="BJ498" s="410">
        <v>430</v>
      </c>
      <c r="BK498" s="410">
        <v>495</v>
      </c>
      <c r="BL498" s="410">
        <v>469</v>
      </c>
      <c r="BM498" s="410">
        <v>471</v>
      </c>
      <c r="BN498" s="410">
        <v>521</v>
      </c>
      <c r="BO498" s="410">
        <v>498</v>
      </c>
      <c r="BP498" s="410">
        <v>491</v>
      </c>
      <c r="BQ498" s="410">
        <v>525</v>
      </c>
      <c r="BR498" s="410">
        <v>529</v>
      </c>
      <c r="BS498" s="410">
        <v>512</v>
      </c>
      <c r="BT498" s="410">
        <v>493</v>
      </c>
      <c r="BU498" s="410">
        <v>503</v>
      </c>
      <c r="BV498" s="410">
        <v>432</v>
      </c>
      <c r="BW498" s="410">
        <v>445</v>
      </c>
      <c r="BX498" s="410">
        <v>434</v>
      </c>
      <c r="BY498" s="410">
        <v>364</v>
      </c>
      <c r="BZ498" s="410">
        <v>441</v>
      </c>
      <c r="CA498" s="410">
        <v>389</v>
      </c>
      <c r="CB498" s="410">
        <v>372</v>
      </c>
      <c r="CC498" s="410">
        <v>364</v>
      </c>
      <c r="CD498" s="410">
        <v>375</v>
      </c>
      <c r="CE498" s="410">
        <v>341</v>
      </c>
      <c r="CF498" s="410">
        <v>358</v>
      </c>
      <c r="CG498" s="410">
        <v>351</v>
      </c>
      <c r="CH498" s="410">
        <v>359</v>
      </c>
      <c r="CI498" s="410">
        <v>343</v>
      </c>
      <c r="CJ498" s="410">
        <v>401</v>
      </c>
      <c r="CK498" s="410">
        <v>297</v>
      </c>
      <c r="CL498" s="410">
        <v>262</v>
      </c>
      <c r="CM498" s="410">
        <v>235</v>
      </c>
      <c r="CN498" s="410">
        <v>261</v>
      </c>
      <c r="CO498" s="410">
        <v>210</v>
      </c>
      <c r="CP498" s="410">
        <v>179</v>
      </c>
      <c r="CQ498" s="410">
        <v>155</v>
      </c>
      <c r="CR498" s="410">
        <v>164</v>
      </c>
      <c r="CS498" s="410">
        <v>135</v>
      </c>
      <c r="CT498" s="410">
        <v>101</v>
      </c>
      <c r="CU498" s="410">
        <v>100</v>
      </c>
      <c r="CV498" s="410">
        <v>87</v>
      </c>
      <c r="CW498" s="410">
        <v>55</v>
      </c>
      <c r="CX498" s="410">
        <v>58</v>
      </c>
      <c r="CY498" s="410">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2">
      <c r="A499" s="31" t="s">
        <v>141</v>
      </c>
      <c r="B499" s="1" t="s">
        <v>589</v>
      </c>
      <c r="C499" s="30" t="str">
        <f t="shared" si="126"/>
        <v>LA Wales - Bridgend</v>
      </c>
      <c r="D499" s="51">
        <f t="shared" si="127"/>
        <v>4366</v>
      </c>
      <c r="E499" s="51">
        <f t="shared" si="128"/>
        <v>21144</v>
      </c>
      <c r="F499" s="52">
        <f>G499+H499</f>
        <v>146136</v>
      </c>
      <c r="G499" s="52">
        <f>SUM(M499:CY499)</f>
        <v>72202</v>
      </c>
      <c r="H499" s="53">
        <f>SUM(CZ499:GL499)</f>
        <v>73934</v>
      </c>
      <c r="I499" s="53">
        <f>SUM(AE499:CY499)</f>
        <v>57122</v>
      </c>
      <c r="J499" s="53">
        <f>SUM(DR499:GL499)</f>
        <v>59822</v>
      </c>
      <c r="K499" s="50">
        <f>SUM(M499:AD499)</f>
        <v>15080</v>
      </c>
      <c r="L499" s="51">
        <f>SUM(CZ499:DQ499)</f>
        <v>14112</v>
      </c>
      <c r="M499" s="410">
        <v>731</v>
      </c>
      <c r="N499" s="410">
        <v>689</v>
      </c>
      <c r="O499" s="410">
        <v>714</v>
      </c>
      <c r="P499" s="410">
        <v>751</v>
      </c>
      <c r="Q499" s="410">
        <v>788</v>
      </c>
      <c r="R499" s="410">
        <v>823</v>
      </c>
      <c r="S499" s="410">
        <v>811</v>
      </c>
      <c r="T499" s="410">
        <v>852</v>
      </c>
      <c r="U499" s="410">
        <v>862</v>
      </c>
      <c r="V499" s="410">
        <v>879</v>
      </c>
      <c r="W499" s="410">
        <v>884</v>
      </c>
      <c r="X499" s="410">
        <v>978</v>
      </c>
      <c r="Y499" s="410">
        <v>895</v>
      </c>
      <c r="Z499" s="410">
        <v>924</v>
      </c>
      <c r="AA499" s="410">
        <v>890</v>
      </c>
      <c r="AB499" s="410">
        <v>868</v>
      </c>
      <c r="AC499" s="410">
        <v>836</v>
      </c>
      <c r="AD499" s="410">
        <v>905</v>
      </c>
      <c r="AE499" s="410">
        <v>777</v>
      </c>
      <c r="AF499" s="410">
        <v>641</v>
      </c>
      <c r="AG499" s="410">
        <v>674</v>
      </c>
      <c r="AH499" s="410">
        <v>686</v>
      </c>
      <c r="AI499" s="410">
        <v>727</v>
      </c>
      <c r="AJ499" s="410">
        <v>840</v>
      </c>
      <c r="AK499" s="410">
        <v>858</v>
      </c>
      <c r="AL499" s="410">
        <v>945</v>
      </c>
      <c r="AM499" s="410">
        <v>890</v>
      </c>
      <c r="AN499" s="410">
        <v>816</v>
      </c>
      <c r="AO499" s="410">
        <v>944</v>
      </c>
      <c r="AP499" s="410">
        <v>857</v>
      </c>
      <c r="AQ499" s="410">
        <v>968</v>
      </c>
      <c r="AR499" s="410">
        <v>910</v>
      </c>
      <c r="AS499" s="410">
        <v>982</v>
      </c>
      <c r="AT499" s="410">
        <v>986</v>
      </c>
      <c r="AU499" s="410">
        <v>996</v>
      </c>
      <c r="AV499" s="410">
        <v>984</v>
      </c>
      <c r="AW499" s="410">
        <v>944</v>
      </c>
      <c r="AX499" s="410">
        <v>937</v>
      </c>
      <c r="AY499" s="410">
        <v>874</v>
      </c>
      <c r="AZ499" s="410">
        <v>882</v>
      </c>
      <c r="BA499" s="410">
        <v>860</v>
      </c>
      <c r="BB499" s="410">
        <v>916</v>
      </c>
      <c r="BC499" s="410">
        <v>935</v>
      </c>
      <c r="BD499" s="410">
        <v>885</v>
      </c>
      <c r="BE499" s="410">
        <v>798</v>
      </c>
      <c r="BF499" s="410">
        <v>764</v>
      </c>
      <c r="BG499" s="410">
        <v>821</v>
      </c>
      <c r="BH499" s="410">
        <v>816</v>
      </c>
      <c r="BI499" s="410">
        <v>884</v>
      </c>
      <c r="BJ499" s="410">
        <v>901</v>
      </c>
      <c r="BK499" s="410">
        <v>1009</v>
      </c>
      <c r="BL499" s="410">
        <v>1091</v>
      </c>
      <c r="BM499" s="410">
        <v>977</v>
      </c>
      <c r="BN499" s="410">
        <v>1017</v>
      </c>
      <c r="BO499" s="410">
        <v>1078</v>
      </c>
      <c r="BP499" s="410">
        <v>1056</v>
      </c>
      <c r="BQ499" s="410">
        <v>1081</v>
      </c>
      <c r="BR499" s="410">
        <v>1062</v>
      </c>
      <c r="BS499" s="410">
        <v>1067</v>
      </c>
      <c r="BT499" s="410">
        <v>1000</v>
      </c>
      <c r="BU499" s="410">
        <v>1035</v>
      </c>
      <c r="BV499" s="410">
        <v>984</v>
      </c>
      <c r="BW499" s="410">
        <v>918</v>
      </c>
      <c r="BX499" s="410">
        <v>903</v>
      </c>
      <c r="BY499" s="410">
        <v>907</v>
      </c>
      <c r="BZ499" s="410">
        <v>835</v>
      </c>
      <c r="CA499" s="410">
        <v>831</v>
      </c>
      <c r="CB499" s="410">
        <v>766</v>
      </c>
      <c r="CC499" s="410">
        <v>742</v>
      </c>
      <c r="CD499" s="410">
        <v>776</v>
      </c>
      <c r="CE499" s="410">
        <v>736</v>
      </c>
      <c r="CF499" s="410">
        <v>767</v>
      </c>
      <c r="CG499" s="410">
        <v>726</v>
      </c>
      <c r="CH499" s="410">
        <v>780</v>
      </c>
      <c r="CI499" s="410">
        <v>754</v>
      </c>
      <c r="CJ499" s="410">
        <v>809</v>
      </c>
      <c r="CK499" s="410">
        <v>632</v>
      </c>
      <c r="CL499" s="410">
        <v>617</v>
      </c>
      <c r="CM499" s="410">
        <v>572</v>
      </c>
      <c r="CN499" s="410">
        <v>506</v>
      </c>
      <c r="CO499" s="410">
        <v>443</v>
      </c>
      <c r="CP499" s="410">
        <v>449</v>
      </c>
      <c r="CQ499" s="410">
        <v>367</v>
      </c>
      <c r="CR499" s="410">
        <v>336</v>
      </c>
      <c r="CS499" s="410">
        <v>314</v>
      </c>
      <c r="CT499" s="410">
        <v>257</v>
      </c>
      <c r="CU499" s="410">
        <v>226</v>
      </c>
      <c r="CV499" s="410">
        <v>223</v>
      </c>
      <c r="CW499" s="410">
        <v>154</v>
      </c>
      <c r="CX499" s="410">
        <v>144</v>
      </c>
      <c r="CY499" s="410">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2">
      <c r="A500" s="31" t="s">
        <v>141</v>
      </c>
      <c r="B500" s="1" t="s">
        <v>590</v>
      </c>
      <c r="C500" s="30" t="str">
        <f t="shared" si="126"/>
        <v>LA Wales - Caerphilly</v>
      </c>
      <c r="D500" s="51">
        <f t="shared" si="127"/>
        <v>5686</v>
      </c>
      <c r="E500" s="51">
        <f t="shared" si="128"/>
        <v>24888</v>
      </c>
      <c r="F500" s="52">
        <f>G500+H500</f>
        <v>176130</v>
      </c>
      <c r="G500" s="52">
        <f>SUM(M500:CY500)</f>
        <v>85945</v>
      </c>
      <c r="H500" s="53">
        <f>SUM(CZ500:GL500)</f>
        <v>90185</v>
      </c>
      <c r="I500" s="53">
        <f>SUM(AE500:CY500)</f>
        <v>67530</v>
      </c>
      <c r="J500" s="53">
        <f>SUM(DR500:GL500)</f>
        <v>72367</v>
      </c>
      <c r="K500" s="50">
        <f>SUM(M500:AD500)</f>
        <v>18415</v>
      </c>
      <c r="L500" s="51">
        <f>SUM(CZ500:DQ500)</f>
        <v>17818</v>
      </c>
      <c r="M500" s="410">
        <v>834</v>
      </c>
      <c r="N500" s="410">
        <v>824</v>
      </c>
      <c r="O500" s="410">
        <v>908</v>
      </c>
      <c r="P500" s="410">
        <v>935</v>
      </c>
      <c r="Q500" s="410">
        <v>1007</v>
      </c>
      <c r="R500" s="410">
        <v>996</v>
      </c>
      <c r="S500" s="410">
        <v>1029</v>
      </c>
      <c r="T500" s="410">
        <v>1072</v>
      </c>
      <c r="U500" s="410">
        <v>1068</v>
      </c>
      <c r="V500" s="410">
        <v>1056</v>
      </c>
      <c r="W500" s="410">
        <v>1069</v>
      </c>
      <c r="X500" s="410">
        <v>1095</v>
      </c>
      <c r="Y500" s="410">
        <v>1148</v>
      </c>
      <c r="Z500" s="410">
        <v>1126</v>
      </c>
      <c r="AA500" s="410">
        <v>1141</v>
      </c>
      <c r="AB500" s="410">
        <v>1053</v>
      </c>
      <c r="AC500" s="410">
        <v>1026</v>
      </c>
      <c r="AD500" s="410">
        <v>1028</v>
      </c>
      <c r="AE500" s="410">
        <v>1108</v>
      </c>
      <c r="AF500" s="410">
        <v>875</v>
      </c>
      <c r="AG500" s="410">
        <v>817</v>
      </c>
      <c r="AH500" s="410">
        <v>888</v>
      </c>
      <c r="AI500" s="410">
        <v>942</v>
      </c>
      <c r="AJ500" s="410">
        <v>891</v>
      </c>
      <c r="AK500" s="410">
        <v>901</v>
      </c>
      <c r="AL500" s="410">
        <v>1103</v>
      </c>
      <c r="AM500" s="410">
        <v>1005</v>
      </c>
      <c r="AN500" s="410">
        <v>987</v>
      </c>
      <c r="AO500" s="410">
        <v>1032</v>
      </c>
      <c r="AP500" s="410">
        <v>1030</v>
      </c>
      <c r="AQ500" s="410">
        <v>1074</v>
      </c>
      <c r="AR500" s="410">
        <v>1182</v>
      </c>
      <c r="AS500" s="410">
        <v>1115</v>
      </c>
      <c r="AT500" s="410">
        <v>1132</v>
      </c>
      <c r="AU500" s="410">
        <v>1167</v>
      </c>
      <c r="AV500" s="410">
        <v>1071</v>
      </c>
      <c r="AW500" s="410">
        <v>1140</v>
      </c>
      <c r="AX500" s="410">
        <v>1077</v>
      </c>
      <c r="AY500" s="410">
        <v>1079</v>
      </c>
      <c r="AZ500" s="410">
        <v>1060</v>
      </c>
      <c r="BA500" s="410">
        <v>1012</v>
      </c>
      <c r="BB500" s="410">
        <v>1070</v>
      </c>
      <c r="BC500" s="410">
        <v>1085</v>
      </c>
      <c r="BD500" s="410">
        <v>1002</v>
      </c>
      <c r="BE500" s="410">
        <v>958</v>
      </c>
      <c r="BF500" s="410">
        <v>997</v>
      </c>
      <c r="BG500" s="410">
        <v>992</v>
      </c>
      <c r="BH500" s="410">
        <v>988</v>
      </c>
      <c r="BI500" s="410">
        <v>1077</v>
      </c>
      <c r="BJ500" s="410">
        <v>1113</v>
      </c>
      <c r="BK500" s="410">
        <v>1157</v>
      </c>
      <c r="BL500" s="410">
        <v>1232</v>
      </c>
      <c r="BM500" s="410">
        <v>1129</v>
      </c>
      <c r="BN500" s="410">
        <v>1299</v>
      </c>
      <c r="BO500" s="410">
        <v>1259</v>
      </c>
      <c r="BP500" s="410">
        <v>1214</v>
      </c>
      <c r="BQ500" s="410">
        <v>1265</v>
      </c>
      <c r="BR500" s="410">
        <v>1277</v>
      </c>
      <c r="BS500" s="410">
        <v>1255</v>
      </c>
      <c r="BT500" s="410">
        <v>1273</v>
      </c>
      <c r="BU500" s="410">
        <v>1181</v>
      </c>
      <c r="BV500" s="410">
        <v>1146</v>
      </c>
      <c r="BW500" s="410">
        <v>1118</v>
      </c>
      <c r="BX500" s="410">
        <v>1064</v>
      </c>
      <c r="BY500" s="410">
        <v>1058</v>
      </c>
      <c r="BZ500" s="410">
        <v>1029</v>
      </c>
      <c r="CA500" s="410">
        <v>925</v>
      </c>
      <c r="CB500" s="410">
        <v>870</v>
      </c>
      <c r="CC500" s="410">
        <v>989</v>
      </c>
      <c r="CD500" s="410">
        <v>948</v>
      </c>
      <c r="CE500" s="410">
        <v>880</v>
      </c>
      <c r="CF500" s="410">
        <v>910</v>
      </c>
      <c r="CG500" s="410">
        <v>938</v>
      </c>
      <c r="CH500" s="410">
        <v>837</v>
      </c>
      <c r="CI500" s="410">
        <v>970</v>
      </c>
      <c r="CJ500" s="410">
        <v>989</v>
      </c>
      <c r="CK500" s="410">
        <v>740</v>
      </c>
      <c r="CL500" s="410">
        <v>691</v>
      </c>
      <c r="CM500" s="410">
        <v>645</v>
      </c>
      <c r="CN500" s="410">
        <v>570</v>
      </c>
      <c r="CO500" s="410">
        <v>578</v>
      </c>
      <c r="CP500" s="410">
        <v>442</v>
      </c>
      <c r="CQ500" s="410">
        <v>426</v>
      </c>
      <c r="CR500" s="410">
        <v>410</v>
      </c>
      <c r="CS500" s="410">
        <v>355</v>
      </c>
      <c r="CT500" s="410">
        <v>296</v>
      </c>
      <c r="CU500" s="410">
        <v>259</v>
      </c>
      <c r="CV500" s="410">
        <v>215</v>
      </c>
      <c r="CW500" s="410">
        <v>176</v>
      </c>
      <c r="CX500" s="410">
        <v>150</v>
      </c>
      <c r="CY500" s="410">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2">
      <c r="A501" s="31" t="s">
        <v>141</v>
      </c>
      <c r="B501" s="1" t="s">
        <v>591</v>
      </c>
      <c r="C501" s="30" t="str">
        <f t="shared" si="126"/>
        <v>LA Wales - Cardiff</v>
      </c>
      <c r="D501" s="51">
        <f t="shared" si="127"/>
        <v>11637</v>
      </c>
      <c r="E501" s="51">
        <f t="shared" si="128"/>
        <v>42522</v>
      </c>
      <c r="F501" s="52">
        <f>G501+H501</f>
        <v>372089</v>
      </c>
      <c r="G501" s="52">
        <f>SUM(M501:CY501)</f>
        <v>182357</v>
      </c>
      <c r="H501" s="53">
        <f>SUM(CZ501:GL501)</f>
        <v>189732</v>
      </c>
      <c r="I501" s="53">
        <f>SUM(AE501:CY501)</f>
        <v>144027</v>
      </c>
      <c r="J501" s="53">
        <f>SUM(DR501:GL501)</f>
        <v>152956</v>
      </c>
      <c r="K501" s="50">
        <f>SUM(M501:AD501)</f>
        <v>38330</v>
      </c>
      <c r="L501" s="51">
        <f>SUM(CZ501:DQ501)</f>
        <v>36776</v>
      </c>
      <c r="M501" s="410">
        <v>1950</v>
      </c>
      <c r="N501" s="410">
        <v>1875</v>
      </c>
      <c r="O501" s="410">
        <v>1880</v>
      </c>
      <c r="P501" s="410">
        <v>1977</v>
      </c>
      <c r="Q501" s="410">
        <v>2035</v>
      </c>
      <c r="R501" s="410">
        <v>2099</v>
      </c>
      <c r="S501" s="410">
        <v>2234</v>
      </c>
      <c r="T501" s="410">
        <v>2194</v>
      </c>
      <c r="U501" s="410">
        <v>2213</v>
      </c>
      <c r="V501" s="410">
        <v>2181</v>
      </c>
      <c r="W501" s="410">
        <v>2303</v>
      </c>
      <c r="X501" s="410">
        <v>2380</v>
      </c>
      <c r="Y501" s="410">
        <v>2271</v>
      </c>
      <c r="Z501" s="410">
        <v>2188</v>
      </c>
      <c r="AA501" s="410">
        <v>2173</v>
      </c>
      <c r="AB501" s="410">
        <v>2117</v>
      </c>
      <c r="AC501" s="410">
        <v>2130</v>
      </c>
      <c r="AD501" s="410">
        <v>2130</v>
      </c>
      <c r="AE501" s="410">
        <v>2327</v>
      </c>
      <c r="AF501" s="410">
        <v>4164</v>
      </c>
      <c r="AG501" s="410">
        <v>4565</v>
      </c>
      <c r="AH501" s="410">
        <v>4249</v>
      </c>
      <c r="AI501" s="410">
        <v>3797</v>
      </c>
      <c r="AJ501" s="410">
        <v>3628</v>
      </c>
      <c r="AK501" s="410">
        <v>3513</v>
      </c>
      <c r="AL501" s="410">
        <v>3439</v>
      </c>
      <c r="AM501" s="410">
        <v>3420</v>
      </c>
      <c r="AN501" s="410">
        <v>3228</v>
      </c>
      <c r="AO501" s="410">
        <v>3077</v>
      </c>
      <c r="AP501" s="410">
        <v>2999</v>
      </c>
      <c r="AQ501" s="410">
        <v>2824</v>
      </c>
      <c r="AR501" s="410">
        <v>2846</v>
      </c>
      <c r="AS501" s="410">
        <v>2776</v>
      </c>
      <c r="AT501" s="410">
        <v>2588</v>
      </c>
      <c r="AU501" s="410">
        <v>2705</v>
      </c>
      <c r="AV501" s="410">
        <v>2608</v>
      </c>
      <c r="AW501" s="410">
        <v>2669</v>
      </c>
      <c r="AX501" s="410">
        <v>2467</v>
      </c>
      <c r="AY501" s="410">
        <v>2494</v>
      </c>
      <c r="AZ501" s="410">
        <v>2498</v>
      </c>
      <c r="BA501" s="410">
        <v>2343</v>
      </c>
      <c r="BB501" s="410">
        <v>2361</v>
      </c>
      <c r="BC501" s="410">
        <v>2324</v>
      </c>
      <c r="BD501" s="410">
        <v>2260</v>
      </c>
      <c r="BE501" s="410">
        <v>2022</v>
      </c>
      <c r="BF501" s="410">
        <v>2128</v>
      </c>
      <c r="BG501" s="410">
        <v>2019</v>
      </c>
      <c r="BH501" s="410">
        <v>2027</v>
      </c>
      <c r="BI501" s="410">
        <v>2070</v>
      </c>
      <c r="BJ501" s="410">
        <v>1928</v>
      </c>
      <c r="BK501" s="410">
        <v>1966</v>
      </c>
      <c r="BL501" s="410">
        <v>2100</v>
      </c>
      <c r="BM501" s="410">
        <v>2061</v>
      </c>
      <c r="BN501" s="410">
        <v>2078</v>
      </c>
      <c r="BO501" s="410">
        <v>1992</v>
      </c>
      <c r="BP501" s="410">
        <v>2070</v>
      </c>
      <c r="BQ501" s="410">
        <v>1888</v>
      </c>
      <c r="BR501" s="410">
        <v>2027</v>
      </c>
      <c r="BS501" s="410">
        <v>1976</v>
      </c>
      <c r="BT501" s="410">
        <v>1918</v>
      </c>
      <c r="BU501" s="410">
        <v>1994</v>
      </c>
      <c r="BV501" s="410">
        <v>1814</v>
      </c>
      <c r="BW501" s="410">
        <v>1830</v>
      </c>
      <c r="BX501" s="410">
        <v>1808</v>
      </c>
      <c r="BY501" s="410">
        <v>1654</v>
      </c>
      <c r="BZ501" s="410">
        <v>1666</v>
      </c>
      <c r="CA501" s="410">
        <v>1538</v>
      </c>
      <c r="CB501" s="410">
        <v>1449</v>
      </c>
      <c r="CC501" s="410">
        <v>1467</v>
      </c>
      <c r="CD501" s="410">
        <v>1364</v>
      </c>
      <c r="CE501" s="410">
        <v>1286</v>
      </c>
      <c r="CF501" s="410">
        <v>1359</v>
      </c>
      <c r="CG501" s="410">
        <v>1353</v>
      </c>
      <c r="CH501" s="410">
        <v>1306</v>
      </c>
      <c r="CI501" s="410">
        <v>1244</v>
      </c>
      <c r="CJ501" s="410">
        <v>1342</v>
      </c>
      <c r="CK501" s="410">
        <v>991</v>
      </c>
      <c r="CL501" s="410">
        <v>942</v>
      </c>
      <c r="CM501" s="410">
        <v>905</v>
      </c>
      <c r="CN501" s="410">
        <v>742</v>
      </c>
      <c r="CO501" s="410">
        <v>691</v>
      </c>
      <c r="CP501" s="410">
        <v>611</v>
      </c>
      <c r="CQ501" s="410">
        <v>589</v>
      </c>
      <c r="CR501" s="410">
        <v>538</v>
      </c>
      <c r="CS501" s="410">
        <v>490</v>
      </c>
      <c r="CT501" s="410">
        <v>446</v>
      </c>
      <c r="CU501" s="410">
        <v>394</v>
      </c>
      <c r="CV501" s="410">
        <v>368</v>
      </c>
      <c r="CW501" s="410">
        <v>281</v>
      </c>
      <c r="CX501" s="410">
        <v>249</v>
      </c>
      <c r="CY501" s="410">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2">
      <c r="A502" s="31" t="s">
        <v>141</v>
      </c>
      <c r="B502" s="1" t="s">
        <v>592</v>
      </c>
      <c r="C502" s="30" t="str">
        <f t="shared" si="126"/>
        <v>LA Wales - Carmarthenshire</v>
      </c>
      <c r="D502" s="51">
        <f t="shared" si="127"/>
        <v>5552</v>
      </c>
      <c r="E502" s="51">
        <f t="shared" si="128"/>
        <v>28294</v>
      </c>
      <c r="F502" s="52">
        <f t="shared" ref="F502:F519" si="129">G502+H502</f>
        <v>189117</v>
      </c>
      <c r="G502" s="52">
        <f t="shared" ref="G502:G519" si="130">SUM(M502:CY502)</f>
        <v>92284</v>
      </c>
      <c r="H502" s="53">
        <f t="shared" ref="H502:H519" si="131">SUM(CZ502:GL502)</f>
        <v>96833</v>
      </c>
      <c r="I502" s="53">
        <f t="shared" ref="I502:I519" si="132">SUM(AE502:CY502)</f>
        <v>73444</v>
      </c>
      <c r="J502" s="53">
        <f t="shared" ref="J502:J519" si="133">SUM(DR502:GL502)</f>
        <v>78994</v>
      </c>
      <c r="K502" s="50">
        <f t="shared" ref="K502:K519" si="134">SUM(M502:AD502)</f>
        <v>18840</v>
      </c>
      <c r="L502" s="51">
        <f t="shared" ref="L502:L519" si="135">SUM(CZ502:DQ502)</f>
        <v>17839</v>
      </c>
      <c r="M502" s="410">
        <v>856</v>
      </c>
      <c r="N502" s="410">
        <v>866</v>
      </c>
      <c r="O502" s="410">
        <v>854</v>
      </c>
      <c r="P502" s="410">
        <v>934</v>
      </c>
      <c r="Q502" s="410">
        <v>976</v>
      </c>
      <c r="R502" s="410">
        <v>1016</v>
      </c>
      <c r="S502" s="410">
        <v>1068</v>
      </c>
      <c r="T502" s="410">
        <v>1057</v>
      </c>
      <c r="U502" s="410">
        <v>1032</v>
      </c>
      <c r="V502" s="410">
        <v>1077</v>
      </c>
      <c r="W502" s="410">
        <v>1158</v>
      </c>
      <c r="X502" s="410">
        <v>1168</v>
      </c>
      <c r="Y502" s="410">
        <v>1148</v>
      </c>
      <c r="Z502" s="410">
        <v>1099</v>
      </c>
      <c r="AA502" s="410">
        <v>1137</v>
      </c>
      <c r="AB502" s="410">
        <v>1146</v>
      </c>
      <c r="AC502" s="410">
        <v>1150</v>
      </c>
      <c r="AD502" s="410">
        <v>1098</v>
      </c>
      <c r="AE502" s="410">
        <v>1071</v>
      </c>
      <c r="AF502" s="410">
        <v>898</v>
      </c>
      <c r="AG502" s="410">
        <v>829</v>
      </c>
      <c r="AH502" s="410">
        <v>834</v>
      </c>
      <c r="AI502" s="410">
        <v>847</v>
      </c>
      <c r="AJ502" s="410">
        <v>907</v>
      </c>
      <c r="AK502" s="410">
        <v>957</v>
      </c>
      <c r="AL502" s="410">
        <v>1013</v>
      </c>
      <c r="AM502" s="410">
        <v>1000</v>
      </c>
      <c r="AN502" s="410">
        <v>923</v>
      </c>
      <c r="AO502" s="410">
        <v>977</v>
      </c>
      <c r="AP502" s="410">
        <v>975</v>
      </c>
      <c r="AQ502" s="410">
        <v>1005</v>
      </c>
      <c r="AR502" s="410">
        <v>1049</v>
      </c>
      <c r="AS502" s="410">
        <v>1077</v>
      </c>
      <c r="AT502" s="410">
        <v>1035</v>
      </c>
      <c r="AU502" s="410">
        <v>1116</v>
      </c>
      <c r="AV502" s="410">
        <v>1060</v>
      </c>
      <c r="AW502" s="410">
        <v>1050</v>
      </c>
      <c r="AX502" s="410">
        <v>991</v>
      </c>
      <c r="AY502" s="410">
        <v>1021</v>
      </c>
      <c r="AZ502" s="410">
        <v>1015</v>
      </c>
      <c r="BA502" s="410">
        <v>996</v>
      </c>
      <c r="BB502" s="410">
        <v>1033</v>
      </c>
      <c r="BC502" s="410">
        <v>1042</v>
      </c>
      <c r="BD502" s="410">
        <v>1003</v>
      </c>
      <c r="BE502" s="410">
        <v>929</v>
      </c>
      <c r="BF502" s="410">
        <v>918</v>
      </c>
      <c r="BG502" s="410">
        <v>1008</v>
      </c>
      <c r="BH502" s="410">
        <v>1037</v>
      </c>
      <c r="BI502" s="410">
        <v>1074</v>
      </c>
      <c r="BJ502" s="410">
        <v>1130</v>
      </c>
      <c r="BK502" s="410">
        <v>1203</v>
      </c>
      <c r="BL502" s="410">
        <v>1281</v>
      </c>
      <c r="BM502" s="410">
        <v>1243</v>
      </c>
      <c r="BN502" s="410">
        <v>1231</v>
      </c>
      <c r="BO502" s="410">
        <v>1260</v>
      </c>
      <c r="BP502" s="410">
        <v>1356</v>
      </c>
      <c r="BQ502" s="410">
        <v>1372</v>
      </c>
      <c r="BR502" s="410">
        <v>1413</v>
      </c>
      <c r="BS502" s="410">
        <v>1455</v>
      </c>
      <c r="BT502" s="410">
        <v>1317</v>
      </c>
      <c r="BU502" s="410">
        <v>1416</v>
      </c>
      <c r="BV502" s="410">
        <v>1373</v>
      </c>
      <c r="BW502" s="410">
        <v>1349</v>
      </c>
      <c r="BX502" s="410">
        <v>1279</v>
      </c>
      <c r="BY502" s="410">
        <v>1311</v>
      </c>
      <c r="BZ502" s="410">
        <v>1261</v>
      </c>
      <c r="CA502" s="410">
        <v>1172</v>
      </c>
      <c r="CB502" s="410">
        <v>1270</v>
      </c>
      <c r="CC502" s="410">
        <v>1212</v>
      </c>
      <c r="CD502" s="410">
        <v>1197</v>
      </c>
      <c r="CE502" s="410">
        <v>1164</v>
      </c>
      <c r="CF502" s="410">
        <v>1112</v>
      </c>
      <c r="CG502" s="410">
        <v>1141</v>
      </c>
      <c r="CH502" s="410">
        <v>1175</v>
      </c>
      <c r="CI502" s="410">
        <v>1186</v>
      </c>
      <c r="CJ502" s="410">
        <v>1175</v>
      </c>
      <c r="CK502" s="410">
        <v>999</v>
      </c>
      <c r="CL502" s="410">
        <v>920</v>
      </c>
      <c r="CM502" s="410">
        <v>863</v>
      </c>
      <c r="CN502" s="410">
        <v>789</v>
      </c>
      <c r="CO502" s="410">
        <v>736</v>
      </c>
      <c r="CP502" s="410">
        <v>619</v>
      </c>
      <c r="CQ502" s="410">
        <v>561</v>
      </c>
      <c r="CR502" s="410">
        <v>506</v>
      </c>
      <c r="CS502" s="410">
        <v>445</v>
      </c>
      <c r="CT502" s="410">
        <v>454</v>
      </c>
      <c r="CU502" s="410">
        <v>361</v>
      </c>
      <c r="CV502" s="410">
        <v>330</v>
      </c>
      <c r="CW502" s="410">
        <v>265</v>
      </c>
      <c r="CX502" s="410">
        <v>198</v>
      </c>
      <c r="CY502" s="410">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2">
      <c r="A503" s="31" t="s">
        <v>141</v>
      </c>
      <c r="B503" s="1" t="s">
        <v>593</v>
      </c>
      <c r="C503" s="30" t="str">
        <f t="shared" si="126"/>
        <v>LA Wales - Ceredigion</v>
      </c>
      <c r="D503" s="51">
        <f t="shared" si="127"/>
        <v>1679</v>
      </c>
      <c r="E503" s="51">
        <f t="shared" si="128"/>
        <v>10363</v>
      </c>
      <c r="F503" s="52">
        <f t="shared" si="129"/>
        <v>71610</v>
      </c>
      <c r="G503" s="52">
        <f t="shared" si="130"/>
        <v>34962</v>
      </c>
      <c r="H503" s="53">
        <f t="shared" si="131"/>
        <v>36648</v>
      </c>
      <c r="I503" s="53">
        <f t="shared" si="132"/>
        <v>29123</v>
      </c>
      <c r="J503" s="53">
        <f t="shared" si="133"/>
        <v>30949</v>
      </c>
      <c r="K503" s="50">
        <f t="shared" si="134"/>
        <v>5839</v>
      </c>
      <c r="L503" s="51">
        <f t="shared" si="135"/>
        <v>5699</v>
      </c>
      <c r="M503" s="410">
        <v>276</v>
      </c>
      <c r="N503" s="410">
        <v>237</v>
      </c>
      <c r="O503" s="410">
        <v>271</v>
      </c>
      <c r="P503" s="410">
        <v>294</v>
      </c>
      <c r="Q503" s="410">
        <v>285</v>
      </c>
      <c r="R503" s="410">
        <v>312</v>
      </c>
      <c r="S503" s="410">
        <v>341</v>
      </c>
      <c r="T503" s="410">
        <v>317</v>
      </c>
      <c r="U503" s="410">
        <v>309</v>
      </c>
      <c r="V503" s="410">
        <v>360</v>
      </c>
      <c r="W503" s="410">
        <v>360</v>
      </c>
      <c r="X503" s="410">
        <v>370</v>
      </c>
      <c r="Y503" s="410">
        <v>368</v>
      </c>
      <c r="Z503" s="410">
        <v>326</v>
      </c>
      <c r="AA503" s="410">
        <v>334</v>
      </c>
      <c r="AB503" s="410">
        <v>346</v>
      </c>
      <c r="AC503" s="410">
        <v>355</v>
      </c>
      <c r="AD503" s="410">
        <v>378</v>
      </c>
      <c r="AE503" s="410">
        <v>435</v>
      </c>
      <c r="AF503" s="410">
        <v>855</v>
      </c>
      <c r="AG503" s="410">
        <v>809</v>
      </c>
      <c r="AH503" s="410">
        <v>767</v>
      </c>
      <c r="AI503" s="410">
        <v>615</v>
      </c>
      <c r="AJ503" s="410">
        <v>548</v>
      </c>
      <c r="AK503" s="410">
        <v>432</v>
      </c>
      <c r="AL503" s="410">
        <v>350</v>
      </c>
      <c r="AM503" s="410">
        <v>336</v>
      </c>
      <c r="AN503" s="410">
        <v>361</v>
      </c>
      <c r="AO503" s="410">
        <v>363</v>
      </c>
      <c r="AP503" s="410">
        <v>307</v>
      </c>
      <c r="AQ503" s="410">
        <v>338</v>
      </c>
      <c r="AR503" s="410">
        <v>347</v>
      </c>
      <c r="AS503" s="410">
        <v>354</v>
      </c>
      <c r="AT503" s="410">
        <v>356</v>
      </c>
      <c r="AU503" s="410">
        <v>352</v>
      </c>
      <c r="AV503" s="410">
        <v>311</v>
      </c>
      <c r="AW503" s="410">
        <v>316</v>
      </c>
      <c r="AX503" s="410">
        <v>334</v>
      </c>
      <c r="AY503" s="410">
        <v>320</v>
      </c>
      <c r="AZ503" s="410">
        <v>335</v>
      </c>
      <c r="BA503" s="410">
        <v>353</v>
      </c>
      <c r="BB503" s="410">
        <v>347</v>
      </c>
      <c r="BC503" s="410">
        <v>316</v>
      </c>
      <c r="BD503" s="410">
        <v>308</v>
      </c>
      <c r="BE503" s="410">
        <v>280</v>
      </c>
      <c r="BF503" s="410">
        <v>309</v>
      </c>
      <c r="BG503" s="410">
        <v>342</v>
      </c>
      <c r="BH503" s="410">
        <v>348</v>
      </c>
      <c r="BI503" s="410">
        <v>356</v>
      </c>
      <c r="BJ503" s="410">
        <v>339</v>
      </c>
      <c r="BK503" s="410">
        <v>402</v>
      </c>
      <c r="BL503" s="410">
        <v>431</v>
      </c>
      <c r="BM503" s="410">
        <v>435</v>
      </c>
      <c r="BN503" s="410">
        <v>504</v>
      </c>
      <c r="BO503" s="410">
        <v>475</v>
      </c>
      <c r="BP503" s="410">
        <v>496</v>
      </c>
      <c r="BQ503" s="410">
        <v>511</v>
      </c>
      <c r="BR503" s="410">
        <v>501</v>
      </c>
      <c r="BS503" s="410">
        <v>541</v>
      </c>
      <c r="BT503" s="410">
        <v>553</v>
      </c>
      <c r="BU503" s="410">
        <v>538</v>
      </c>
      <c r="BV503" s="410">
        <v>517</v>
      </c>
      <c r="BW503" s="410">
        <v>495</v>
      </c>
      <c r="BX503" s="410">
        <v>529</v>
      </c>
      <c r="BY503" s="410">
        <v>518</v>
      </c>
      <c r="BZ503" s="410">
        <v>495</v>
      </c>
      <c r="CA503" s="410">
        <v>519</v>
      </c>
      <c r="CB503" s="410">
        <v>491</v>
      </c>
      <c r="CC503" s="410">
        <v>490</v>
      </c>
      <c r="CD503" s="410">
        <v>448</v>
      </c>
      <c r="CE503" s="410">
        <v>472</v>
      </c>
      <c r="CF503" s="410">
        <v>453</v>
      </c>
      <c r="CG503" s="410">
        <v>454</v>
      </c>
      <c r="CH503" s="410">
        <v>509</v>
      </c>
      <c r="CI503" s="410">
        <v>531</v>
      </c>
      <c r="CJ503" s="410">
        <v>500</v>
      </c>
      <c r="CK503" s="410">
        <v>376</v>
      </c>
      <c r="CL503" s="410">
        <v>376</v>
      </c>
      <c r="CM503" s="410">
        <v>354</v>
      </c>
      <c r="CN503" s="410">
        <v>347</v>
      </c>
      <c r="CO503" s="410">
        <v>289</v>
      </c>
      <c r="CP503" s="410">
        <v>213</v>
      </c>
      <c r="CQ503" s="410">
        <v>241</v>
      </c>
      <c r="CR503" s="410">
        <v>198</v>
      </c>
      <c r="CS503" s="410">
        <v>175</v>
      </c>
      <c r="CT503" s="410">
        <v>168</v>
      </c>
      <c r="CU503" s="410">
        <v>134</v>
      </c>
      <c r="CV503" s="410">
        <v>115</v>
      </c>
      <c r="CW503" s="410">
        <v>97</v>
      </c>
      <c r="CX503" s="410">
        <v>84</v>
      </c>
      <c r="CY503" s="410">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2">
      <c r="A504" s="31" t="s">
        <v>141</v>
      </c>
      <c r="B504" s="1" t="s">
        <v>594</v>
      </c>
      <c r="C504" s="30" t="str">
        <f t="shared" si="126"/>
        <v>LA Wales - Conwy</v>
      </c>
      <c r="D504" s="51">
        <f t="shared" si="127"/>
        <v>3092</v>
      </c>
      <c r="E504" s="51">
        <f t="shared" si="128"/>
        <v>17517</v>
      </c>
      <c r="F504" s="52">
        <f t="shared" si="129"/>
        <v>114290</v>
      </c>
      <c r="G504" s="52">
        <f t="shared" si="130"/>
        <v>55416</v>
      </c>
      <c r="H504" s="53">
        <f t="shared" si="131"/>
        <v>58874</v>
      </c>
      <c r="I504" s="53">
        <f t="shared" si="132"/>
        <v>44879</v>
      </c>
      <c r="J504" s="53">
        <f t="shared" si="133"/>
        <v>48853</v>
      </c>
      <c r="K504" s="50">
        <f t="shared" si="134"/>
        <v>10537</v>
      </c>
      <c r="L504" s="51">
        <f t="shared" si="135"/>
        <v>10021</v>
      </c>
      <c r="M504" s="410">
        <v>483</v>
      </c>
      <c r="N504" s="410">
        <v>469</v>
      </c>
      <c r="O504" s="410">
        <v>522</v>
      </c>
      <c r="P504" s="410">
        <v>523</v>
      </c>
      <c r="Q504" s="410">
        <v>549</v>
      </c>
      <c r="R504" s="410">
        <v>540</v>
      </c>
      <c r="S504" s="410">
        <v>563</v>
      </c>
      <c r="T504" s="410">
        <v>620</v>
      </c>
      <c r="U504" s="410">
        <v>583</v>
      </c>
      <c r="V504" s="410">
        <v>622</v>
      </c>
      <c r="W504" s="410">
        <v>611</v>
      </c>
      <c r="X504" s="410">
        <v>686</v>
      </c>
      <c r="Y504" s="410">
        <v>621</v>
      </c>
      <c r="Z504" s="410">
        <v>634</v>
      </c>
      <c r="AA504" s="410">
        <v>601</v>
      </c>
      <c r="AB504" s="410">
        <v>642</v>
      </c>
      <c r="AC504" s="410">
        <v>627</v>
      </c>
      <c r="AD504" s="410">
        <v>641</v>
      </c>
      <c r="AE504" s="410">
        <v>613</v>
      </c>
      <c r="AF504" s="410">
        <v>404</v>
      </c>
      <c r="AG504" s="410">
        <v>422</v>
      </c>
      <c r="AH504" s="410">
        <v>441</v>
      </c>
      <c r="AI504" s="410">
        <v>543</v>
      </c>
      <c r="AJ504" s="410">
        <v>525</v>
      </c>
      <c r="AK504" s="410">
        <v>583</v>
      </c>
      <c r="AL504" s="410">
        <v>572</v>
      </c>
      <c r="AM504" s="410">
        <v>471</v>
      </c>
      <c r="AN504" s="410">
        <v>561</v>
      </c>
      <c r="AO504" s="410">
        <v>538</v>
      </c>
      <c r="AP504" s="410">
        <v>526</v>
      </c>
      <c r="AQ504" s="410">
        <v>576</v>
      </c>
      <c r="AR504" s="410">
        <v>623</v>
      </c>
      <c r="AS504" s="410">
        <v>576</v>
      </c>
      <c r="AT504" s="410">
        <v>615</v>
      </c>
      <c r="AU504" s="410">
        <v>597</v>
      </c>
      <c r="AV504" s="410">
        <v>594</v>
      </c>
      <c r="AW504" s="410">
        <v>552</v>
      </c>
      <c r="AX504" s="410">
        <v>589</v>
      </c>
      <c r="AY504" s="410">
        <v>559</v>
      </c>
      <c r="AZ504" s="410">
        <v>543</v>
      </c>
      <c r="BA504" s="410">
        <v>551</v>
      </c>
      <c r="BB504" s="410">
        <v>596</v>
      </c>
      <c r="BC504" s="410">
        <v>626</v>
      </c>
      <c r="BD504" s="410">
        <v>555</v>
      </c>
      <c r="BE504" s="410">
        <v>470</v>
      </c>
      <c r="BF504" s="410">
        <v>555</v>
      </c>
      <c r="BG504" s="410">
        <v>559</v>
      </c>
      <c r="BH504" s="410">
        <v>569</v>
      </c>
      <c r="BI504" s="410">
        <v>603</v>
      </c>
      <c r="BJ504" s="410">
        <v>679</v>
      </c>
      <c r="BK504" s="410">
        <v>788</v>
      </c>
      <c r="BL504" s="410">
        <v>775</v>
      </c>
      <c r="BM504" s="410">
        <v>750</v>
      </c>
      <c r="BN504" s="410">
        <v>805</v>
      </c>
      <c r="BO504" s="410">
        <v>775</v>
      </c>
      <c r="BP504" s="410">
        <v>819</v>
      </c>
      <c r="BQ504" s="410">
        <v>862</v>
      </c>
      <c r="BR504" s="410">
        <v>890</v>
      </c>
      <c r="BS504" s="410">
        <v>870</v>
      </c>
      <c r="BT504" s="410">
        <v>881</v>
      </c>
      <c r="BU504" s="410">
        <v>879</v>
      </c>
      <c r="BV504" s="410">
        <v>894</v>
      </c>
      <c r="BW504" s="410">
        <v>876</v>
      </c>
      <c r="BX504" s="410">
        <v>830</v>
      </c>
      <c r="BY504" s="410">
        <v>792</v>
      </c>
      <c r="BZ504" s="410">
        <v>785</v>
      </c>
      <c r="CA504" s="410">
        <v>740</v>
      </c>
      <c r="CB504" s="410">
        <v>717</v>
      </c>
      <c r="CC504" s="410">
        <v>789</v>
      </c>
      <c r="CD504" s="410">
        <v>744</v>
      </c>
      <c r="CE504" s="410">
        <v>734</v>
      </c>
      <c r="CF504" s="410">
        <v>780</v>
      </c>
      <c r="CG504" s="410">
        <v>723</v>
      </c>
      <c r="CH504" s="410">
        <v>809</v>
      </c>
      <c r="CI504" s="410">
        <v>853</v>
      </c>
      <c r="CJ504" s="410">
        <v>851</v>
      </c>
      <c r="CK504" s="410">
        <v>673</v>
      </c>
      <c r="CL504" s="410">
        <v>628</v>
      </c>
      <c r="CM504" s="410">
        <v>602</v>
      </c>
      <c r="CN504" s="410">
        <v>548</v>
      </c>
      <c r="CO504" s="410">
        <v>479</v>
      </c>
      <c r="CP504" s="410">
        <v>400</v>
      </c>
      <c r="CQ504" s="410">
        <v>367</v>
      </c>
      <c r="CR504" s="410">
        <v>373</v>
      </c>
      <c r="CS504" s="410">
        <v>296</v>
      </c>
      <c r="CT504" s="410">
        <v>289</v>
      </c>
      <c r="CU504" s="410">
        <v>267</v>
      </c>
      <c r="CV504" s="410">
        <v>251</v>
      </c>
      <c r="CW504" s="410">
        <v>195</v>
      </c>
      <c r="CX504" s="410">
        <v>194</v>
      </c>
      <c r="CY504" s="410">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2">
      <c r="A505" s="31" t="s">
        <v>141</v>
      </c>
      <c r="B505" s="1" t="s">
        <v>595</v>
      </c>
      <c r="C505" s="30" t="str">
        <f t="shared" si="126"/>
        <v>LA Wales - Denbighshire</v>
      </c>
      <c r="D505" s="51">
        <f t="shared" si="127"/>
        <v>2624</v>
      </c>
      <c r="E505" s="51">
        <f t="shared" si="128"/>
        <v>14479</v>
      </c>
      <c r="F505" s="52">
        <f t="shared" si="129"/>
        <v>96558</v>
      </c>
      <c r="G505" s="52">
        <f t="shared" si="130"/>
        <v>46969</v>
      </c>
      <c r="H505" s="53">
        <f t="shared" si="131"/>
        <v>49589</v>
      </c>
      <c r="I505" s="53">
        <f t="shared" si="132"/>
        <v>37039</v>
      </c>
      <c r="J505" s="53">
        <f t="shared" si="133"/>
        <v>40216</v>
      </c>
      <c r="K505" s="50">
        <f t="shared" si="134"/>
        <v>9930</v>
      </c>
      <c r="L505" s="51">
        <f t="shared" si="135"/>
        <v>9373</v>
      </c>
      <c r="M505" s="410">
        <v>457</v>
      </c>
      <c r="N505" s="410">
        <v>493</v>
      </c>
      <c r="O505" s="410">
        <v>520</v>
      </c>
      <c r="P505" s="410">
        <v>480</v>
      </c>
      <c r="Q505" s="410">
        <v>486</v>
      </c>
      <c r="R505" s="410">
        <v>551</v>
      </c>
      <c r="S505" s="410">
        <v>523</v>
      </c>
      <c r="T505" s="410">
        <v>558</v>
      </c>
      <c r="U505" s="410">
        <v>524</v>
      </c>
      <c r="V505" s="410">
        <v>561</v>
      </c>
      <c r="W505" s="410">
        <v>567</v>
      </c>
      <c r="X505" s="410">
        <v>592</v>
      </c>
      <c r="Y505" s="410">
        <v>615</v>
      </c>
      <c r="Z505" s="410">
        <v>593</v>
      </c>
      <c r="AA505" s="410">
        <v>609</v>
      </c>
      <c r="AB505" s="410">
        <v>587</v>
      </c>
      <c r="AC505" s="410">
        <v>587</v>
      </c>
      <c r="AD505" s="410">
        <v>627</v>
      </c>
      <c r="AE505" s="410">
        <v>551</v>
      </c>
      <c r="AF505" s="410">
        <v>439</v>
      </c>
      <c r="AG505" s="410">
        <v>422</v>
      </c>
      <c r="AH505" s="410">
        <v>434</v>
      </c>
      <c r="AI505" s="410">
        <v>423</v>
      </c>
      <c r="AJ505" s="410">
        <v>470</v>
      </c>
      <c r="AK505" s="410">
        <v>490</v>
      </c>
      <c r="AL505" s="410">
        <v>482</v>
      </c>
      <c r="AM505" s="410">
        <v>514</v>
      </c>
      <c r="AN505" s="410">
        <v>470</v>
      </c>
      <c r="AO505" s="410">
        <v>500</v>
      </c>
      <c r="AP505" s="410">
        <v>483</v>
      </c>
      <c r="AQ505" s="410">
        <v>507</v>
      </c>
      <c r="AR505" s="410">
        <v>516</v>
      </c>
      <c r="AS505" s="410">
        <v>511</v>
      </c>
      <c r="AT505" s="410">
        <v>471</v>
      </c>
      <c r="AU505" s="410">
        <v>530</v>
      </c>
      <c r="AV505" s="410">
        <v>513</v>
      </c>
      <c r="AW505" s="410">
        <v>510</v>
      </c>
      <c r="AX505" s="410">
        <v>477</v>
      </c>
      <c r="AY505" s="410">
        <v>509</v>
      </c>
      <c r="AZ505" s="410">
        <v>424</v>
      </c>
      <c r="BA505" s="410">
        <v>488</v>
      </c>
      <c r="BB505" s="410">
        <v>496</v>
      </c>
      <c r="BC505" s="410">
        <v>500</v>
      </c>
      <c r="BD505" s="410">
        <v>478</v>
      </c>
      <c r="BE505" s="410">
        <v>422</v>
      </c>
      <c r="BF505" s="410">
        <v>464</v>
      </c>
      <c r="BG505" s="410">
        <v>515</v>
      </c>
      <c r="BH505" s="410">
        <v>516</v>
      </c>
      <c r="BI505" s="410">
        <v>525</v>
      </c>
      <c r="BJ505" s="410">
        <v>532</v>
      </c>
      <c r="BK505" s="410">
        <v>646</v>
      </c>
      <c r="BL505" s="410">
        <v>654</v>
      </c>
      <c r="BM505" s="410">
        <v>645</v>
      </c>
      <c r="BN505" s="410">
        <v>662</v>
      </c>
      <c r="BO505" s="410">
        <v>643</v>
      </c>
      <c r="BP505" s="410">
        <v>715</v>
      </c>
      <c r="BQ505" s="410">
        <v>681</v>
      </c>
      <c r="BR505" s="410">
        <v>758</v>
      </c>
      <c r="BS505" s="410">
        <v>746</v>
      </c>
      <c r="BT505" s="410">
        <v>697</v>
      </c>
      <c r="BU505" s="410">
        <v>737</v>
      </c>
      <c r="BV505" s="410">
        <v>654</v>
      </c>
      <c r="BW505" s="410">
        <v>713</v>
      </c>
      <c r="BX505" s="410">
        <v>665</v>
      </c>
      <c r="BY505" s="410">
        <v>635</v>
      </c>
      <c r="BZ505" s="410">
        <v>637</v>
      </c>
      <c r="CA505" s="410">
        <v>603</v>
      </c>
      <c r="CB505" s="410">
        <v>603</v>
      </c>
      <c r="CC505" s="410">
        <v>596</v>
      </c>
      <c r="CD505" s="410">
        <v>599</v>
      </c>
      <c r="CE505" s="410">
        <v>543</v>
      </c>
      <c r="CF505" s="410">
        <v>547</v>
      </c>
      <c r="CG505" s="410">
        <v>614</v>
      </c>
      <c r="CH505" s="410">
        <v>653</v>
      </c>
      <c r="CI505" s="410">
        <v>674</v>
      </c>
      <c r="CJ505" s="410">
        <v>666</v>
      </c>
      <c r="CK505" s="410">
        <v>469</v>
      </c>
      <c r="CL505" s="410">
        <v>446</v>
      </c>
      <c r="CM505" s="410">
        <v>473</v>
      </c>
      <c r="CN505" s="410">
        <v>443</v>
      </c>
      <c r="CO505" s="410">
        <v>359</v>
      </c>
      <c r="CP505" s="410">
        <v>328</v>
      </c>
      <c r="CQ505" s="410">
        <v>290</v>
      </c>
      <c r="CR505" s="410">
        <v>259</v>
      </c>
      <c r="CS505" s="410">
        <v>236</v>
      </c>
      <c r="CT505" s="410">
        <v>224</v>
      </c>
      <c r="CU505" s="410">
        <v>181</v>
      </c>
      <c r="CV505" s="410">
        <v>162</v>
      </c>
      <c r="CW505" s="410">
        <v>127</v>
      </c>
      <c r="CX505" s="410">
        <v>108</v>
      </c>
      <c r="CY505" s="410">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2">
      <c r="A506" s="31" t="s">
        <v>141</v>
      </c>
      <c r="B506" s="1" t="s">
        <v>596</v>
      </c>
      <c r="C506" s="30" t="str">
        <f t="shared" si="126"/>
        <v>LA Wales - Flintshire</v>
      </c>
      <c r="D506" s="51">
        <f t="shared" si="127"/>
        <v>4742</v>
      </c>
      <c r="E506" s="51">
        <f t="shared" si="128"/>
        <v>23153</v>
      </c>
      <c r="F506" s="52">
        <f t="shared" si="129"/>
        <v>155319</v>
      </c>
      <c r="G506" s="52">
        <f t="shared" si="130"/>
        <v>76023</v>
      </c>
      <c r="H506" s="53">
        <f t="shared" si="131"/>
        <v>79296</v>
      </c>
      <c r="I506" s="53">
        <f t="shared" si="132"/>
        <v>60140</v>
      </c>
      <c r="J506" s="53">
        <f t="shared" si="133"/>
        <v>64292</v>
      </c>
      <c r="K506" s="50">
        <f t="shared" si="134"/>
        <v>15883</v>
      </c>
      <c r="L506" s="51">
        <f t="shared" si="135"/>
        <v>15004</v>
      </c>
      <c r="M506" s="410">
        <v>701</v>
      </c>
      <c r="N506" s="410">
        <v>780</v>
      </c>
      <c r="O506" s="410">
        <v>775</v>
      </c>
      <c r="P506" s="410">
        <v>770</v>
      </c>
      <c r="Q506" s="410">
        <v>817</v>
      </c>
      <c r="R506" s="410">
        <v>825</v>
      </c>
      <c r="S506" s="410">
        <v>849</v>
      </c>
      <c r="T506" s="410">
        <v>888</v>
      </c>
      <c r="U506" s="410">
        <v>904</v>
      </c>
      <c r="V506" s="410">
        <v>899</v>
      </c>
      <c r="W506" s="410">
        <v>971</v>
      </c>
      <c r="X506" s="410">
        <v>933</v>
      </c>
      <c r="Y506" s="410">
        <v>1008</v>
      </c>
      <c r="Z506" s="410">
        <v>933</v>
      </c>
      <c r="AA506" s="410">
        <v>1033</v>
      </c>
      <c r="AB506" s="410">
        <v>950</v>
      </c>
      <c r="AC506" s="410">
        <v>903</v>
      </c>
      <c r="AD506" s="410">
        <v>944</v>
      </c>
      <c r="AE506" s="410">
        <v>881</v>
      </c>
      <c r="AF506" s="410">
        <v>661</v>
      </c>
      <c r="AG506" s="410">
        <v>648</v>
      </c>
      <c r="AH506" s="410">
        <v>673</v>
      </c>
      <c r="AI506" s="410">
        <v>728</v>
      </c>
      <c r="AJ506" s="410">
        <v>844</v>
      </c>
      <c r="AK506" s="410">
        <v>853</v>
      </c>
      <c r="AL506" s="410">
        <v>829</v>
      </c>
      <c r="AM506" s="410">
        <v>799</v>
      </c>
      <c r="AN506" s="410">
        <v>822</v>
      </c>
      <c r="AO506" s="410">
        <v>837</v>
      </c>
      <c r="AP506" s="410">
        <v>879</v>
      </c>
      <c r="AQ506" s="410">
        <v>1004</v>
      </c>
      <c r="AR506" s="410">
        <v>928</v>
      </c>
      <c r="AS506" s="410">
        <v>919</v>
      </c>
      <c r="AT506" s="410">
        <v>961</v>
      </c>
      <c r="AU506" s="410">
        <v>970</v>
      </c>
      <c r="AV506" s="410">
        <v>947</v>
      </c>
      <c r="AW506" s="410">
        <v>978</v>
      </c>
      <c r="AX506" s="410">
        <v>903</v>
      </c>
      <c r="AY506" s="410">
        <v>860</v>
      </c>
      <c r="AZ506" s="410">
        <v>889</v>
      </c>
      <c r="BA506" s="410">
        <v>925</v>
      </c>
      <c r="BB506" s="410">
        <v>916</v>
      </c>
      <c r="BC506" s="410">
        <v>930</v>
      </c>
      <c r="BD506" s="410">
        <v>875</v>
      </c>
      <c r="BE506" s="410">
        <v>855</v>
      </c>
      <c r="BF506" s="410">
        <v>802</v>
      </c>
      <c r="BG506" s="410">
        <v>825</v>
      </c>
      <c r="BH506" s="410">
        <v>925</v>
      </c>
      <c r="BI506" s="410">
        <v>970</v>
      </c>
      <c r="BJ506" s="410">
        <v>989</v>
      </c>
      <c r="BK506" s="410">
        <v>1124</v>
      </c>
      <c r="BL506" s="410">
        <v>1159</v>
      </c>
      <c r="BM506" s="410">
        <v>1172</v>
      </c>
      <c r="BN506" s="410">
        <v>1222</v>
      </c>
      <c r="BO506" s="410">
        <v>1193</v>
      </c>
      <c r="BP506" s="410">
        <v>1115</v>
      </c>
      <c r="BQ506" s="410">
        <v>1116</v>
      </c>
      <c r="BR506" s="410">
        <v>1156</v>
      </c>
      <c r="BS506" s="410">
        <v>1196</v>
      </c>
      <c r="BT506" s="410">
        <v>1096</v>
      </c>
      <c r="BU506" s="410">
        <v>1149</v>
      </c>
      <c r="BV506" s="410">
        <v>1060</v>
      </c>
      <c r="BW506" s="410">
        <v>1024</v>
      </c>
      <c r="BX506" s="410">
        <v>1036</v>
      </c>
      <c r="BY506" s="410">
        <v>912</v>
      </c>
      <c r="BZ506" s="410">
        <v>883</v>
      </c>
      <c r="CA506" s="410">
        <v>867</v>
      </c>
      <c r="CB506" s="410">
        <v>793</v>
      </c>
      <c r="CC506" s="410">
        <v>812</v>
      </c>
      <c r="CD506" s="410">
        <v>850</v>
      </c>
      <c r="CE506" s="410">
        <v>761</v>
      </c>
      <c r="CF506" s="410">
        <v>877</v>
      </c>
      <c r="CG506" s="410">
        <v>832</v>
      </c>
      <c r="CH506" s="410">
        <v>891</v>
      </c>
      <c r="CI506" s="410">
        <v>922</v>
      </c>
      <c r="CJ506" s="410">
        <v>1006</v>
      </c>
      <c r="CK506" s="410">
        <v>637</v>
      </c>
      <c r="CL506" s="410">
        <v>646</v>
      </c>
      <c r="CM506" s="410">
        <v>660</v>
      </c>
      <c r="CN506" s="410">
        <v>553</v>
      </c>
      <c r="CO506" s="410">
        <v>481</v>
      </c>
      <c r="CP506" s="410">
        <v>430</v>
      </c>
      <c r="CQ506" s="410">
        <v>426</v>
      </c>
      <c r="CR506" s="410">
        <v>354</v>
      </c>
      <c r="CS506" s="410">
        <v>350</v>
      </c>
      <c r="CT506" s="410">
        <v>287</v>
      </c>
      <c r="CU506" s="410">
        <v>257</v>
      </c>
      <c r="CV506" s="410">
        <v>212</v>
      </c>
      <c r="CW506" s="410">
        <v>170</v>
      </c>
      <c r="CX506" s="410">
        <v>138</v>
      </c>
      <c r="CY506" s="410">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2">
      <c r="A507" s="31" t="s">
        <v>141</v>
      </c>
      <c r="B507" s="1" t="s">
        <v>597</v>
      </c>
      <c r="C507" s="30" t="str">
        <f t="shared" si="126"/>
        <v>LA Wales - Gwynedd</v>
      </c>
      <c r="D507" s="51">
        <f t="shared" si="127"/>
        <v>3145</v>
      </c>
      <c r="E507" s="51">
        <f t="shared" si="128"/>
        <v>16731</v>
      </c>
      <c r="F507" s="52">
        <f t="shared" si="129"/>
        <v>117591</v>
      </c>
      <c r="G507" s="52">
        <f t="shared" si="130"/>
        <v>57848</v>
      </c>
      <c r="H507" s="53">
        <f t="shared" si="131"/>
        <v>59743</v>
      </c>
      <c r="I507" s="53">
        <f t="shared" si="132"/>
        <v>46623</v>
      </c>
      <c r="J507" s="53">
        <f t="shared" si="133"/>
        <v>49111</v>
      </c>
      <c r="K507" s="50">
        <f t="shared" si="134"/>
        <v>11225</v>
      </c>
      <c r="L507" s="51">
        <f t="shared" si="135"/>
        <v>10632</v>
      </c>
      <c r="M507" s="410">
        <v>554</v>
      </c>
      <c r="N507" s="410">
        <v>518</v>
      </c>
      <c r="O507" s="410">
        <v>550</v>
      </c>
      <c r="P507" s="410">
        <v>548</v>
      </c>
      <c r="Q507" s="410">
        <v>593</v>
      </c>
      <c r="R507" s="410">
        <v>563</v>
      </c>
      <c r="S507" s="410">
        <v>656</v>
      </c>
      <c r="T507" s="410">
        <v>596</v>
      </c>
      <c r="U507" s="410">
        <v>662</v>
      </c>
      <c r="V507" s="410">
        <v>660</v>
      </c>
      <c r="W507" s="410">
        <v>664</v>
      </c>
      <c r="X507" s="410">
        <v>666</v>
      </c>
      <c r="Y507" s="410">
        <v>714</v>
      </c>
      <c r="Z507" s="410">
        <v>665</v>
      </c>
      <c r="AA507" s="410">
        <v>674</v>
      </c>
      <c r="AB507" s="410">
        <v>671</v>
      </c>
      <c r="AC507" s="410">
        <v>653</v>
      </c>
      <c r="AD507" s="410">
        <v>618</v>
      </c>
      <c r="AE507" s="410">
        <v>660</v>
      </c>
      <c r="AF507" s="410">
        <v>869</v>
      </c>
      <c r="AG507" s="410">
        <v>893</v>
      </c>
      <c r="AH507" s="410">
        <v>930</v>
      </c>
      <c r="AI507" s="410">
        <v>871</v>
      </c>
      <c r="AJ507" s="410">
        <v>777</v>
      </c>
      <c r="AK507" s="410">
        <v>709</v>
      </c>
      <c r="AL507" s="410">
        <v>648</v>
      </c>
      <c r="AM507" s="410">
        <v>637</v>
      </c>
      <c r="AN507" s="410">
        <v>635</v>
      </c>
      <c r="AO507" s="410">
        <v>676</v>
      </c>
      <c r="AP507" s="410">
        <v>659</v>
      </c>
      <c r="AQ507" s="410">
        <v>661</v>
      </c>
      <c r="AR507" s="410">
        <v>643</v>
      </c>
      <c r="AS507" s="410">
        <v>663</v>
      </c>
      <c r="AT507" s="410">
        <v>677</v>
      </c>
      <c r="AU507" s="410">
        <v>680</v>
      </c>
      <c r="AV507" s="410">
        <v>704</v>
      </c>
      <c r="AW507" s="410">
        <v>572</v>
      </c>
      <c r="AX507" s="410">
        <v>595</v>
      </c>
      <c r="AY507" s="410">
        <v>582</v>
      </c>
      <c r="AZ507" s="410">
        <v>586</v>
      </c>
      <c r="BA507" s="410">
        <v>589</v>
      </c>
      <c r="BB507" s="410">
        <v>603</v>
      </c>
      <c r="BC507" s="410">
        <v>613</v>
      </c>
      <c r="BD507" s="410">
        <v>569</v>
      </c>
      <c r="BE507" s="410">
        <v>557</v>
      </c>
      <c r="BF507" s="410">
        <v>575</v>
      </c>
      <c r="BG507" s="410">
        <v>581</v>
      </c>
      <c r="BH507" s="410">
        <v>606</v>
      </c>
      <c r="BI507" s="410">
        <v>678</v>
      </c>
      <c r="BJ507" s="410">
        <v>722</v>
      </c>
      <c r="BK507" s="410">
        <v>767</v>
      </c>
      <c r="BL507" s="410">
        <v>811</v>
      </c>
      <c r="BM507" s="410">
        <v>804</v>
      </c>
      <c r="BN507" s="410">
        <v>775</v>
      </c>
      <c r="BO507" s="410">
        <v>801</v>
      </c>
      <c r="BP507" s="410">
        <v>799</v>
      </c>
      <c r="BQ507" s="410">
        <v>858</v>
      </c>
      <c r="BR507" s="410">
        <v>866</v>
      </c>
      <c r="BS507" s="410">
        <v>874</v>
      </c>
      <c r="BT507" s="410">
        <v>888</v>
      </c>
      <c r="BU507" s="410">
        <v>867</v>
      </c>
      <c r="BV507" s="410">
        <v>849</v>
      </c>
      <c r="BW507" s="410">
        <v>771</v>
      </c>
      <c r="BX507" s="410">
        <v>768</v>
      </c>
      <c r="BY507" s="410">
        <v>811</v>
      </c>
      <c r="BZ507" s="410">
        <v>756</v>
      </c>
      <c r="CA507" s="410">
        <v>711</v>
      </c>
      <c r="CB507" s="410">
        <v>727</v>
      </c>
      <c r="CC507" s="410">
        <v>675</v>
      </c>
      <c r="CD507" s="410">
        <v>709</v>
      </c>
      <c r="CE507" s="410">
        <v>650</v>
      </c>
      <c r="CF507" s="410">
        <v>649</v>
      </c>
      <c r="CG507" s="410">
        <v>649</v>
      </c>
      <c r="CH507" s="410">
        <v>729</v>
      </c>
      <c r="CI507" s="410">
        <v>764</v>
      </c>
      <c r="CJ507" s="410">
        <v>736</v>
      </c>
      <c r="CK507" s="410">
        <v>589</v>
      </c>
      <c r="CL507" s="410">
        <v>522</v>
      </c>
      <c r="CM507" s="410">
        <v>521</v>
      </c>
      <c r="CN507" s="410">
        <v>483</v>
      </c>
      <c r="CO507" s="410">
        <v>379</v>
      </c>
      <c r="CP507" s="410">
        <v>308</v>
      </c>
      <c r="CQ507" s="410">
        <v>331</v>
      </c>
      <c r="CR507" s="410">
        <v>327</v>
      </c>
      <c r="CS507" s="410">
        <v>274</v>
      </c>
      <c r="CT507" s="410">
        <v>248</v>
      </c>
      <c r="CU507" s="410">
        <v>221</v>
      </c>
      <c r="CV507" s="410">
        <v>181</v>
      </c>
      <c r="CW507" s="410">
        <v>162</v>
      </c>
      <c r="CX507" s="410">
        <v>135</v>
      </c>
      <c r="CY507" s="410">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2">
      <c r="A508" s="31" t="s">
        <v>141</v>
      </c>
      <c r="B508" s="1" t="s">
        <v>598</v>
      </c>
      <c r="C508" s="30" t="str">
        <f t="shared" si="126"/>
        <v>LA Wales - Isle of Anglesey</v>
      </c>
      <c r="D508" s="51">
        <f t="shared" si="127"/>
        <v>1882</v>
      </c>
      <c r="E508" s="51">
        <f t="shared" si="128"/>
        <v>10227</v>
      </c>
      <c r="F508" s="52">
        <f t="shared" si="129"/>
        <v>69049</v>
      </c>
      <c r="G508" s="52">
        <f t="shared" si="130"/>
        <v>33761</v>
      </c>
      <c r="H508" s="53">
        <f t="shared" si="131"/>
        <v>35288</v>
      </c>
      <c r="I508" s="53">
        <f t="shared" si="132"/>
        <v>27052</v>
      </c>
      <c r="J508" s="53">
        <f t="shared" si="133"/>
        <v>28893</v>
      </c>
      <c r="K508" s="50">
        <f t="shared" si="134"/>
        <v>6709</v>
      </c>
      <c r="L508" s="51">
        <f t="shared" si="135"/>
        <v>6395</v>
      </c>
      <c r="M508" s="410">
        <v>273</v>
      </c>
      <c r="N508" s="410">
        <v>322</v>
      </c>
      <c r="O508" s="410">
        <v>305</v>
      </c>
      <c r="P508" s="410">
        <v>320</v>
      </c>
      <c r="Q508" s="410">
        <v>334</v>
      </c>
      <c r="R508" s="410">
        <v>383</v>
      </c>
      <c r="S508" s="410">
        <v>383</v>
      </c>
      <c r="T508" s="410">
        <v>361</v>
      </c>
      <c r="U508" s="410">
        <v>383</v>
      </c>
      <c r="V508" s="410">
        <v>411</v>
      </c>
      <c r="W508" s="410">
        <v>394</v>
      </c>
      <c r="X508" s="410">
        <v>440</v>
      </c>
      <c r="Y508" s="410">
        <v>405</v>
      </c>
      <c r="Z508" s="410">
        <v>438</v>
      </c>
      <c r="AA508" s="410">
        <v>385</v>
      </c>
      <c r="AB508" s="410">
        <v>392</v>
      </c>
      <c r="AC508" s="410">
        <v>391</v>
      </c>
      <c r="AD508" s="410">
        <v>389</v>
      </c>
      <c r="AE508" s="410">
        <v>348</v>
      </c>
      <c r="AF508" s="410">
        <v>299</v>
      </c>
      <c r="AG508" s="410">
        <v>302</v>
      </c>
      <c r="AH508" s="410">
        <v>273</v>
      </c>
      <c r="AI508" s="410">
        <v>297</v>
      </c>
      <c r="AJ508" s="410">
        <v>367</v>
      </c>
      <c r="AK508" s="410">
        <v>299</v>
      </c>
      <c r="AL508" s="410">
        <v>316</v>
      </c>
      <c r="AM508" s="410">
        <v>341</v>
      </c>
      <c r="AN508" s="410">
        <v>319</v>
      </c>
      <c r="AO508" s="410">
        <v>363</v>
      </c>
      <c r="AP508" s="410">
        <v>338</v>
      </c>
      <c r="AQ508" s="410">
        <v>332</v>
      </c>
      <c r="AR508" s="410">
        <v>349</v>
      </c>
      <c r="AS508" s="410">
        <v>346</v>
      </c>
      <c r="AT508" s="410">
        <v>349</v>
      </c>
      <c r="AU508" s="410">
        <v>381</v>
      </c>
      <c r="AV508" s="410">
        <v>373</v>
      </c>
      <c r="AW508" s="410">
        <v>310</v>
      </c>
      <c r="AX508" s="410">
        <v>347</v>
      </c>
      <c r="AY508" s="410">
        <v>371</v>
      </c>
      <c r="AZ508" s="410">
        <v>328</v>
      </c>
      <c r="BA508" s="410">
        <v>331</v>
      </c>
      <c r="BB508" s="410">
        <v>346</v>
      </c>
      <c r="BC508" s="410">
        <v>345</v>
      </c>
      <c r="BD508" s="410">
        <v>373</v>
      </c>
      <c r="BE508" s="410">
        <v>321</v>
      </c>
      <c r="BF508" s="410">
        <v>306</v>
      </c>
      <c r="BG508" s="410">
        <v>326</v>
      </c>
      <c r="BH508" s="410">
        <v>357</v>
      </c>
      <c r="BI508" s="410">
        <v>373</v>
      </c>
      <c r="BJ508" s="410">
        <v>436</v>
      </c>
      <c r="BK508" s="410">
        <v>448</v>
      </c>
      <c r="BL508" s="410">
        <v>493</v>
      </c>
      <c r="BM508" s="410">
        <v>440</v>
      </c>
      <c r="BN508" s="410">
        <v>466</v>
      </c>
      <c r="BO508" s="410">
        <v>481</v>
      </c>
      <c r="BP508" s="410">
        <v>523</v>
      </c>
      <c r="BQ508" s="410">
        <v>490</v>
      </c>
      <c r="BR508" s="410">
        <v>546</v>
      </c>
      <c r="BS508" s="410">
        <v>515</v>
      </c>
      <c r="BT508" s="410">
        <v>563</v>
      </c>
      <c r="BU508" s="410">
        <v>503</v>
      </c>
      <c r="BV508" s="410">
        <v>511</v>
      </c>
      <c r="BW508" s="410">
        <v>539</v>
      </c>
      <c r="BX508" s="410">
        <v>521</v>
      </c>
      <c r="BY508" s="410">
        <v>482</v>
      </c>
      <c r="BZ508" s="410">
        <v>468</v>
      </c>
      <c r="CA508" s="410">
        <v>489</v>
      </c>
      <c r="CB508" s="410">
        <v>476</v>
      </c>
      <c r="CC508" s="410">
        <v>458</v>
      </c>
      <c r="CD508" s="410">
        <v>460</v>
      </c>
      <c r="CE508" s="410">
        <v>458</v>
      </c>
      <c r="CF508" s="410">
        <v>438</v>
      </c>
      <c r="CG508" s="410">
        <v>468</v>
      </c>
      <c r="CH508" s="410">
        <v>490</v>
      </c>
      <c r="CI508" s="410">
        <v>504</v>
      </c>
      <c r="CJ508" s="410">
        <v>484</v>
      </c>
      <c r="CK508" s="410">
        <v>343</v>
      </c>
      <c r="CL508" s="410">
        <v>365</v>
      </c>
      <c r="CM508" s="410">
        <v>374</v>
      </c>
      <c r="CN508" s="410">
        <v>344</v>
      </c>
      <c r="CO508" s="410">
        <v>273</v>
      </c>
      <c r="CP508" s="410">
        <v>244</v>
      </c>
      <c r="CQ508" s="410">
        <v>233</v>
      </c>
      <c r="CR508" s="410">
        <v>249</v>
      </c>
      <c r="CS508" s="410">
        <v>194</v>
      </c>
      <c r="CT508" s="410">
        <v>174</v>
      </c>
      <c r="CU508" s="410">
        <v>143</v>
      </c>
      <c r="CV508" s="410">
        <v>115</v>
      </c>
      <c r="CW508" s="410">
        <v>82</v>
      </c>
      <c r="CX508" s="410">
        <v>77</v>
      </c>
      <c r="CY508" s="410">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2">
      <c r="A509" s="31" t="s">
        <v>141</v>
      </c>
      <c r="B509" s="1" t="s">
        <v>599</v>
      </c>
      <c r="C509" s="30" t="str">
        <f t="shared" si="126"/>
        <v>LA Wales - Merthyr Tydfil</v>
      </c>
      <c r="D509" s="51">
        <f t="shared" si="127"/>
        <v>1815</v>
      </c>
      <c r="E509" s="51">
        <f t="shared" si="128"/>
        <v>8305</v>
      </c>
      <c r="F509" s="52">
        <f t="shared" si="129"/>
        <v>58883</v>
      </c>
      <c r="G509" s="52">
        <f t="shared" si="130"/>
        <v>28785</v>
      </c>
      <c r="H509" s="53">
        <f t="shared" si="131"/>
        <v>30098</v>
      </c>
      <c r="I509" s="53">
        <f t="shared" si="132"/>
        <v>22353</v>
      </c>
      <c r="J509" s="53">
        <f t="shared" si="133"/>
        <v>24054</v>
      </c>
      <c r="K509" s="50">
        <f t="shared" si="134"/>
        <v>6432</v>
      </c>
      <c r="L509" s="51">
        <f t="shared" si="135"/>
        <v>6044</v>
      </c>
      <c r="M509" s="410">
        <v>322</v>
      </c>
      <c r="N509" s="410">
        <v>325</v>
      </c>
      <c r="O509" s="410">
        <v>329</v>
      </c>
      <c r="P509" s="410">
        <v>309</v>
      </c>
      <c r="Q509" s="410">
        <v>371</v>
      </c>
      <c r="R509" s="410">
        <v>402</v>
      </c>
      <c r="S509" s="410">
        <v>381</v>
      </c>
      <c r="T509" s="410">
        <v>384</v>
      </c>
      <c r="U509" s="410">
        <v>350</v>
      </c>
      <c r="V509" s="410">
        <v>355</v>
      </c>
      <c r="W509" s="410">
        <v>378</v>
      </c>
      <c r="X509" s="410">
        <v>405</v>
      </c>
      <c r="Y509" s="410">
        <v>360</v>
      </c>
      <c r="Z509" s="410">
        <v>363</v>
      </c>
      <c r="AA509" s="410">
        <v>375</v>
      </c>
      <c r="AB509" s="410">
        <v>379</v>
      </c>
      <c r="AC509" s="410">
        <v>337</v>
      </c>
      <c r="AD509" s="410">
        <v>307</v>
      </c>
      <c r="AE509" s="410">
        <v>319</v>
      </c>
      <c r="AF509" s="410">
        <v>333</v>
      </c>
      <c r="AG509" s="410">
        <v>297</v>
      </c>
      <c r="AH509" s="410">
        <v>289</v>
      </c>
      <c r="AI509" s="410">
        <v>333</v>
      </c>
      <c r="AJ509" s="410">
        <v>329</v>
      </c>
      <c r="AK509" s="410">
        <v>314</v>
      </c>
      <c r="AL509" s="410">
        <v>356</v>
      </c>
      <c r="AM509" s="410">
        <v>342</v>
      </c>
      <c r="AN509" s="410">
        <v>329</v>
      </c>
      <c r="AO509" s="410">
        <v>375</v>
      </c>
      <c r="AP509" s="410">
        <v>373</v>
      </c>
      <c r="AQ509" s="410">
        <v>362</v>
      </c>
      <c r="AR509" s="410">
        <v>382</v>
      </c>
      <c r="AS509" s="410">
        <v>390</v>
      </c>
      <c r="AT509" s="410">
        <v>371</v>
      </c>
      <c r="AU509" s="410">
        <v>386</v>
      </c>
      <c r="AV509" s="410">
        <v>397</v>
      </c>
      <c r="AW509" s="410">
        <v>396</v>
      </c>
      <c r="AX509" s="410">
        <v>417</v>
      </c>
      <c r="AY509" s="410">
        <v>405</v>
      </c>
      <c r="AZ509" s="410">
        <v>353</v>
      </c>
      <c r="BA509" s="410">
        <v>345</v>
      </c>
      <c r="BB509" s="410">
        <v>368</v>
      </c>
      <c r="BC509" s="410">
        <v>386</v>
      </c>
      <c r="BD509" s="410">
        <v>340</v>
      </c>
      <c r="BE509" s="410">
        <v>284</v>
      </c>
      <c r="BF509" s="410">
        <v>280</v>
      </c>
      <c r="BG509" s="410">
        <v>319</v>
      </c>
      <c r="BH509" s="410">
        <v>331</v>
      </c>
      <c r="BI509" s="410">
        <v>303</v>
      </c>
      <c r="BJ509" s="410">
        <v>340</v>
      </c>
      <c r="BK509" s="410">
        <v>362</v>
      </c>
      <c r="BL509" s="410">
        <v>394</v>
      </c>
      <c r="BM509" s="410">
        <v>378</v>
      </c>
      <c r="BN509" s="410">
        <v>423</v>
      </c>
      <c r="BO509" s="410">
        <v>387</v>
      </c>
      <c r="BP509" s="410">
        <v>385</v>
      </c>
      <c r="BQ509" s="410">
        <v>419</v>
      </c>
      <c r="BR509" s="410">
        <v>416</v>
      </c>
      <c r="BS509" s="410">
        <v>421</v>
      </c>
      <c r="BT509" s="410">
        <v>381</v>
      </c>
      <c r="BU509" s="410">
        <v>405</v>
      </c>
      <c r="BV509" s="410">
        <v>379</v>
      </c>
      <c r="BW509" s="410">
        <v>383</v>
      </c>
      <c r="BX509" s="410">
        <v>405</v>
      </c>
      <c r="BY509" s="410">
        <v>393</v>
      </c>
      <c r="BZ509" s="410">
        <v>324</v>
      </c>
      <c r="CA509" s="410">
        <v>306</v>
      </c>
      <c r="CB509" s="410">
        <v>295</v>
      </c>
      <c r="CC509" s="410">
        <v>323</v>
      </c>
      <c r="CD509" s="410">
        <v>301</v>
      </c>
      <c r="CE509" s="410">
        <v>295</v>
      </c>
      <c r="CF509" s="410">
        <v>300</v>
      </c>
      <c r="CG509" s="410">
        <v>276</v>
      </c>
      <c r="CH509" s="410">
        <v>314</v>
      </c>
      <c r="CI509" s="410">
        <v>295</v>
      </c>
      <c r="CJ509" s="410">
        <v>264</v>
      </c>
      <c r="CK509" s="410">
        <v>208</v>
      </c>
      <c r="CL509" s="410">
        <v>225</v>
      </c>
      <c r="CM509" s="410">
        <v>219</v>
      </c>
      <c r="CN509" s="410">
        <v>190</v>
      </c>
      <c r="CO509" s="410">
        <v>177</v>
      </c>
      <c r="CP509" s="410">
        <v>123</v>
      </c>
      <c r="CQ509" s="410">
        <v>131</v>
      </c>
      <c r="CR509" s="410">
        <v>119</v>
      </c>
      <c r="CS509" s="410">
        <v>109</v>
      </c>
      <c r="CT509" s="410">
        <v>95</v>
      </c>
      <c r="CU509" s="410">
        <v>84</v>
      </c>
      <c r="CV509" s="410">
        <v>76</v>
      </c>
      <c r="CW509" s="410">
        <v>50</v>
      </c>
      <c r="CX509" s="410">
        <v>44</v>
      </c>
      <c r="CY509" s="410">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2">
      <c r="A510" s="31" t="s">
        <v>141</v>
      </c>
      <c r="B510" s="1" t="s">
        <v>600</v>
      </c>
      <c r="C510" s="30" t="str">
        <f t="shared" si="126"/>
        <v>LA Wales - Monmouthshire</v>
      </c>
      <c r="D510" s="51">
        <f t="shared" si="127"/>
        <v>2728</v>
      </c>
      <c r="E510" s="51">
        <f t="shared" si="128"/>
        <v>14677</v>
      </c>
      <c r="F510" s="52">
        <f t="shared" si="129"/>
        <v>93886</v>
      </c>
      <c r="G510" s="52">
        <f t="shared" si="130"/>
        <v>46037</v>
      </c>
      <c r="H510" s="53">
        <f t="shared" si="131"/>
        <v>47849</v>
      </c>
      <c r="I510" s="53">
        <f t="shared" si="132"/>
        <v>37260</v>
      </c>
      <c r="J510" s="53">
        <f t="shared" si="133"/>
        <v>39723</v>
      </c>
      <c r="K510" s="50">
        <f t="shared" si="134"/>
        <v>8777</v>
      </c>
      <c r="L510" s="51">
        <f t="shared" si="135"/>
        <v>8126</v>
      </c>
      <c r="M510" s="410">
        <v>377</v>
      </c>
      <c r="N510" s="410">
        <v>383</v>
      </c>
      <c r="O510" s="410">
        <v>404</v>
      </c>
      <c r="P510" s="410">
        <v>394</v>
      </c>
      <c r="Q510" s="410">
        <v>447</v>
      </c>
      <c r="R510" s="410">
        <v>478</v>
      </c>
      <c r="S510" s="410">
        <v>490</v>
      </c>
      <c r="T510" s="410">
        <v>485</v>
      </c>
      <c r="U510" s="410">
        <v>489</v>
      </c>
      <c r="V510" s="410">
        <v>501</v>
      </c>
      <c r="W510" s="410">
        <v>531</v>
      </c>
      <c r="X510" s="410">
        <v>542</v>
      </c>
      <c r="Y510" s="410">
        <v>515</v>
      </c>
      <c r="Z510" s="410">
        <v>563</v>
      </c>
      <c r="AA510" s="410">
        <v>550</v>
      </c>
      <c r="AB510" s="410">
        <v>559</v>
      </c>
      <c r="AC510" s="410">
        <v>524</v>
      </c>
      <c r="AD510" s="410">
        <v>545</v>
      </c>
      <c r="AE510" s="410">
        <v>490</v>
      </c>
      <c r="AF510" s="410">
        <v>319</v>
      </c>
      <c r="AG510" s="410">
        <v>335</v>
      </c>
      <c r="AH510" s="410">
        <v>372</v>
      </c>
      <c r="AI510" s="410">
        <v>418</v>
      </c>
      <c r="AJ510" s="410">
        <v>441</v>
      </c>
      <c r="AK510" s="410">
        <v>398</v>
      </c>
      <c r="AL510" s="410">
        <v>495</v>
      </c>
      <c r="AM510" s="410">
        <v>449</v>
      </c>
      <c r="AN510" s="410">
        <v>462</v>
      </c>
      <c r="AO510" s="410">
        <v>457</v>
      </c>
      <c r="AP510" s="410">
        <v>442</v>
      </c>
      <c r="AQ510" s="410">
        <v>500</v>
      </c>
      <c r="AR510" s="410">
        <v>537</v>
      </c>
      <c r="AS510" s="410">
        <v>477</v>
      </c>
      <c r="AT510" s="410">
        <v>516</v>
      </c>
      <c r="AU510" s="410">
        <v>453</v>
      </c>
      <c r="AV510" s="410">
        <v>485</v>
      </c>
      <c r="AW510" s="410">
        <v>490</v>
      </c>
      <c r="AX510" s="410">
        <v>484</v>
      </c>
      <c r="AY510" s="410">
        <v>482</v>
      </c>
      <c r="AZ510" s="410">
        <v>486</v>
      </c>
      <c r="BA510" s="410">
        <v>499</v>
      </c>
      <c r="BB510" s="410">
        <v>471</v>
      </c>
      <c r="BC510" s="410">
        <v>509</v>
      </c>
      <c r="BD510" s="410">
        <v>520</v>
      </c>
      <c r="BE510" s="410">
        <v>463</v>
      </c>
      <c r="BF510" s="410">
        <v>519</v>
      </c>
      <c r="BG510" s="410">
        <v>496</v>
      </c>
      <c r="BH510" s="410">
        <v>549</v>
      </c>
      <c r="BI510" s="410">
        <v>538</v>
      </c>
      <c r="BJ510" s="410">
        <v>592</v>
      </c>
      <c r="BK510" s="410">
        <v>667</v>
      </c>
      <c r="BL510" s="410">
        <v>708</v>
      </c>
      <c r="BM510" s="410">
        <v>648</v>
      </c>
      <c r="BN510" s="410">
        <v>693</v>
      </c>
      <c r="BO510" s="410">
        <v>749</v>
      </c>
      <c r="BP510" s="410">
        <v>752</v>
      </c>
      <c r="BQ510" s="410">
        <v>784</v>
      </c>
      <c r="BR510" s="410">
        <v>766</v>
      </c>
      <c r="BS510" s="410">
        <v>756</v>
      </c>
      <c r="BT510" s="410">
        <v>782</v>
      </c>
      <c r="BU510" s="410">
        <v>721</v>
      </c>
      <c r="BV510" s="410">
        <v>717</v>
      </c>
      <c r="BW510" s="410">
        <v>665</v>
      </c>
      <c r="BX510" s="410">
        <v>635</v>
      </c>
      <c r="BY510" s="410">
        <v>685</v>
      </c>
      <c r="BZ510" s="410">
        <v>628</v>
      </c>
      <c r="CA510" s="410">
        <v>575</v>
      </c>
      <c r="CB510" s="410">
        <v>602</v>
      </c>
      <c r="CC510" s="410">
        <v>554</v>
      </c>
      <c r="CD510" s="410">
        <v>603</v>
      </c>
      <c r="CE510" s="410">
        <v>611</v>
      </c>
      <c r="CF510" s="410">
        <v>578</v>
      </c>
      <c r="CG510" s="410">
        <v>625</v>
      </c>
      <c r="CH510" s="410">
        <v>605</v>
      </c>
      <c r="CI510" s="410">
        <v>606</v>
      </c>
      <c r="CJ510" s="410">
        <v>658</v>
      </c>
      <c r="CK510" s="410">
        <v>487</v>
      </c>
      <c r="CL510" s="410">
        <v>470</v>
      </c>
      <c r="CM510" s="410">
        <v>490</v>
      </c>
      <c r="CN510" s="410">
        <v>437</v>
      </c>
      <c r="CO510" s="410">
        <v>368</v>
      </c>
      <c r="CP510" s="410">
        <v>310</v>
      </c>
      <c r="CQ510" s="410">
        <v>342</v>
      </c>
      <c r="CR510" s="410">
        <v>275</v>
      </c>
      <c r="CS510" s="410">
        <v>241</v>
      </c>
      <c r="CT510" s="410">
        <v>224</v>
      </c>
      <c r="CU510" s="410">
        <v>217</v>
      </c>
      <c r="CV510" s="410">
        <v>168</v>
      </c>
      <c r="CW510" s="410">
        <v>170</v>
      </c>
      <c r="CX510" s="410">
        <v>145</v>
      </c>
      <c r="CY510" s="410">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2">
      <c r="A511" s="31" t="s">
        <v>141</v>
      </c>
      <c r="B511" s="1" t="s">
        <v>601</v>
      </c>
      <c r="C511" s="30" t="str">
        <f t="shared" si="126"/>
        <v>LA Wales - Neath Port Talbot</v>
      </c>
      <c r="D511" s="51">
        <f t="shared" si="127"/>
        <v>4325</v>
      </c>
      <c r="E511" s="51">
        <f t="shared" si="128"/>
        <v>20285</v>
      </c>
      <c r="F511" s="52">
        <f t="shared" si="129"/>
        <v>142158</v>
      </c>
      <c r="G511" s="52">
        <f t="shared" si="130"/>
        <v>69635</v>
      </c>
      <c r="H511" s="53">
        <f t="shared" si="131"/>
        <v>72523</v>
      </c>
      <c r="I511" s="53">
        <f t="shared" si="132"/>
        <v>55265</v>
      </c>
      <c r="J511" s="53">
        <f t="shared" si="133"/>
        <v>58732</v>
      </c>
      <c r="K511" s="50">
        <f t="shared" si="134"/>
        <v>14370</v>
      </c>
      <c r="L511" s="51">
        <f t="shared" si="135"/>
        <v>13791</v>
      </c>
      <c r="M511" s="410">
        <v>636</v>
      </c>
      <c r="N511" s="410">
        <v>642</v>
      </c>
      <c r="O511" s="410">
        <v>647</v>
      </c>
      <c r="P511" s="410">
        <v>707</v>
      </c>
      <c r="Q511" s="410">
        <v>762</v>
      </c>
      <c r="R511" s="410">
        <v>761</v>
      </c>
      <c r="S511" s="410">
        <v>825</v>
      </c>
      <c r="T511" s="410">
        <v>811</v>
      </c>
      <c r="U511" s="410">
        <v>818</v>
      </c>
      <c r="V511" s="410">
        <v>783</v>
      </c>
      <c r="W511" s="410">
        <v>915</v>
      </c>
      <c r="X511" s="410">
        <v>922</v>
      </c>
      <c r="Y511" s="410">
        <v>869</v>
      </c>
      <c r="Z511" s="410">
        <v>864</v>
      </c>
      <c r="AA511" s="410">
        <v>873</v>
      </c>
      <c r="AB511" s="410">
        <v>854</v>
      </c>
      <c r="AC511" s="410">
        <v>858</v>
      </c>
      <c r="AD511" s="410">
        <v>823</v>
      </c>
      <c r="AE511" s="410">
        <v>958</v>
      </c>
      <c r="AF511" s="410">
        <v>1502</v>
      </c>
      <c r="AG511" s="410">
        <v>878</v>
      </c>
      <c r="AH511" s="410">
        <v>667</v>
      </c>
      <c r="AI511" s="410">
        <v>607</v>
      </c>
      <c r="AJ511" s="410">
        <v>701</v>
      </c>
      <c r="AK511" s="410">
        <v>688</v>
      </c>
      <c r="AL511" s="410">
        <v>776</v>
      </c>
      <c r="AM511" s="410">
        <v>789</v>
      </c>
      <c r="AN511" s="410">
        <v>806</v>
      </c>
      <c r="AO511" s="410">
        <v>797</v>
      </c>
      <c r="AP511" s="410">
        <v>829</v>
      </c>
      <c r="AQ511" s="410">
        <v>904</v>
      </c>
      <c r="AR511" s="410">
        <v>851</v>
      </c>
      <c r="AS511" s="410">
        <v>855</v>
      </c>
      <c r="AT511" s="410">
        <v>855</v>
      </c>
      <c r="AU511" s="410">
        <v>825</v>
      </c>
      <c r="AV511" s="410">
        <v>845</v>
      </c>
      <c r="AW511" s="410">
        <v>903</v>
      </c>
      <c r="AX511" s="410">
        <v>859</v>
      </c>
      <c r="AY511" s="410">
        <v>868</v>
      </c>
      <c r="AZ511" s="410">
        <v>830</v>
      </c>
      <c r="BA511" s="410">
        <v>830</v>
      </c>
      <c r="BB511" s="410">
        <v>850</v>
      </c>
      <c r="BC511" s="410">
        <v>826</v>
      </c>
      <c r="BD511" s="410">
        <v>853</v>
      </c>
      <c r="BE511" s="410">
        <v>809</v>
      </c>
      <c r="BF511" s="410">
        <v>756</v>
      </c>
      <c r="BG511" s="410">
        <v>746</v>
      </c>
      <c r="BH511" s="410">
        <v>825</v>
      </c>
      <c r="BI511" s="410">
        <v>777</v>
      </c>
      <c r="BJ511" s="410">
        <v>849</v>
      </c>
      <c r="BK511" s="410">
        <v>862</v>
      </c>
      <c r="BL511" s="410">
        <v>954</v>
      </c>
      <c r="BM511" s="410">
        <v>904</v>
      </c>
      <c r="BN511" s="410">
        <v>948</v>
      </c>
      <c r="BO511" s="410">
        <v>1003</v>
      </c>
      <c r="BP511" s="410">
        <v>945</v>
      </c>
      <c r="BQ511" s="410">
        <v>984</v>
      </c>
      <c r="BR511" s="410">
        <v>991</v>
      </c>
      <c r="BS511" s="410">
        <v>1043</v>
      </c>
      <c r="BT511" s="410">
        <v>992</v>
      </c>
      <c r="BU511" s="410">
        <v>975</v>
      </c>
      <c r="BV511" s="410">
        <v>943</v>
      </c>
      <c r="BW511" s="410">
        <v>960</v>
      </c>
      <c r="BX511" s="410">
        <v>888</v>
      </c>
      <c r="BY511" s="410">
        <v>1006</v>
      </c>
      <c r="BZ511" s="410">
        <v>870</v>
      </c>
      <c r="CA511" s="410">
        <v>796</v>
      </c>
      <c r="CB511" s="410">
        <v>802</v>
      </c>
      <c r="CC511" s="410">
        <v>793</v>
      </c>
      <c r="CD511" s="410">
        <v>815</v>
      </c>
      <c r="CE511" s="410">
        <v>772</v>
      </c>
      <c r="CF511" s="410">
        <v>725</v>
      </c>
      <c r="CG511" s="410">
        <v>778</v>
      </c>
      <c r="CH511" s="410">
        <v>746</v>
      </c>
      <c r="CI511" s="410">
        <v>847</v>
      </c>
      <c r="CJ511" s="410">
        <v>799</v>
      </c>
      <c r="CK511" s="410">
        <v>579</v>
      </c>
      <c r="CL511" s="410">
        <v>577</v>
      </c>
      <c r="CM511" s="410">
        <v>556</v>
      </c>
      <c r="CN511" s="410">
        <v>505</v>
      </c>
      <c r="CO511" s="410">
        <v>452</v>
      </c>
      <c r="CP511" s="410">
        <v>360</v>
      </c>
      <c r="CQ511" s="410">
        <v>384</v>
      </c>
      <c r="CR511" s="410">
        <v>318</v>
      </c>
      <c r="CS511" s="410">
        <v>294</v>
      </c>
      <c r="CT511" s="410">
        <v>260</v>
      </c>
      <c r="CU511" s="410">
        <v>226</v>
      </c>
      <c r="CV511" s="410">
        <v>183</v>
      </c>
      <c r="CW511" s="410">
        <v>177</v>
      </c>
      <c r="CX511" s="410">
        <v>127</v>
      </c>
      <c r="CY511" s="410">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2">
      <c r="A512" s="31" t="s">
        <v>141</v>
      </c>
      <c r="B512" s="1" t="s">
        <v>602</v>
      </c>
      <c r="C512" s="30" t="str">
        <f t="shared" si="126"/>
        <v>LA Wales - Newport</v>
      </c>
      <c r="D512" s="51">
        <f t="shared" si="127"/>
        <v>5213</v>
      </c>
      <c r="E512" s="51">
        <f t="shared" si="128"/>
        <v>21192</v>
      </c>
      <c r="F512" s="52">
        <f t="shared" si="129"/>
        <v>161506</v>
      </c>
      <c r="G512" s="52">
        <f t="shared" si="130"/>
        <v>79686</v>
      </c>
      <c r="H512" s="53">
        <f t="shared" si="131"/>
        <v>81820</v>
      </c>
      <c r="I512" s="53">
        <f t="shared" si="132"/>
        <v>61039</v>
      </c>
      <c r="J512" s="53">
        <f t="shared" si="133"/>
        <v>63918</v>
      </c>
      <c r="K512" s="50">
        <f t="shared" si="134"/>
        <v>18647</v>
      </c>
      <c r="L512" s="51">
        <f t="shared" si="135"/>
        <v>17902</v>
      </c>
      <c r="M512" s="410">
        <v>1002</v>
      </c>
      <c r="N512" s="410">
        <v>958</v>
      </c>
      <c r="O512" s="410">
        <v>993</v>
      </c>
      <c r="P512" s="410">
        <v>1033</v>
      </c>
      <c r="Q512" s="410">
        <v>1002</v>
      </c>
      <c r="R512" s="410">
        <v>1014</v>
      </c>
      <c r="S512" s="410">
        <v>1196</v>
      </c>
      <c r="T512" s="410">
        <v>1083</v>
      </c>
      <c r="U512" s="410">
        <v>1043</v>
      </c>
      <c r="V512" s="410">
        <v>1089</v>
      </c>
      <c r="W512" s="410">
        <v>1039</v>
      </c>
      <c r="X512" s="410">
        <v>1059</v>
      </c>
      <c r="Y512" s="410">
        <v>1048</v>
      </c>
      <c r="Z512" s="410">
        <v>1123</v>
      </c>
      <c r="AA512" s="410">
        <v>1128</v>
      </c>
      <c r="AB512" s="410">
        <v>945</v>
      </c>
      <c r="AC512" s="410">
        <v>940</v>
      </c>
      <c r="AD512" s="410">
        <v>952</v>
      </c>
      <c r="AE512" s="410">
        <v>969</v>
      </c>
      <c r="AF512" s="410">
        <v>782</v>
      </c>
      <c r="AG512" s="410">
        <v>699</v>
      </c>
      <c r="AH512" s="410">
        <v>774</v>
      </c>
      <c r="AI512" s="410">
        <v>881</v>
      </c>
      <c r="AJ512" s="410">
        <v>985</v>
      </c>
      <c r="AK512" s="410">
        <v>959</v>
      </c>
      <c r="AL512" s="410">
        <v>1027</v>
      </c>
      <c r="AM512" s="410">
        <v>1005</v>
      </c>
      <c r="AN512" s="410">
        <v>1020</v>
      </c>
      <c r="AO512" s="410">
        <v>1076</v>
      </c>
      <c r="AP512" s="410">
        <v>1245</v>
      </c>
      <c r="AQ512" s="410">
        <v>1220</v>
      </c>
      <c r="AR512" s="410">
        <v>1265</v>
      </c>
      <c r="AS512" s="410">
        <v>1169</v>
      </c>
      <c r="AT512" s="410">
        <v>1279</v>
      </c>
      <c r="AU512" s="410">
        <v>1332</v>
      </c>
      <c r="AV512" s="410">
        <v>1215</v>
      </c>
      <c r="AW512" s="410">
        <v>1185</v>
      </c>
      <c r="AX512" s="410">
        <v>1259</v>
      </c>
      <c r="AY512" s="410">
        <v>1143</v>
      </c>
      <c r="AZ512" s="410">
        <v>1017</v>
      </c>
      <c r="BA512" s="410">
        <v>1038</v>
      </c>
      <c r="BB512" s="410">
        <v>1044</v>
      </c>
      <c r="BC512" s="410">
        <v>1120</v>
      </c>
      <c r="BD512" s="410">
        <v>1055</v>
      </c>
      <c r="BE512" s="410">
        <v>942</v>
      </c>
      <c r="BF512" s="410">
        <v>907</v>
      </c>
      <c r="BG512" s="410">
        <v>917</v>
      </c>
      <c r="BH512" s="410">
        <v>953</v>
      </c>
      <c r="BI512" s="410">
        <v>944</v>
      </c>
      <c r="BJ512" s="410">
        <v>996</v>
      </c>
      <c r="BK512" s="410">
        <v>980</v>
      </c>
      <c r="BL512" s="410">
        <v>1095</v>
      </c>
      <c r="BM512" s="410">
        <v>1067</v>
      </c>
      <c r="BN512" s="410">
        <v>1100</v>
      </c>
      <c r="BO512" s="410">
        <v>948</v>
      </c>
      <c r="BP512" s="410">
        <v>1070</v>
      </c>
      <c r="BQ512" s="410">
        <v>1067</v>
      </c>
      <c r="BR512" s="410">
        <v>1053</v>
      </c>
      <c r="BS512" s="410">
        <v>1041</v>
      </c>
      <c r="BT512" s="410">
        <v>1021</v>
      </c>
      <c r="BU512" s="410">
        <v>935</v>
      </c>
      <c r="BV512" s="410">
        <v>982</v>
      </c>
      <c r="BW512" s="410">
        <v>893</v>
      </c>
      <c r="BX512" s="410">
        <v>964</v>
      </c>
      <c r="BY512" s="410">
        <v>829</v>
      </c>
      <c r="BZ512" s="410">
        <v>800</v>
      </c>
      <c r="CA512" s="410">
        <v>680</v>
      </c>
      <c r="CB512" s="410">
        <v>675</v>
      </c>
      <c r="CC512" s="410">
        <v>724</v>
      </c>
      <c r="CD512" s="410">
        <v>751</v>
      </c>
      <c r="CE512" s="410">
        <v>678</v>
      </c>
      <c r="CF512" s="410">
        <v>607</v>
      </c>
      <c r="CG512" s="410">
        <v>654</v>
      </c>
      <c r="CH512" s="410">
        <v>620</v>
      </c>
      <c r="CI512" s="410">
        <v>701</v>
      </c>
      <c r="CJ512" s="410">
        <v>753</v>
      </c>
      <c r="CK512" s="410">
        <v>517</v>
      </c>
      <c r="CL512" s="410">
        <v>519</v>
      </c>
      <c r="CM512" s="410">
        <v>492</v>
      </c>
      <c r="CN512" s="410">
        <v>470</v>
      </c>
      <c r="CO512" s="410">
        <v>374</v>
      </c>
      <c r="CP512" s="410">
        <v>319</v>
      </c>
      <c r="CQ512" s="410">
        <v>324</v>
      </c>
      <c r="CR512" s="410">
        <v>314</v>
      </c>
      <c r="CS512" s="410">
        <v>256</v>
      </c>
      <c r="CT512" s="410">
        <v>240</v>
      </c>
      <c r="CU512" s="410">
        <v>230</v>
      </c>
      <c r="CV512" s="410">
        <v>172</v>
      </c>
      <c r="CW512" s="410">
        <v>142</v>
      </c>
      <c r="CX512" s="410">
        <v>117</v>
      </c>
      <c r="CY512" s="410">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2">
      <c r="A513" s="31" t="s">
        <v>141</v>
      </c>
      <c r="B513" s="1" t="s">
        <v>603</v>
      </c>
      <c r="C513" s="30" t="str">
        <f t="shared" si="126"/>
        <v>LA Wales - Pembrokeshire</v>
      </c>
      <c r="D513" s="51">
        <f t="shared" si="127"/>
        <v>3326</v>
      </c>
      <c r="E513" s="51">
        <f t="shared" si="128"/>
        <v>18761</v>
      </c>
      <c r="F513" s="52">
        <f t="shared" si="129"/>
        <v>124367</v>
      </c>
      <c r="G513" s="52">
        <f t="shared" si="130"/>
        <v>60607</v>
      </c>
      <c r="H513" s="53">
        <f t="shared" si="131"/>
        <v>63760</v>
      </c>
      <c r="I513" s="53">
        <f t="shared" si="132"/>
        <v>48508</v>
      </c>
      <c r="J513" s="53">
        <f t="shared" si="133"/>
        <v>52320</v>
      </c>
      <c r="K513" s="50">
        <f t="shared" si="134"/>
        <v>12099</v>
      </c>
      <c r="L513" s="51">
        <f t="shared" si="135"/>
        <v>11440</v>
      </c>
      <c r="M513" s="410">
        <v>547</v>
      </c>
      <c r="N513" s="410">
        <v>541</v>
      </c>
      <c r="O513" s="410">
        <v>560</v>
      </c>
      <c r="P513" s="410">
        <v>587</v>
      </c>
      <c r="Q513" s="410">
        <v>646</v>
      </c>
      <c r="R513" s="410">
        <v>630</v>
      </c>
      <c r="S513" s="410">
        <v>657</v>
      </c>
      <c r="T513" s="410">
        <v>695</v>
      </c>
      <c r="U513" s="410">
        <v>700</v>
      </c>
      <c r="V513" s="410">
        <v>693</v>
      </c>
      <c r="W513" s="410">
        <v>704</v>
      </c>
      <c r="X513" s="410">
        <v>745</v>
      </c>
      <c r="Y513" s="410">
        <v>723</v>
      </c>
      <c r="Z513" s="410">
        <v>691</v>
      </c>
      <c r="AA513" s="410">
        <v>785</v>
      </c>
      <c r="AB513" s="410">
        <v>690</v>
      </c>
      <c r="AC513" s="410">
        <v>779</v>
      </c>
      <c r="AD513" s="410">
        <v>726</v>
      </c>
      <c r="AE513" s="410">
        <v>659</v>
      </c>
      <c r="AF513" s="410">
        <v>545</v>
      </c>
      <c r="AG513" s="410">
        <v>505</v>
      </c>
      <c r="AH513" s="410">
        <v>573</v>
      </c>
      <c r="AI513" s="410">
        <v>608</v>
      </c>
      <c r="AJ513" s="410">
        <v>603</v>
      </c>
      <c r="AK513" s="410">
        <v>650</v>
      </c>
      <c r="AL513" s="410">
        <v>681</v>
      </c>
      <c r="AM513" s="410">
        <v>604</v>
      </c>
      <c r="AN513" s="410">
        <v>539</v>
      </c>
      <c r="AO513" s="410">
        <v>615</v>
      </c>
      <c r="AP513" s="410">
        <v>649</v>
      </c>
      <c r="AQ513" s="410">
        <v>715</v>
      </c>
      <c r="AR513" s="410">
        <v>687</v>
      </c>
      <c r="AS513" s="410">
        <v>631</v>
      </c>
      <c r="AT513" s="410">
        <v>601</v>
      </c>
      <c r="AU513" s="410">
        <v>686</v>
      </c>
      <c r="AV513" s="410">
        <v>659</v>
      </c>
      <c r="AW513" s="410">
        <v>623</v>
      </c>
      <c r="AX513" s="410">
        <v>623</v>
      </c>
      <c r="AY513" s="410">
        <v>614</v>
      </c>
      <c r="AZ513" s="410">
        <v>608</v>
      </c>
      <c r="BA513" s="410">
        <v>609</v>
      </c>
      <c r="BB513" s="410">
        <v>629</v>
      </c>
      <c r="BC513" s="410">
        <v>647</v>
      </c>
      <c r="BD513" s="410">
        <v>626</v>
      </c>
      <c r="BE513" s="410">
        <v>583</v>
      </c>
      <c r="BF513" s="410">
        <v>542</v>
      </c>
      <c r="BG513" s="410">
        <v>580</v>
      </c>
      <c r="BH513" s="410">
        <v>603</v>
      </c>
      <c r="BI513" s="410">
        <v>639</v>
      </c>
      <c r="BJ513" s="410">
        <v>703</v>
      </c>
      <c r="BK513" s="410">
        <v>754</v>
      </c>
      <c r="BL513" s="410">
        <v>757</v>
      </c>
      <c r="BM513" s="410">
        <v>818</v>
      </c>
      <c r="BN513" s="410">
        <v>808</v>
      </c>
      <c r="BO513" s="410">
        <v>855</v>
      </c>
      <c r="BP513" s="410">
        <v>905</v>
      </c>
      <c r="BQ513" s="410">
        <v>926</v>
      </c>
      <c r="BR513" s="410">
        <v>915</v>
      </c>
      <c r="BS513" s="410">
        <v>887</v>
      </c>
      <c r="BT513" s="410">
        <v>1009</v>
      </c>
      <c r="BU513" s="410">
        <v>967</v>
      </c>
      <c r="BV513" s="410">
        <v>914</v>
      </c>
      <c r="BW513" s="410">
        <v>904</v>
      </c>
      <c r="BX513" s="410">
        <v>952</v>
      </c>
      <c r="BY513" s="410">
        <v>893</v>
      </c>
      <c r="BZ513" s="410">
        <v>866</v>
      </c>
      <c r="CA513" s="410">
        <v>855</v>
      </c>
      <c r="CB513" s="410">
        <v>857</v>
      </c>
      <c r="CC513" s="410">
        <v>882</v>
      </c>
      <c r="CD513" s="410">
        <v>875</v>
      </c>
      <c r="CE513" s="410">
        <v>807</v>
      </c>
      <c r="CF513" s="410">
        <v>838</v>
      </c>
      <c r="CG513" s="410">
        <v>832</v>
      </c>
      <c r="CH513" s="410">
        <v>800</v>
      </c>
      <c r="CI513" s="410">
        <v>838</v>
      </c>
      <c r="CJ513" s="410">
        <v>882</v>
      </c>
      <c r="CK513" s="410">
        <v>614</v>
      </c>
      <c r="CL513" s="410">
        <v>659</v>
      </c>
      <c r="CM513" s="410">
        <v>627</v>
      </c>
      <c r="CN513" s="410">
        <v>545</v>
      </c>
      <c r="CO513" s="410">
        <v>490</v>
      </c>
      <c r="CP513" s="410">
        <v>469</v>
      </c>
      <c r="CQ513" s="410">
        <v>418</v>
      </c>
      <c r="CR513" s="410">
        <v>376</v>
      </c>
      <c r="CS513" s="410">
        <v>328</v>
      </c>
      <c r="CT513" s="410">
        <v>268</v>
      </c>
      <c r="CU513" s="410">
        <v>254</v>
      </c>
      <c r="CV513" s="410">
        <v>224</v>
      </c>
      <c r="CW513" s="410">
        <v>142</v>
      </c>
      <c r="CX513" s="410">
        <v>181</v>
      </c>
      <c r="CY513" s="410">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2">
      <c r="A514" s="31" t="s">
        <v>141</v>
      </c>
      <c r="B514" s="1" t="s">
        <v>604</v>
      </c>
      <c r="C514" s="30" t="str">
        <f t="shared" si="126"/>
        <v>LA Wales - Powys</v>
      </c>
      <c r="D514" s="51">
        <f t="shared" si="127"/>
        <v>3376</v>
      </c>
      <c r="E514" s="51">
        <f t="shared" si="128"/>
        <v>20792</v>
      </c>
      <c r="F514" s="52">
        <f>G514+H514</f>
        <v>133891</v>
      </c>
      <c r="G514" s="52">
        <f>SUM(M514:CY514)</f>
        <v>66153</v>
      </c>
      <c r="H514" s="53">
        <f>SUM(CZ514:GL514)</f>
        <v>67738</v>
      </c>
      <c r="I514" s="53">
        <f>SUM(AE514:CY514)</f>
        <v>53985</v>
      </c>
      <c r="J514" s="53">
        <f>SUM(DR514:GL514)</f>
        <v>56355</v>
      </c>
      <c r="K514" s="50">
        <f>SUM(M514:AD514)</f>
        <v>12168</v>
      </c>
      <c r="L514" s="51">
        <f>SUM(CZ514:DQ514)</f>
        <v>11383</v>
      </c>
      <c r="M514" s="410">
        <v>542</v>
      </c>
      <c r="N514" s="410">
        <v>558</v>
      </c>
      <c r="O514" s="410">
        <v>557</v>
      </c>
      <c r="P514" s="410">
        <v>623</v>
      </c>
      <c r="Q514" s="410">
        <v>680</v>
      </c>
      <c r="R514" s="410">
        <v>640</v>
      </c>
      <c r="S514" s="410">
        <v>636</v>
      </c>
      <c r="T514" s="410">
        <v>702</v>
      </c>
      <c r="U514" s="410">
        <v>710</v>
      </c>
      <c r="V514" s="410">
        <v>708</v>
      </c>
      <c r="W514" s="410">
        <v>684</v>
      </c>
      <c r="X514" s="410">
        <v>699</v>
      </c>
      <c r="Y514" s="410">
        <v>687</v>
      </c>
      <c r="Z514" s="410">
        <v>724</v>
      </c>
      <c r="AA514" s="410">
        <v>813</v>
      </c>
      <c r="AB514" s="410">
        <v>726</v>
      </c>
      <c r="AC514" s="410">
        <v>720</v>
      </c>
      <c r="AD514" s="410">
        <v>759</v>
      </c>
      <c r="AE514" s="410">
        <v>677</v>
      </c>
      <c r="AF514" s="410">
        <v>546</v>
      </c>
      <c r="AG514" s="410">
        <v>497</v>
      </c>
      <c r="AH514" s="410">
        <v>540</v>
      </c>
      <c r="AI514" s="410">
        <v>576</v>
      </c>
      <c r="AJ514" s="410">
        <v>708</v>
      </c>
      <c r="AK514" s="410">
        <v>659</v>
      </c>
      <c r="AL514" s="410">
        <v>640</v>
      </c>
      <c r="AM514" s="410">
        <v>700</v>
      </c>
      <c r="AN514" s="410">
        <v>643</v>
      </c>
      <c r="AO514" s="410">
        <v>676</v>
      </c>
      <c r="AP514" s="410">
        <v>655</v>
      </c>
      <c r="AQ514" s="410">
        <v>689</v>
      </c>
      <c r="AR514" s="410">
        <v>681</v>
      </c>
      <c r="AS514" s="410">
        <v>678</v>
      </c>
      <c r="AT514" s="410">
        <v>691</v>
      </c>
      <c r="AU514" s="410">
        <v>706</v>
      </c>
      <c r="AV514" s="410">
        <v>621</v>
      </c>
      <c r="AW514" s="410">
        <v>641</v>
      </c>
      <c r="AX514" s="410">
        <v>683</v>
      </c>
      <c r="AY514" s="410">
        <v>629</v>
      </c>
      <c r="AZ514" s="410">
        <v>628</v>
      </c>
      <c r="BA514" s="410">
        <v>668</v>
      </c>
      <c r="BB514" s="410">
        <v>643</v>
      </c>
      <c r="BC514" s="410">
        <v>674</v>
      </c>
      <c r="BD514" s="410">
        <v>652</v>
      </c>
      <c r="BE514" s="410">
        <v>622</v>
      </c>
      <c r="BF514" s="410">
        <v>638</v>
      </c>
      <c r="BG514" s="410">
        <v>646</v>
      </c>
      <c r="BH514" s="410">
        <v>721</v>
      </c>
      <c r="BI514" s="410">
        <v>733</v>
      </c>
      <c r="BJ514" s="410">
        <v>732</v>
      </c>
      <c r="BK514" s="410">
        <v>904</v>
      </c>
      <c r="BL514" s="410">
        <v>916</v>
      </c>
      <c r="BM514" s="410">
        <v>874</v>
      </c>
      <c r="BN514" s="410">
        <v>967</v>
      </c>
      <c r="BO514" s="410">
        <v>918</v>
      </c>
      <c r="BP514" s="410">
        <v>1049</v>
      </c>
      <c r="BQ514" s="410">
        <v>1027</v>
      </c>
      <c r="BR514" s="410">
        <v>1085</v>
      </c>
      <c r="BS514" s="410">
        <v>1055</v>
      </c>
      <c r="BT514" s="410">
        <v>1079</v>
      </c>
      <c r="BU514" s="410">
        <v>1083</v>
      </c>
      <c r="BV514" s="410">
        <v>1072</v>
      </c>
      <c r="BW514" s="410">
        <v>1062</v>
      </c>
      <c r="BX514" s="410">
        <v>1068</v>
      </c>
      <c r="BY514" s="410">
        <v>970</v>
      </c>
      <c r="BZ514" s="410">
        <v>1004</v>
      </c>
      <c r="CA514" s="410">
        <v>1048</v>
      </c>
      <c r="CB514" s="410">
        <v>920</v>
      </c>
      <c r="CC514" s="410">
        <v>981</v>
      </c>
      <c r="CD514" s="410">
        <v>986</v>
      </c>
      <c r="CE514" s="410">
        <v>946</v>
      </c>
      <c r="CF514" s="410">
        <v>909</v>
      </c>
      <c r="CG514" s="410">
        <v>957</v>
      </c>
      <c r="CH514" s="410">
        <v>966</v>
      </c>
      <c r="CI514" s="410">
        <v>1053</v>
      </c>
      <c r="CJ514" s="410">
        <v>1016</v>
      </c>
      <c r="CK514" s="410">
        <v>762</v>
      </c>
      <c r="CL514" s="410">
        <v>697</v>
      </c>
      <c r="CM514" s="410">
        <v>815</v>
      </c>
      <c r="CN514" s="410">
        <v>676</v>
      </c>
      <c r="CO514" s="410">
        <v>565</v>
      </c>
      <c r="CP514" s="410">
        <v>480</v>
      </c>
      <c r="CQ514" s="410">
        <v>484</v>
      </c>
      <c r="CR514" s="410">
        <v>421</v>
      </c>
      <c r="CS514" s="410">
        <v>402</v>
      </c>
      <c r="CT514" s="410">
        <v>348</v>
      </c>
      <c r="CU514" s="410">
        <v>295</v>
      </c>
      <c r="CV514" s="410">
        <v>283</v>
      </c>
      <c r="CW514" s="410">
        <v>234</v>
      </c>
      <c r="CX514" s="410">
        <v>151</v>
      </c>
      <c r="CY514" s="410">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2">
      <c r="A515" s="31" t="s">
        <v>141</v>
      </c>
      <c r="B515" s="1" t="s">
        <v>605</v>
      </c>
      <c r="C515" s="30" t="str">
        <f t="shared" si="126"/>
        <v>LA Wales - Rhondda Cynon Taf</v>
      </c>
      <c r="D515" s="51">
        <f t="shared" si="127"/>
        <v>7383</v>
      </c>
      <c r="E515" s="51">
        <f t="shared" si="128"/>
        <v>33060</v>
      </c>
      <c r="F515" s="52">
        <f t="shared" si="129"/>
        <v>239018</v>
      </c>
      <c r="G515" s="52">
        <f t="shared" si="130"/>
        <v>117258</v>
      </c>
      <c r="H515" s="53">
        <f t="shared" si="131"/>
        <v>121760</v>
      </c>
      <c r="I515" s="53">
        <f t="shared" si="132"/>
        <v>92142</v>
      </c>
      <c r="J515" s="53">
        <f t="shared" si="133"/>
        <v>97668</v>
      </c>
      <c r="K515" s="50">
        <f t="shared" si="134"/>
        <v>25116</v>
      </c>
      <c r="L515" s="51">
        <f t="shared" si="135"/>
        <v>24092</v>
      </c>
      <c r="M515" s="410">
        <v>1182</v>
      </c>
      <c r="N515" s="410">
        <v>1192</v>
      </c>
      <c r="O515" s="410">
        <v>1246</v>
      </c>
      <c r="P515" s="410">
        <v>1330</v>
      </c>
      <c r="Q515" s="410">
        <v>1390</v>
      </c>
      <c r="R515" s="410">
        <v>1335</v>
      </c>
      <c r="S515" s="410">
        <v>1349</v>
      </c>
      <c r="T515" s="410">
        <v>1424</v>
      </c>
      <c r="U515" s="410">
        <v>1454</v>
      </c>
      <c r="V515" s="410">
        <v>1448</v>
      </c>
      <c r="W515" s="410">
        <v>1470</v>
      </c>
      <c r="X515" s="410">
        <v>1500</v>
      </c>
      <c r="Y515" s="410">
        <v>1414</v>
      </c>
      <c r="Z515" s="410">
        <v>1599</v>
      </c>
      <c r="AA515" s="410">
        <v>1471</v>
      </c>
      <c r="AB515" s="410">
        <v>1487</v>
      </c>
      <c r="AC515" s="410">
        <v>1400</v>
      </c>
      <c r="AD515" s="410">
        <v>1425</v>
      </c>
      <c r="AE515" s="410">
        <v>1383</v>
      </c>
      <c r="AF515" s="410">
        <v>1430</v>
      </c>
      <c r="AG515" s="410">
        <v>1361</v>
      </c>
      <c r="AH515" s="410">
        <v>1470</v>
      </c>
      <c r="AI515" s="410">
        <v>1333</v>
      </c>
      <c r="AJ515" s="410">
        <v>1508</v>
      </c>
      <c r="AK515" s="410">
        <v>1349</v>
      </c>
      <c r="AL515" s="410">
        <v>1510</v>
      </c>
      <c r="AM515" s="410">
        <v>1397</v>
      </c>
      <c r="AN515" s="410">
        <v>1501</v>
      </c>
      <c r="AO515" s="410">
        <v>1440</v>
      </c>
      <c r="AP515" s="410">
        <v>1561</v>
      </c>
      <c r="AQ515" s="410">
        <v>1531</v>
      </c>
      <c r="AR515" s="410">
        <v>1507</v>
      </c>
      <c r="AS515" s="410">
        <v>1666</v>
      </c>
      <c r="AT515" s="410">
        <v>1646</v>
      </c>
      <c r="AU515" s="410">
        <v>1508</v>
      </c>
      <c r="AV515" s="410">
        <v>1576</v>
      </c>
      <c r="AW515" s="410">
        <v>1511</v>
      </c>
      <c r="AX515" s="410">
        <v>1573</v>
      </c>
      <c r="AY515" s="410">
        <v>1526</v>
      </c>
      <c r="AZ515" s="410">
        <v>1487</v>
      </c>
      <c r="BA515" s="410">
        <v>1448</v>
      </c>
      <c r="BB515" s="410">
        <v>1387</v>
      </c>
      <c r="BC515" s="410">
        <v>1473</v>
      </c>
      <c r="BD515" s="410">
        <v>1436</v>
      </c>
      <c r="BE515" s="410">
        <v>1292</v>
      </c>
      <c r="BF515" s="410">
        <v>1234</v>
      </c>
      <c r="BG515" s="410">
        <v>1228</v>
      </c>
      <c r="BH515" s="410">
        <v>1344</v>
      </c>
      <c r="BI515" s="410">
        <v>1265</v>
      </c>
      <c r="BJ515" s="410">
        <v>1525</v>
      </c>
      <c r="BK515" s="410">
        <v>1616</v>
      </c>
      <c r="BL515" s="410">
        <v>1695</v>
      </c>
      <c r="BM515" s="410">
        <v>1558</v>
      </c>
      <c r="BN515" s="410">
        <v>1611</v>
      </c>
      <c r="BO515" s="410">
        <v>1667</v>
      </c>
      <c r="BP515" s="410">
        <v>1659</v>
      </c>
      <c r="BQ515" s="410">
        <v>1692</v>
      </c>
      <c r="BR515" s="410">
        <v>1734</v>
      </c>
      <c r="BS515" s="410">
        <v>1649</v>
      </c>
      <c r="BT515" s="410">
        <v>1594</v>
      </c>
      <c r="BU515" s="410">
        <v>1607</v>
      </c>
      <c r="BV515" s="410">
        <v>1496</v>
      </c>
      <c r="BW515" s="410">
        <v>1364</v>
      </c>
      <c r="BX515" s="410">
        <v>1434</v>
      </c>
      <c r="BY515" s="410">
        <v>1372</v>
      </c>
      <c r="BZ515" s="410">
        <v>1354</v>
      </c>
      <c r="CA515" s="410">
        <v>1261</v>
      </c>
      <c r="CB515" s="410">
        <v>1184</v>
      </c>
      <c r="CC515" s="410">
        <v>1223</v>
      </c>
      <c r="CD515" s="410">
        <v>1163</v>
      </c>
      <c r="CE515" s="410">
        <v>1238</v>
      </c>
      <c r="CF515" s="410">
        <v>1171</v>
      </c>
      <c r="CG515" s="410">
        <v>1232</v>
      </c>
      <c r="CH515" s="410">
        <v>1244</v>
      </c>
      <c r="CI515" s="410">
        <v>1280</v>
      </c>
      <c r="CJ515" s="410">
        <v>1272</v>
      </c>
      <c r="CK515" s="410">
        <v>1071</v>
      </c>
      <c r="CL515" s="410">
        <v>988</v>
      </c>
      <c r="CM515" s="410">
        <v>843</v>
      </c>
      <c r="CN515" s="410">
        <v>708</v>
      </c>
      <c r="CO515" s="410">
        <v>680</v>
      </c>
      <c r="CP515" s="410">
        <v>591</v>
      </c>
      <c r="CQ515" s="410">
        <v>536</v>
      </c>
      <c r="CR515" s="410">
        <v>480</v>
      </c>
      <c r="CS515" s="410">
        <v>454</v>
      </c>
      <c r="CT515" s="410">
        <v>366</v>
      </c>
      <c r="CU515" s="410">
        <v>342</v>
      </c>
      <c r="CV515" s="410">
        <v>288</v>
      </c>
      <c r="CW515" s="410">
        <v>231</v>
      </c>
      <c r="CX515" s="410">
        <v>183</v>
      </c>
      <c r="CY515" s="410">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2">
      <c r="A516" s="31" t="s">
        <v>141</v>
      </c>
      <c r="B516" s="1" t="s">
        <v>606</v>
      </c>
      <c r="C516" s="30" t="str">
        <f t="shared" si="126"/>
        <v>LA Wales - Swansea</v>
      </c>
      <c r="D516" s="51">
        <f t="shared" si="127"/>
        <v>7399</v>
      </c>
      <c r="E516" s="51">
        <f t="shared" si="128"/>
        <v>32037</v>
      </c>
      <c r="F516" s="52">
        <f t="shared" si="129"/>
        <v>241282</v>
      </c>
      <c r="G516" s="52">
        <f t="shared" si="130"/>
        <v>119485</v>
      </c>
      <c r="H516" s="53">
        <f t="shared" si="131"/>
        <v>121797</v>
      </c>
      <c r="I516" s="53">
        <f t="shared" si="132"/>
        <v>95345</v>
      </c>
      <c r="J516" s="53">
        <f t="shared" si="133"/>
        <v>99468</v>
      </c>
      <c r="K516" s="50">
        <f t="shared" si="134"/>
        <v>24140</v>
      </c>
      <c r="L516" s="51">
        <f t="shared" si="135"/>
        <v>22329</v>
      </c>
      <c r="M516" s="410">
        <v>1134</v>
      </c>
      <c r="N516" s="410">
        <v>1063</v>
      </c>
      <c r="O516" s="410">
        <v>1133</v>
      </c>
      <c r="P516" s="410">
        <v>1224</v>
      </c>
      <c r="Q516" s="410">
        <v>1266</v>
      </c>
      <c r="R516" s="410">
        <v>1252</v>
      </c>
      <c r="S516" s="410">
        <v>1374</v>
      </c>
      <c r="T516" s="410">
        <v>1363</v>
      </c>
      <c r="U516" s="410">
        <v>1342</v>
      </c>
      <c r="V516" s="410">
        <v>1419</v>
      </c>
      <c r="W516" s="410">
        <v>1459</v>
      </c>
      <c r="X516" s="410">
        <v>1510</v>
      </c>
      <c r="Y516" s="410">
        <v>1407</v>
      </c>
      <c r="Z516" s="410">
        <v>1464</v>
      </c>
      <c r="AA516" s="410">
        <v>1527</v>
      </c>
      <c r="AB516" s="410">
        <v>1392</v>
      </c>
      <c r="AC516" s="410">
        <v>1385</v>
      </c>
      <c r="AD516" s="410">
        <v>1426</v>
      </c>
      <c r="AE516" s="410">
        <v>1459</v>
      </c>
      <c r="AF516" s="410">
        <v>1896</v>
      </c>
      <c r="AG516" s="410">
        <v>2522</v>
      </c>
      <c r="AH516" s="410">
        <v>2615</v>
      </c>
      <c r="AI516" s="410">
        <v>2280</v>
      </c>
      <c r="AJ516" s="410">
        <v>1910</v>
      </c>
      <c r="AK516" s="410">
        <v>1501</v>
      </c>
      <c r="AL516" s="410">
        <v>1507</v>
      </c>
      <c r="AM516" s="410">
        <v>1486</v>
      </c>
      <c r="AN516" s="410">
        <v>1351</v>
      </c>
      <c r="AO516" s="410">
        <v>1422</v>
      </c>
      <c r="AP516" s="410">
        <v>1448</v>
      </c>
      <c r="AQ516" s="410">
        <v>1520</v>
      </c>
      <c r="AR516" s="410">
        <v>1551</v>
      </c>
      <c r="AS516" s="410">
        <v>1644</v>
      </c>
      <c r="AT516" s="410">
        <v>1442</v>
      </c>
      <c r="AU516" s="410">
        <v>1501</v>
      </c>
      <c r="AV516" s="410">
        <v>1514</v>
      </c>
      <c r="AW516" s="410">
        <v>1498</v>
      </c>
      <c r="AX516" s="410">
        <v>1597</v>
      </c>
      <c r="AY516" s="410">
        <v>1396</v>
      </c>
      <c r="AZ516" s="410">
        <v>1455</v>
      </c>
      <c r="BA516" s="410">
        <v>1397</v>
      </c>
      <c r="BB516" s="410">
        <v>1417</v>
      </c>
      <c r="BC516" s="410">
        <v>1584</v>
      </c>
      <c r="BD516" s="410">
        <v>1343</v>
      </c>
      <c r="BE516" s="410">
        <v>1273</v>
      </c>
      <c r="BF516" s="410">
        <v>1289</v>
      </c>
      <c r="BG516" s="410">
        <v>1339</v>
      </c>
      <c r="BH516" s="410">
        <v>1379</v>
      </c>
      <c r="BI516" s="410">
        <v>1335</v>
      </c>
      <c r="BJ516" s="410">
        <v>1336</v>
      </c>
      <c r="BK516" s="410">
        <v>1462</v>
      </c>
      <c r="BL516" s="410">
        <v>1510</v>
      </c>
      <c r="BM516" s="410">
        <v>1509</v>
      </c>
      <c r="BN516" s="410">
        <v>1691</v>
      </c>
      <c r="BO516" s="410">
        <v>1552</v>
      </c>
      <c r="BP516" s="410">
        <v>1528</v>
      </c>
      <c r="BQ516" s="410">
        <v>1522</v>
      </c>
      <c r="BR516" s="410">
        <v>1665</v>
      </c>
      <c r="BS516" s="410">
        <v>1640</v>
      </c>
      <c r="BT516" s="410">
        <v>1484</v>
      </c>
      <c r="BU516" s="410">
        <v>1519</v>
      </c>
      <c r="BV516" s="410">
        <v>1456</v>
      </c>
      <c r="BW516" s="410">
        <v>1447</v>
      </c>
      <c r="BX516" s="410">
        <v>1394</v>
      </c>
      <c r="BY516" s="410">
        <v>1349</v>
      </c>
      <c r="BZ516" s="410">
        <v>1273</v>
      </c>
      <c r="CA516" s="410">
        <v>1240</v>
      </c>
      <c r="CB516" s="410">
        <v>1189</v>
      </c>
      <c r="CC516" s="410">
        <v>1181</v>
      </c>
      <c r="CD516" s="410">
        <v>1218</v>
      </c>
      <c r="CE516" s="410">
        <v>1171</v>
      </c>
      <c r="CF516" s="410">
        <v>1093</v>
      </c>
      <c r="CG516" s="410">
        <v>1212</v>
      </c>
      <c r="CH516" s="410">
        <v>1187</v>
      </c>
      <c r="CI516" s="410">
        <v>1233</v>
      </c>
      <c r="CJ516" s="410">
        <v>1340</v>
      </c>
      <c r="CK516" s="410">
        <v>889</v>
      </c>
      <c r="CL516" s="410">
        <v>905</v>
      </c>
      <c r="CM516" s="410">
        <v>899</v>
      </c>
      <c r="CN516" s="410">
        <v>852</v>
      </c>
      <c r="CO516" s="410">
        <v>748</v>
      </c>
      <c r="CP516" s="410">
        <v>612</v>
      </c>
      <c r="CQ516" s="410">
        <v>591</v>
      </c>
      <c r="CR516" s="410">
        <v>524</v>
      </c>
      <c r="CS516" s="410">
        <v>525</v>
      </c>
      <c r="CT516" s="410">
        <v>455</v>
      </c>
      <c r="CU516" s="410">
        <v>393</v>
      </c>
      <c r="CV516" s="410">
        <v>348</v>
      </c>
      <c r="CW516" s="410">
        <v>276</v>
      </c>
      <c r="CX516" s="410">
        <v>244</v>
      </c>
      <c r="CY516" s="410">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2">
      <c r="A517" s="31" t="s">
        <v>141</v>
      </c>
      <c r="B517" s="1" t="s">
        <v>607</v>
      </c>
      <c r="C517" s="30" t="str">
        <f t="shared" si="126"/>
        <v>LA Wales - Torfaen</v>
      </c>
      <c r="D517" s="51">
        <f t="shared" si="127"/>
        <v>2833</v>
      </c>
      <c r="E517" s="51">
        <f t="shared" si="128"/>
        <v>12969</v>
      </c>
      <c r="F517" s="52">
        <f t="shared" si="129"/>
        <v>92860</v>
      </c>
      <c r="G517" s="52">
        <f t="shared" si="130"/>
        <v>45114</v>
      </c>
      <c r="H517" s="53">
        <f t="shared" si="131"/>
        <v>47746</v>
      </c>
      <c r="I517" s="53">
        <f t="shared" si="132"/>
        <v>35074</v>
      </c>
      <c r="J517" s="53">
        <f t="shared" si="133"/>
        <v>38434</v>
      </c>
      <c r="K517" s="50">
        <f t="shared" si="134"/>
        <v>10040</v>
      </c>
      <c r="L517" s="51">
        <f t="shared" si="135"/>
        <v>9312</v>
      </c>
      <c r="M517" s="410">
        <v>514</v>
      </c>
      <c r="N517" s="410">
        <v>466</v>
      </c>
      <c r="O517" s="410">
        <v>537</v>
      </c>
      <c r="P517" s="410">
        <v>540</v>
      </c>
      <c r="Q517" s="410">
        <v>516</v>
      </c>
      <c r="R517" s="410">
        <v>556</v>
      </c>
      <c r="S517" s="410">
        <v>581</v>
      </c>
      <c r="T517" s="410">
        <v>514</v>
      </c>
      <c r="U517" s="410">
        <v>551</v>
      </c>
      <c r="V517" s="410">
        <v>551</v>
      </c>
      <c r="W517" s="410">
        <v>588</v>
      </c>
      <c r="X517" s="410">
        <v>600</v>
      </c>
      <c r="Y517" s="410">
        <v>586</v>
      </c>
      <c r="Z517" s="410">
        <v>625</v>
      </c>
      <c r="AA517" s="410">
        <v>581</v>
      </c>
      <c r="AB517" s="410">
        <v>557</v>
      </c>
      <c r="AC517" s="410">
        <v>592</v>
      </c>
      <c r="AD517" s="410">
        <v>585</v>
      </c>
      <c r="AE517" s="410">
        <v>488</v>
      </c>
      <c r="AF517" s="410">
        <v>425</v>
      </c>
      <c r="AG517" s="410">
        <v>404</v>
      </c>
      <c r="AH517" s="410">
        <v>418</v>
      </c>
      <c r="AI517" s="410">
        <v>438</v>
      </c>
      <c r="AJ517" s="410">
        <v>462</v>
      </c>
      <c r="AK517" s="410">
        <v>507</v>
      </c>
      <c r="AL517" s="410">
        <v>598</v>
      </c>
      <c r="AM517" s="410">
        <v>533</v>
      </c>
      <c r="AN517" s="410">
        <v>576</v>
      </c>
      <c r="AO517" s="410">
        <v>555</v>
      </c>
      <c r="AP517" s="410">
        <v>540</v>
      </c>
      <c r="AQ517" s="410">
        <v>596</v>
      </c>
      <c r="AR517" s="410">
        <v>615</v>
      </c>
      <c r="AS517" s="410">
        <v>622</v>
      </c>
      <c r="AT517" s="410">
        <v>617</v>
      </c>
      <c r="AU517" s="410">
        <v>553</v>
      </c>
      <c r="AV517" s="410">
        <v>586</v>
      </c>
      <c r="AW517" s="410">
        <v>593</v>
      </c>
      <c r="AX517" s="410">
        <v>574</v>
      </c>
      <c r="AY517" s="410">
        <v>532</v>
      </c>
      <c r="AZ517" s="410">
        <v>548</v>
      </c>
      <c r="BA517" s="410">
        <v>555</v>
      </c>
      <c r="BB517" s="410">
        <v>493</v>
      </c>
      <c r="BC517" s="410">
        <v>523</v>
      </c>
      <c r="BD517" s="410">
        <v>539</v>
      </c>
      <c r="BE517" s="410">
        <v>428</v>
      </c>
      <c r="BF517" s="410">
        <v>504</v>
      </c>
      <c r="BG517" s="410">
        <v>432</v>
      </c>
      <c r="BH517" s="410">
        <v>497</v>
      </c>
      <c r="BI517" s="410">
        <v>493</v>
      </c>
      <c r="BJ517" s="410">
        <v>561</v>
      </c>
      <c r="BK517" s="410">
        <v>569</v>
      </c>
      <c r="BL517" s="410">
        <v>636</v>
      </c>
      <c r="BM517" s="410">
        <v>634</v>
      </c>
      <c r="BN517" s="410">
        <v>601</v>
      </c>
      <c r="BO517" s="410">
        <v>597</v>
      </c>
      <c r="BP517" s="410">
        <v>623</v>
      </c>
      <c r="BQ517" s="410">
        <v>631</v>
      </c>
      <c r="BR517" s="410">
        <v>707</v>
      </c>
      <c r="BS517" s="410">
        <v>646</v>
      </c>
      <c r="BT517" s="410">
        <v>672</v>
      </c>
      <c r="BU517" s="410">
        <v>661</v>
      </c>
      <c r="BV517" s="410">
        <v>655</v>
      </c>
      <c r="BW517" s="410">
        <v>574</v>
      </c>
      <c r="BX517" s="410">
        <v>580</v>
      </c>
      <c r="BY517" s="410">
        <v>594</v>
      </c>
      <c r="BZ517" s="410">
        <v>511</v>
      </c>
      <c r="CA517" s="410">
        <v>490</v>
      </c>
      <c r="CB517" s="410">
        <v>470</v>
      </c>
      <c r="CC517" s="410">
        <v>535</v>
      </c>
      <c r="CD517" s="410">
        <v>469</v>
      </c>
      <c r="CE517" s="410">
        <v>488</v>
      </c>
      <c r="CF517" s="410">
        <v>479</v>
      </c>
      <c r="CG517" s="410">
        <v>457</v>
      </c>
      <c r="CH517" s="410">
        <v>484</v>
      </c>
      <c r="CI517" s="410">
        <v>455</v>
      </c>
      <c r="CJ517" s="410">
        <v>541</v>
      </c>
      <c r="CK517" s="410">
        <v>404</v>
      </c>
      <c r="CL517" s="410">
        <v>398</v>
      </c>
      <c r="CM517" s="410">
        <v>348</v>
      </c>
      <c r="CN517" s="410">
        <v>298</v>
      </c>
      <c r="CO517" s="410">
        <v>266</v>
      </c>
      <c r="CP517" s="410">
        <v>246</v>
      </c>
      <c r="CQ517" s="410">
        <v>224</v>
      </c>
      <c r="CR517" s="410">
        <v>223</v>
      </c>
      <c r="CS517" s="410">
        <v>187</v>
      </c>
      <c r="CT517" s="410">
        <v>157</v>
      </c>
      <c r="CU517" s="410">
        <v>143</v>
      </c>
      <c r="CV517" s="410">
        <v>129</v>
      </c>
      <c r="CW517" s="410">
        <v>118</v>
      </c>
      <c r="CX517" s="410">
        <v>110</v>
      </c>
      <c r="CY517" s="410">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2">
      <c r="A518" s="31" t="s">
        <v>141</v>
      </c>
      <c r="B518" s="1" t="s">
        <v>608</v>
      </c>
      <c r="C518" s="30" t="str">
        <f t="shared" si="126"/>
        <v>LA Wales - Vale of Glamorgan</v>
      </c>
      <c r="D518" s="51">
        <f t="shared" si="127"/>
        <v>4449</v>
      </c>
      <c r="E518" s="51">
        <f t="shared" si="128"/>
        <v>19380</v>
      </c>
      <c r="F518" s="52">
        <f t="shared" si="129"/>
        <v>133492</v>
      </c>
      <c r="G518" s="52">
        <f t="shared" si="130"/>
        <v>64368</v>
      </c>
      <c r="H518" s="53">
        <f t="shared" si="131"/>
        <v>69124</v>
      </c>
      <c r="I518" s="53">
        <f t="shared" si="132"/>
        <v>50182</v>
      </c>
      <c r="J518" s="53">
        <f t="shared" si="133"/>
        <v>55461</v>
      </c>
      <c r="K518" s="50">
        <f t="shared" si="134"/>
        <v>14186</v>
      </c>
      <c r="L518" s="51">
        <f t="shared" si="135"/>
        <v>13663</v>
      </c>
      <c r="M518" s="410">
        <v>642</v>
      </c>
      <c r="N518" s="410">
        <v>670</v>
      </c>
      <c r="O518" s="410">
        <v>666</v>
      </c>
      <c r="P518" s="410">
        <v>745</v>
      </c>
      <c r="Q518" s="410">
        <v>708</v>
      </c>
      <c r="R518" s="410">
        <v>814</v>
      </c>
      <c r="S518" s="410">
        <v>772</v>
      </c>
      <c r="T518" s="410">
        <v>756</v>
      </c>
      <c r="U518" s="410">
        <v>790</v>
      </c>
      <c r="V518" s="410">
        <v>869</v>
      </c>
      <c r="W518" s="410">
        <v>878</v>
      </c>
      <c r="X518" s="410">
        <v>861</v>
      </c>
      <c r="Y518" s="410">
        <v>888</v>
      </c>
      <c r="Z518" s="410">
        <v>889</v>
      </c>
      <c r="AA518" s="410">
        <v>863</v>
      </c>
      <c r="AB518" s="410">
        <v>841</v>
      </c>
      <c r="AC518" s="410">
        <v>775</v>
      </c>
      <c r="AD518" s="410">
        <v>759</v>
      </c>
      <c r="AE518" s="410">
        <v>728</v>
      </c>
      <c r="AF518" s="410">
        <v>587</v>
      </c>
      <c r="AG518" s="410">
        <v>503</v>
      </c>
      <c r="AH518" s="410">
        <v>620</v>
      </c>
      <c r="AI518" s="410">
        <v>676</v>
      </c>
      <c r="AJ518" s="410">
        <v>666</v>
      </c>
      <c r="AK518" s="410">
        <v>621</v>
      </c>
      <c r="AL518" s="410">
        <v>702</v>
      </c>
      <c r="AM518" s="410">
        <v>663</v>
      </c>
      <c r="AN518" s="410">
        <v>711</v>
      </c>
      <c r="AO518" s="410">
        <v>738</v>
      </c>
      <c r="AP518" s="410">
        <v>687</v>
      </c>
      <c r="AQ518" s="410">
        <v>701</v>
      </c>
      <c r="AR518" s="410">
        <v>728</v>
      </c>
      <c r="AS518" s="410">
        <v>706</v>
      </c>
      <c r="AT518" s="410">
        <v>774</v>
      </c>
      <c r="AU518" s="410">
        <v>806</v>
      </c>
      <c r="AV518" s="410">
        <v>800</v>
      </c>
      <c r="AW518" s="410">
        <v>846</v>
      </c>
      <c r="AX518" s="410">
        <v>741</v>
      </c>
      <c r="AY518" s="410">
        <v>762</v>
      </c>
      <c r="AZ518" s="410">
        <v>802</v>
      </c>
      <c r="BA518" s="410">
        <v>818</v>
      </c>
      <c r="BB518" s="410">
        <v>893</v>
      </c>
      <c r="BC518" s="410">
        <v>884</v>
      </c>
      <c r="BD518" s="410">
        <v>832</v>
      </c>
      <c r="BE518" s="410">
        <v>669</v>
      </c>
      <c r="BF518" s="410">
        <v>732</v>
      </c>
      <c r="BG518" s="410">
        <v>722</v>
      </c>
      <c r="BH518" s="410">
        <v>807</v>
      </c>
      <c r="BI518" s="410">
        <v>781</v>
      </c>
      <c r="BJ518" s="410">
        <v>815</v>
      </c>
      <c r="BK518" s="410">
        <v>842</v>
      </c>
      <c r="BL518" s="410">
        <v>880</v>
      </c>
      <c r="BM518" s="410">
        <v>853</v>
      </c>
      <c r="BN518" s="410">
        <v>916</v>
      </c>
      <c r="BO518" s="410">
        <v>871</v>
      </c>
      <c r="BP518" s="410">
        <v>920</v>
      </c>
      <c r="BQ518" s="410">
        <v>867</v>
      </c>
      <c r="BR518" s="410">
        <v>906</v>
      </c>
      <c r="BS518" s="410">
        <v>932</v>
      </c>
      <c r="BT518" s="410">
        <v>907</v>
      </c>
      <c r="BU518" s="410">
        <v>934</v>
      </c>
      <c r="BV518" s="410">
        <v>904</v>
      </c>
      <c r="BW518" s="410">
        <v>828</v>
      </c>
      <c r="BX518" s="410">
        <v>857</v>
      </c>
      <c r="BY518" s="410">
        <v>763</v>
      </c>
      <c r="BZ518" s="410">
        <v>786</v>
      </c>
      <c r="CA518" s="410">
        <v>761</v>
      </c>
      <c r="CB518" s="410">
        <v>745</v>
      </c>
      <c r="CC518" s="410">
        <v>753</v>
      </c>
      <c r="CD518" s="410">
        <v>754</v>
      </c>
      <c r="CE518" s="410">
        <v>696</v>
      </c>
      <c r="CF518" s="410">
        <v>706</v>
      </c>
      <c r="CG518" s="410">
        <v>707</v>
      </c>
      <c r="CH518" s="410">
        <v>714</v>
      </c>
      <c r="CI518" s="410">
        <v>737</v>
      </c>
      <c r="CJ518" s="410">
        <v>775</v>
      </c>
      <c r="CK518" s="410">
        <v>562</v>
      </c>
      <c r="CL518" s="410">
        <v>555</v>
      </c>
      <c r="CM518" s="410">
        <v>563</v>
      </c>
      <c r="CN518" s="410">
        <v>468</v>
      </c>
      <c r="CO518" s="410">
        <v>410</v>
      </c>
      <c r="CP518" s="410">
        <v>391</v>
      </c>
      <c r="CQ518" s="410">
        <v>349</v>
      </c>
      <c r="CR518" s="410">
        <v>336</v>
      </c>
      <c r="CS518" s="410">
        <v>307</v>
      </c>
      <c r="CT518" s="410">
        <v>239</v>
      </c>
      <c r="CU518" s="410">
        <v>231</v>
      </c>
      <c r="CV518" s="410">
        <v>180</v>
      </c>
      <c r="CW518" s="410">
        <v>170</v>
      </c>
      <c r="CX518" s="410">
        <v>135</v>
      </c>
      <c r="CY518" s="410">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2">
      <c r="A519" s="31" t="s">
        <v>141</v>
      </c>
      <c r="B519" s="1" t="s">
        <v>609</v>
      </c>
      <c r="C519" s="30" t="str">
        <f t="shared" si="126"/>
        <v>LA Wales - Wrexham</v>
      </c>
      <c r="D519" s="51">
        <f t="shared" si="127"/>
        <v>4164</v>
      </c>
      <c r="E519" s="51">
        <f t="shared" si="128"/>
        <v>19227</v>
      </c>
      <c r="F519" s="52">
        <f t="shared" si="129"/>
        <v>135394</v>
      </c>
      <c r="G519" s="52">
        <f t="shared" si="130"/>
        <v>67012</v>
      </c>
      <c r="H519" s="53">
        <f t="shared" si="131"/>
        <v>68382</v>
      </c>
      <c r="I519" s="53">
        <f t="shared" si="132"/>
        <v>52713</v>
      </c>
      <c r="J519" s="53">
        <f t="shared" si="133"/>
        <v>54756</v>
      </c>
      <c r="K519" s="50">
        <f t="shared" si="134"/>
        <v>14299</v>
      </c>
      <c r="L519" s="51">
        <f t="shared" si="135"/>
        <v>13626</v>
      </c>
      <c r="M519" s="410">
        <v>673</v>
      </c>
      <c r="N519" s="410">
        <v>647</v>
      </c>
      <c r="O519" s="410">
        <v>740</v>
      </c>
      <c r="P519" s="410">
        <v>723</v>
      </c>
      <c r="Q519" s="410">
        <v>730</v>
      </c>
      <c r="R519" s="410">
        <v>761</v>
      </c>
      <c r="S519" s="410">
        <v>793</v>
      </c>
      <c r="T519" s="410">
        <v>761</v>
      </c>
      <c r="U519" s="410">
        <v>814</v>
      </c>
      <c r="V519" s="410">
        <v>862</v>
      </c>
      <c r="W519" s="410">
        <v>831</v>
      </c>
      <c r="X519" s="410">
        <v>858</v>
      </c>
      <c r="Y519" s="410">
        <v>859</v>
      </c>
      <c r="Z519" s="410">
        <v>879</v>
      </c>
      <c r="AA519" s="410">
        <v>845</v>
      </c>
      <c r="AB519" s="410">
        <v>853</v>
      </c>
      <c r="AC519" s="410">
        <v>831</v>
      </c>
      <c r="AD519" s="410">
        <v>839</v>
      </c>
      <c r="AE519" s="410">
        <v>753</v>
      </c>
      <c r="AF519" s="410">
        <v>630</v>
      </c>
      <c r="AG519" s="410">
        <v>619</v>
      </c>
      <c r="AH519" s="410">
        <v>629</v>
      </c>
      <c r="AI519" s="410">
        <v>670</v>
      </c>
      <c r="AJ519" s="410">
        <v>758</v>
      </c>
      <c r="AK519" s="410">
        <v>790</v>
      </c>
      <c r="AL519" s="410">
        <v>832</v>
      </c>
      <c r="AM519" s="410">
        <v>753</v>
      </c>
      <c r="AN519" s="410">
        <v>823</v>
      </c>
      <c r="AO519" s="410">
        <v>819</v>
      </c>
      <c r="AP519" s="410">
        <v>821</v>
      </c>
      <c r="AQ519" s="410">
        <v>786</v>
      </c>
      <c r="AR519" s="410">
        <v>853</v>
      </c>
      <c r="AS519" s="410">
        <v>859</v>
      </c>
      <c r="AT519" s="410">
        <v>835</v>
      </c>
      <c r="AU519" s="410">
        <v>874</v>
      </c>
      <c r="AV519" s="410">
        <v>850</v>
      </c>
      <c r="AW519" s="410">
        <v>902</v>
      </c>
      <c r="AX519" s="410">
        <v>921</v>
      </c>
      <c r="AY519" s="410">
        <v>825</v>
      </c>
      <c r="AZ519" s="410">
        <v>847</v>
      </c>
      <c r="BA519" s="410">
        <v>842</v>
      </c>
      <c r="BB519" s="410">
        <v>901</v>
      </c>
      <c r="BC519" s="410">
        <v>918</v>
      </c>
      <c r="BD519" s="410">
        <v>874</v>
      </c>
      <c r="BE519" s="410">
        <v>746</v>
      </c>
      <c r="BF519" s="410">
        <v>759</v>
      </c>
      <c r="BG519" s="410">
        <v>795</v>
      </c>
      <c r="BH519" s="410">
        <v>790</v>
      </c>
      <c r="BI519" s="410">
        <v>799</v>
      </c>
      <c r="BJ519" s="410">
        <v>915</v>
      </c>
      <c r="BK519" s="410">
        <v>955</v>
      </c>
      <c r="BL519" s="410">
        <v>1013</v>
      </c>
      <c r="BM519" s="410">
        <v>995</v>
      </c>
      <c r="BN519" s="410">
        <v>1003</v>
      </c>
      <c r="BO519" s="410">
        <v>969</v>
      </c>
      <c r="BP519" s="410">
        <v>960</v>
      </c>
      <c r="BQ519" s="410">
        <v>1007</v>
      </c>
      <c r="BR519" s="410">
        <v>986</v>
      </c>
      <c r="BS519" s="410">
        <v>968</v>
      </c>
      <c r="BT519" s="410">
        <v>965</v>
      </c>
      <c r="BU519" s="410">
        <v>916</v>
      </c>
      <c r="BV519" s="410">
        <v>884</v>
      </c>
      <c r="BW519" s="410">
        <v>833</v>
      </c>
      <c r="BX519" s="410">
        <v>743</v>
      </c>
      <c r="BY519" s="410">
        <v>790</v>
      </c>
      <c r="BZ519" s="410">
        <v>795</v>
      </c>
      <c r="CA519" s="410">
        <v>774</v>
      </c>
      <c r="CB519" s="410">
        <v>688</v>
      </c>
      <c r="CC519" s="410">
        <v>698</v>
      </c>
      <c r="CD519" s="410">
        <v>716</v>
      </c>
      <c r="CE519" s="410">
        <v>688</v>
      </c>
      <c r="CF519" s="410">
        <v>667</v>
      </c>
      <c r="CG519" s="410">
        <v>680</v>
      </c>
      <c r="CH519" s="410">
        <v>708</v>
      </c>
      <c r="CI519" s="410">
        <v>706</v>
      </c>
      <c r="CJ519" s="410">
        <v>754</v>
      </c>
      <c r="CK519" s="410">
        <v>572</v>
      </c>
      <c r="CL519" s="410">
        <v>512</v>
      </c>
      <c r="CM519" s="410">
        <v>519</v>
      </c>
      <c r="CN519" s="410">
        <v>494</v>
      </c>
      <c r="CO519" s="410">
        <v>429</v>
      </c>
      <c r="CP519" s="410">
        <v>357</v>
      </c>
      <c r="CQ519" s="410">
        <v>308</v>
      </c>
      <c r="CR519" s="410">
        <v>275</v>
      </c>
      <c r="CS519" s="410">
        <v>281</v>
      </c>
      <c r="CT519" s="410">
        <v>235</v>
      </c>
      <c r="CU519" s="410">
        <v>217</v>
      </c>
      <c r="CV519" s="410">
        <v>176</v>
      </c>
      <c r="CW519" s="410">
        <v>132</v>
      </c>
      <c r="CX519" s="410">
        <v>132</v>
      </c>
      <c r="CY519" s="410">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5" customFormat="1" ht="15" x14ac:dyDescent="0.25">
      <c r="A520" s="112"/>
      <c r="B520" s="119"/>
      <c r="C520" s="112"/>
      <c r="D520" s="135">
        <f>SUM(D498:D519)</f>
        <v>93382</v>
      </c>
      <c r="E520" s="135">
        <f t="shared" ref="E520:L520" si="136">SUM(E498:E519)</f>
        <v>439804</v>
      </c>
      <c r="F520" s="135">
        <f t="shared" si="136"/>
        <v>3131640</v>
      </c>
      <c r="G520" s="135">
        <f t="shared" si="136"/>
        <v>1534884</v>
      </c>
      <c r="H520" s="135">
        <f t="shared" si="136"/>
        <v>1596756</v>
      </c>
      <c r="I520" s="135">
        <f t="shared" si="136"/>
        <v>1217054</v>
      </c>
      <c r="J520" s="135">
        <f t="shared" si="136"/>
        <v>1294957</v>
      </c>
      <c r="K520" s="135">
        <f t="shared" si="136"/>
        <v>317830</v>
      </c>
      <c r="L520" s="135">
        <f t="shared" si="136"/>
        <v>301799</v>
      </c>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c r="AO520" s="114"/>
      <c r="AP520" s="114"/>
      <c r="AQ520" s="114"/>
      <c r="AR520" s="114"/>
      <c r="AS520" s="114"/>
      <c r="AT520" s="114"/>
      <c r="AU520" s="114"/>
      <c r="AV520" s="114"/>
      <c r="AW520" s="114"/>
      <c r="AX520" s="114"/>
      <c r="AY520" s="114"/>
      <c r="AZ520" s="114"/>
      <c r="BA520" s="114"/>
      <c r="BB520" s="114"/>
      <c r="BC520" s="114"/>
      <c r="BD520" s="114"/>
      <c r="BE520" s="114"/>
      <c r="BF520" s="114"/>
      <c r="BG520" s="114"/>
      <c r="BH520" s="114"/>
      <c r="BI520" s="114"/>
      <c r="BJ520" s="114"/>
      <c r="BK520" s="114"/>
      <c r="BL520" s="114"/>
      <c r="BM520" s="114"/>
      <c r="BN520" s="114"/>
      <c r="BO520" s="114"/>
      <c r="BP520" s="114"/>
      <c r="BQ520" s="114"/>
      <c r="BR520" s="114"/>
      <c r="BS520" s="114"/>
      <c r="BT520" s="114"/>
      <c r="BU520" s="114"/>
      <c r="BV520" s="114"/>
      <c r="BW520" s="114"/>
      <c r="BX520" s="114"/>
      <c r="BY520" s="114"/>
      <c r="BZ520" s="114"/>
      <c r="CA520" s="114"/>
      <c r="CB520" s="114"/>
      <c r="CC520" s="114"/>
      <c r="CD520" s="114"/>
      <c r="CE520" s="114"/>
      <c r="CF520" s="114"/>
      <c r="CG520" s="114"/>
      <c r="CH520" s="114"/>
      <c r="CI520" s="114"/>
      <c r="CJ520" s="114"/>
      <c r="CK520" s="114"/>
      <c r="CL520" s="114"/>
      <c r="CM520" s="114"/>
      <c r="CN520" s="114"/>
      <c r="CO520" s="114"/>
      <c r="CP520" s="114"/>
      <c r="CQ520" s="114"/>
      <c r="CR520" s="114"/>
      <c r="CS520" s="114"/>
      <c r="CT520" s="114"/>
      <c r="CU520" s="114"/>
      <c r="CV520" s="114"/>
      <c r="CW520" s="114"/>
      <c r="CX520" s="114"/>
      <c r="CY520" s="114"/>
      <c r="CZ520" s="114"/>
      <c r="DA520" s="114"/>
      <c r="DB520" s="114"/>
      <c r="DC520" s="114"/>
      <c r="DD520" s="114"/>
      <c r="DE520" s="114"/>
      <c r="DF520" s="114"/>
      <c r="DG520" s="114"/>
      <c r="DH520" s="114"/>
      <c r="DI520" s="114"/>
      <c r="DJ520" s="114"/>
      <c r="DK520" s="114"/>
      <c r="DL520" s="114"/>
      <c r="DM520" s="114"/>
      <c r="DN520" s="114"/>
      <c r="DO520" s="114"/>
      <c r="DP520" s="114"/>
      <c r="DQ520" s="114"/>
      <c r="DR520" s="114"/>
      <c r="DS520" s="114"/>
      <c r="DT520" s="114"/>
      <c r="DU520" s="114"/>
      <c r="DV520" s="114"/>
      <c r="DW520" s="114"/>
      <c r="DX520" s="114"/>
      <c r="DY520" s="114"/>
      <c r="DZ520" s="114"/>
      <c r="EA520" s="114"/>
      <c r="EB520" s="114"/>
      <c r="EC520" s="114"/>
      <c r="ED520" s="114"/>
      <c r="EE520" s="114"/>
      <c r="EF520" s="114"/>
      <c r="EG520" s="114"/>
      <c r="EH520" s="114"/>
      <c r="EI520" s="114"/>
      <c r="EJ520" s="114"/>
      <c r="EK520" s="114"/>
      <c r="EL520" s="114"/>
      <c r="EM520" s="114"/>
      <c r="EN520" s="114"/>
      <c r="EO520" s="114"/>
      <c r="EP520" s="114"/>
      <c r="EQ520" s="114"/>
      <c r="ER520" s="114"/>
      <c r="ES520" s="114"/>
      <c r="ET520" s="114"/>
      <c r="EU520" s="114"/>
      <c r="EV520" s="114"/>
      <c r="EW520" s="114"/>
      <c r="EX520" s="114"/>
      <c r="EY520" s="114"/>
      <c r="EZ520" s="114"/>
      <c r="FA520" s="114"/>
      <c r="FB520" s="114"/>
      <c r="FC520" s="114"/>
      <c r="FD520" s="114"/>
      <c r="FE520" s="114"/>
      <c r="FF520" s="114"/>
      <c r="FG520" s="114"/>
      <c r="FH520" s="114"/>
      <c r="FI520" s="114"/>
      <c r="FJ520" s="114"/>
      <c r="FK520" s="114"/>
      <c r="FL520" s="114"/>
      <c r="FM520" s="114"/>
      <c r="FN520" s="114"/>
      <c r="FO520" s="114"/>
      <c r="FP520" s="114"/>
      <c r="FQ520" s="114"/>
      <c r="FR520" s="114"/>
      <c r="FS520" s="114"/>
      <c r="FT520" s="114"/>
      <c r="FU520" s="114"/>
      <c r="FV520" s="114"/>
      <c r="FW520" s="114"/>
      <c r="FX520" s="114"/>
      <c r="FY520" s="114"/>
      <c r="FZ520" s="114"/>
      <c r="GA520" s="114"/>
      <c r="GB520" s="114"/>
      <c r="GC520" s="114"/>
      <c r="GD520" s="114"/>
      <c r="GE520" s="114"/>
      <c r="GF520" s="114"/>
      <c r="GG520" s="114"/>
      <c r="GH520" s="114"/>
      <c r="GI520" s="114"/>
      <c r="GJ520" s="114"/>
      <c r="GK520" s="114"/>
      <c r="GL520" s="113"/>
    </row>
    <row r="521" spans="1:194" s="1" customFormat="1" x14ac:dyDescent="0.2">
      <c r="A521" s="31" t="s">
        <v>145</v>
      </c>
      <c r="B521" s="1" t="s">
        <v>610</v>
      </c>
      <c r="C521" s="30" t="str">
        <f t="shared" si="126"/>
        <v>LA NI - Antrim and Newtownabbey</v>
      </c>
      <c r="D521" s="51">
        <f t="shared" ref="D521:D531" si="137">SUM(EN521:ER521)</f>
        <v>5172</v>
      </c>
      <c r="E521" s="51">
        <f t="shared" ref="E521:E531" si="138">SUM(ES521:FM521)</f>
        <v>20605</v>
      </c>
      <c r="F521" s="52">
        <f t="shared" ref="F521:F531" si="139">G521+H521</f>
        <v>146148</v>
      </c>
      <c r="G521" s="52">
        <f t="shared" ref="G521:G531" si="140">SUM(M521:CY521)</f>
        <v>71767</v>
      </c>
      <c r="H521" s="53">
        <f t="shared" ref="H521:H531" si="141">SUM(CZ521:GL521)</f>
        <v>74381</v>
      </c>
      <c r="I521" s="53">
        <f t="shared" ref="I521:I531" si="142">SUM(AE521:CY521)</f>
        <v>54930</v>
      </c>
      <c r="J521" s="53">
        <f t="shared" ref="J521:J531" si="143">SUM(DR521:GL521)</f>
        <v>58464</v>
      </c>
      <c r="K521" s="50">
        <f t="shared" ref="K521:K531" si="144">SUM(M521:AD521)</f>
        <v>16837</v>
      </c>
      <c r="L521" s="51">
        <f t="shared" ref="L521:L531" si="145">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2">
      <c r="A522" s="31" t="s">
        <v>145</v>
      </c>
      <c r="B522" s="1" t="s">
        <v>611</v>
      </c>
      <c r="C522" s="30" t="str">
        <f t="shared" si="126"/>
        <v>LA NI - Ards and North Down</v>
      </c>
      <c r="D522" s="51">
        <f t="shared" si="137"/>
        <v>5397</v>
      </c>
      <c r="E522" s="51">
        <f t="shared" si="138"/>
        <v>24609</v>
      </c>
      <c r="F522" s="52">
        <f t="shared" si="139"/>
        <v>164223</v>
      </c>
      <c r="G522" s="52">
        <f t="shared" si="140"/>
        <v>79967</v>
      </c>
      <c r="H522" s="53">
        <f t="shared" si="141"/>
        <v>84256</v>
      </c>
      <c r="I522" s="53">
        <f t="shared" si="142"/>
        <v>62708</v>
      </c>
      <c r="J522" s="53">
        <f t="shared" si="143"/>
        <v>68059</v>
      </c>
      <c r="K522" s="50">
        <f t="shared" si="144"/>
        <v>17259</v>
      </c>
      <c r="L522" s="51">
        <f t="shared" si="145"/>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2">
      <c r="A523" s="31" t="s">
        <v>145</v>
      </c>
      <c r="B523" s="1" t="s">
        <v>612</v>
      </c>
      <c r="C523" s="30" t="str">
        <f t="shared" si="126"/>
        <v>LA NI - Armagh City, Banbridge and Craigavon</v>
      </c>
      <c r="D523" s="51">
        <f t="shared" si="137"/>
        <v>7659</v>
      </c>
      <c r="E523" s="51">
        <f t="shared" si="138"/>
        <v>29386</v>
      </c>
      <c r="F523" s="52">
        <f t="shared" si="139"/>
        <v>220271</v>
      </c>
      <c r="G523" s="52">
        <f t="shared" si="140"/>
        <v>109137</v>
      </c>
      <c r="H523" s="53">
        <f t="shared" si="141"/>
        <v>111134</v>
      </c>
      <c r="I523" s="53">
        <f t="shared" si="142"/>
        <v>81332</v>
      </c>
      <c r="J523" s="53">
        <f t="shared" si="143"/>
        <v>84457</v>
      </c>
      <c r="K523" s="50">
        <f t="shared" si="144"/>
        <v>27805</v>
      </c>
      <c r="L523" s="51">
        <f t="shared" si="145"/>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2">
      <c r="A524" s="31" t="s">
        <v>145</v>
      </c>
      <c r="B524" s="1" t="s">
        <v>613</v>
      </c>
      <c r="C524" s="30" t="str">
        <f t="shared" si="126"/>
        <v>LA NI - Belfast</v>
      </c>
      <c r="D524" s="51">
        <f t="shared" si="137"/>
        <v>11435</v>
      </c>
      <c r="E524" s="51">
        <f t="shared" si="138"/>
        <v>43943</v>
      </c>
      <c r="F524" s="52">
        <f t="shared" si="139"/>
        <v>348005</v>
      </c>
      <c r="G524" s="52">
        <f t="shared" si="140"/>
        <v>169491</v>
      </c>
      <c r="H524" s="53">
        <f t="shared" si="141"/>
        <v>178514</v>
      </c>
      <c r="I524" s="53">
        <f t="shared" si="142"/>
        <v>131560</v>
      </c>
      <c r="J524" s="53">
        <f t="shared" si="143"/>
        <v>142407</v>
      </c>
      <c r="K524" s="50">
        <f t="shared" si="144"/>
        <v>37931</v>
      </c>
      <c r="L524" s="51">
        <f t="shared" si="145"/>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2">
      <c r="A525" s="31" t="s">
        <v>145</v>
      </c>
      <c r="B525" s="1" t="s">
        <v>614</v>
      </c>
      <c r="C525" s="30" t="str">
        <f t="shared" si="126"/>
        <v>LA NI - Causeway Coast and Glens</v>
      </c>
      <c r="D525" s="51">
        <f t="shared" si="137"/>
        <v>4514</v>
      </c>
      <c r="E525" s="51">
        <f t="shared" si="138"/>
        <v>20606</v>
      </c>
      <c r="F525" s="52">
        <f t="shared" si="139"/>
        <v>141316</v>
      </c>
      <c r="G525" s="52">
        <f t="shared" si="140"/>
        <v>69599</v>
      </c>
      <c r="H525" s="53">
        <f t="shared" si="141"/>
        <v>71717</v>
      </c>
      <c r="I525" s="53">
        <f t="shared" si="142"/>
        <v>53764</v>
      </c>
      <c r="J525" s="53">
        <f t="shared" si="143"/>
        <v>56629</v>
      </c>
      <c r="K525" s="50">
        <f t="shared" si="144"/>
        <v>15835</v>
      </c>
      <c r="L525" s="51">
        <f t="shared" si="145"/>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2">
      <c r="A526" s="31" t="s">
        <v>145</v>
      </c>
      <c r="B526" s="1" t="s">
        <v>615</v>
      </c>
      <c r="C526" s="30" t="str">
        <f t="shared" si="126"/>
        <v>LA NI - Derry City and Strabane</v>
      </c>
      <c r="D526" s="51">
        <f t="shared" si="137"/>
        <v>5302</v>
      </c>
      <c r="E526" s="51">
        <f t="shared" si="138"/>
        <v>21422</v>
      </c>
      <c r="F526" s="52">
        <f t="shared" si="139"/>
        <v>150836</v>
      </c>
      <c r="G526" s="52">
        <f t="shared" si="140"/>
        <v>73562</v>
      </c>
      <c r="H526" s="53">
        <f t="shared" si="141"/>
        <v>77274</v>
      </c>
      <c r="I526" s="53">
        <f t="shared" si="142"/>
        <v>55287</v>
      </c>
      <c r="J526" s="53">
        <f t="shared" si="143"/>
        <v>59619</v>
      </c>
      <c r="K526" s="50">
        <f t="shared" si="144"/>
        <v>18275</v>
      </c>
      <c r="L526" s="51">
        <f t="shared" si="145"/>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2">
      <c r="A527" s="31" t="s">
        <v>145</v>
      </c>
      <c r="B527" s="1" t="s">
        <v>616</v>
      </c>
      <c r="C527" s="30" t="str">
        <f t="shared" si="126"/>
        <v>LA NI - Fermanagh and Omagh</v>
      </c>
      <c r="D527" s="51">
        <f t="shared" si="137"/>
        <v>3884</v>
      </c>
      <c r="E527" s="51">
        <f t="shared" si="138"/>
        <v>16182</v>
      </c>
      <c r="F527" s="52">
        <f t="shared" si="139"/>
        <v>116994</v>
      </c>
      <c r="G527" s="52">
        <f t="shared" si="140"/>
        <v>58418</v>
      </c>
      <c r="H527" s="53">
        <f t="shared" si="141"/>
        <v>58576</v>
      </c>
      <c r="I527" s="53">
        <f t="shared" si="142"/>
        <v>44244</v>
      </c>
      <c r="J527" s="53">
        <f t="shared" si="143"/>
        <v>44859</v>
      </c>
      <c r="K527" s="50">
        <f t="shared" si="144"/>
        <v>14174</v>
      </c>
      <c r="L527" s="51">
        <f t="shared" si="145"/>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2">
      <c r="A528" s="31" t="s">
        <v>145</v>
      </c>
      <c r="B528" s="1" t="s">
        <v>617</v>
      </c>
      <c r="C528" s="30" t="str">
        <f t="shared" si="126"/>
        <v>LA NI - Lisburn and Castlereagh</v>
      </c>
      <c r="D528" s="51">
        <f t="shared" si="137"/>
        <v>5279</v>
      </c>
      <c r="E528" s="51">
        <f t="shared" si="138"/>
        <v>21204</v>
      </c>
      <c r="F528" s="52">
        <f t="shared" si="139"/>
        <v>149915</v>
      </c>
      <c r="G528" s="52">
        <f t="shared" si="140"/>
        <v>73814</v>
      </c>
      <c r="H528" s="53">
        <f t="shared" si="141"/>
        <v>76101</v>
      </c>
      <c r="I528" s="53">
        <f t="shared" si="142"/>
        <v>56236</v>
      </c>
      <c r="J528" s="53">
        <f t="shared" si="143"/>
        <v>59820</v>
      </c>
      <c r="K528" s="50">
        <f t="shared" si="144"/>
        <v>17578</v>
      </c>
      <c r="L528" s="51">
        <f t="shared" si="145"/>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2">
      <c r="A529" s="31" t="s">
        <v>145</v>
      </c>
      <c r="B529" s="1" t="s">
        <v>618</v>
      </c>
      <c r="C529" s="30" t="str">
        <f t="shared" si="126"/>
        <v>LA NI - Mid and East Antrim</v>
      </c>
      <c r="D529" s="51">
        <f t="shared" si="137"/>
        <v>4567</v>
      </c>
      <c r="E529" s="51">
        <f t="shared" si="138"/>
        <v>20663</v>
      </c>
      <c r="F529" s="52">
        <f t="shared" si="139"/>
        <v>139200</v>
      </c>
      <c r="G529" s="52">
        <f t="shared" si="140"/>
        <v>68237</v>
      </c>
      <c r="H529" s="53">
        <f t="shared" si="141"/>
        <v>70963</v>
      </c>
      <c r="I529" s="53">
        <f t="shared" si="142"/>
        <v>53235</v>
      </c>
      <c r="J529" s="53">
        <f t="shared" si="143"/>
        <v>56696</v>
      </c>
      <c r="K529" s="50">
        <f t="shared" si="144"/>
        <v>15002</v>
      </c>
      <c r="L529" s="51">
        <f t="shared" si="145"/>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2">
      <c r="A530" s="31" t="s">
        <v>145</v>
      </c>
      <c r="B530" s="1" t="s">
        <v>619</v>
      </c>
      <c r="C530" s="30" t="str">
        <f t="shared" si="126"/>
        <v>LA NI - Mid Ulster</v>
      </c>
      <c r="D530" s="51">
        <f t="shared" si="137"/>
        <v>5234</v>
      </c>
      <c r="E530" s="51">
        <f t="shared" si="138"/>
        <v>19137</v>
      </c>
      <c r="F530" s="52">
        <f t="shared" si="139"/>
        <v>151001</v>
      </c>
      <c r="G530" s="52">
        <f t="shared" si="140"/>
        <v>75748</v>
      </c>
      <c r="H530" s="53">
        <f t="shared" si="141"/>
        <v>75253</v>
      </c>
      <c r="I530" s="53">
        <f t="shared" si="142"/>
        <v>55860</v>
      </c>
      <c r="J530" s="53">
        <f t="shared" si="143"/>
        <v>56231</v>
      </c>
      <c r="K530" s="50">
        <f t="shared" si="144"/>
        <v>19888</v>
      </c>
      <c r="L530" s="51">
        <f t="shared" si="145"/>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2">
      <c r="A531" s="31" t="s">
        <v>145</v>
      </c>
      <c r="B531" s="1" t="s">
        <v>620</v>
      </c>
      <c r="C531" s="30" t="str">
        <f t="shared" si="126"/>
        <v>LA NI - Newry, Mourne and Down</v>
      </c>
      <c r="D531" s="51">
        <f t="shared" si="137"/>
        <v>6260</v>
      </c>
      <c r="E531" s="51">
        <f t="shared" si="138"/>
        <v>25048</v>
      </c>
      <c r="F531" s="52">
        <f t="shared" si="139"/>
        <v>182634</v>
      </c>
      <c r="G531" s="52">
        <f t="shared" si="140"/>
        <v>90207</v>
      </c>
      <c r="H531" s="53">
        <f t="shared" si="141"/>
        <v>92427</v>
      </c>
      <c r="I531" s="53">
        <f t="shared" si="142"/>
        <v>67141</v>
      </c>
      <c r="J531" s="53">
        <f t="shared" si="143"/>
        <v>70300</v>
      </c>
      <c r="K531" s="50">
        <f t="shared" si="144"/>
        <v>23066</v>
      </c>
      <c r="L531" s="51">
        <f t="shared" si="145"/>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5" customFormat="1" ht="15" x14ac:dyDescent="0.25">
      <c r="A532" s="112"/>
      <c r="B532" s="120"/>
      <c r="C532" s="112"/>
      <c r="D532" s="135">
        <f>SUM(D521:D531)</f>
        <v>64703</v>
      </c>
      <c r="E532" s="135">
        <f>SUM(E521:E531)</f>
        <v>262805</v>
      </c>
      <c r="F532" s="135">
        <f>SUM(F521:F531)</f>
        <v>1910543</v>
      </c>
      <c r="G532" s="135">
        <f>SUM(G521:G531)</f>
        <v>939947</v>
      </c>
      <c r="H532" s="135">
        <f>SUM(H521:H531)</f>
        <v>970596</v>
      </c>
      <c r="I532" s="135">
        <f t="shared" ref="I532:L532" si="146">SUM(I521:I531)</f>
        <v>716297</v>
      </c>
      <c r="J532" s="135">
        <f t="shared" si="146"/>
        <v>757541</v>
      </c>
      <c r="K532" s="135">
        <f t="shared" si="146"/>
        <v>223650</v>
      </c>
      <c r="L532" s="135">
        <f t="shared" si="146"/>
        <v>213055</v>
      </c>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c r="AO532" s="114"/>
      <c r="AP532" s="114"/>
      <c r="AQ532" s="114"/>
      <c r="AR532" s="114"/>
      <c r="AS532" s="114"/>
      <c r="AT532" s="114"/>
      <c r="AU532" s="114"/>
      <c r="AV532" s="114"/>
      <c r="AW532" s="114"/>
      <c r="AX532" s="114"/>
      <c r="AY532" s="114"/>
      <c r="AZ532" s="114"/>
      <c r="BA532" s="114"/>
      <c r="BB532" s="114"/>
      <c r="BC532" s="114"/>
      <c r="BD532" s="114"/>
      <c r="BE532" s="114"/>
      <c r="BF532" s="114"/>
      <c r="BG532" s="114"/>
      <c r="BH532" s="114"/>
      <c r="BI532" s="114"/>
      <c r="BJ532" s="114"/>
      <c r="BK532" s="114"/>
      <c r="BL532" s="114"/>
      <c r="BM532" s="114"/>
      <c r="BN532" s="114"/>
      <c r="BO532" s="114"/>
      <c r="BP532" s="114"/>
      <c r="BQ532" s="114"/>
      <c r="BR532" s="114"/>
      <c r="BS532" s="114"/>
      <c r="BT532" s="114"/>
      <c r="BU532" s="114"/>
      <c r="BV532" s="114"/>
      <c r="BW532" s="114"/>
      <c r="BX532" s="114"/>
      <c r="BY532" s="114"/>
      <c r="BZ532" s="114"/>
      <c r="CA532" s="114"/>
      <c r="CB532" s="114"/>
      <c r="CC532" s="114"/>
      <c r="CD532" s="114"/>
      <c r="CE532" s="114"/>
      <c r="CF532" s="114"/>
      <c r="CG532" s="114"/>
      <c r="CH532" s="114"/>
      <c r="CI532" s="114"/>
      <c r="CJ532" s="114"/>
      <c r="CK532" s="114"/>
      <c r="CL532" s="114"/>
      <c r="CM532" s="114"/>
      <c r="CN532" s="114"/>
      <c r="CO532" s="114"/>
      <c r="CP532" s="114"/>
      <c r="CQ532" s="114"/>
      <c r="CR532" s="114"/>
      <c r="CS532" s="114"/>
      <c r="CT532" s="114"/>
      <c r="CU532" s="114"/>
      <c r="CV532" s="114"/>
      <c r="CW532" s="114"/>
      <c r="CX532" s="114"/>
      <c r="CY532" s="113"/>
      <c r="CZ532" s="114"/>
      <c r="DA532" s="114"/>
      <c r="DB532" s="114"/>
      <c r="DC532" s="114"/>
      <c r="DD532" s="114"/>
      <c r="DE532" s="114"/>
      <c r="DF532" s="114"/>
      <c r="DG532" s="114"/>
      <c r="DH532" s="114"/>
      <c r="DI532" s="114"/>
      <c r="DJ532" s="114"/>
      <c r="DK532" s="114"/>
      <c r="DL532" s="114"/>
      <c r="DM532" s="114"/>
      <c r="DN532" s="114"/>
      <c r="DO532" s="114"/>
      <c r="DP532" s="114"/>
      <c r="DQ532" s="114"/>
      <c r="DR532" s="114"/>
      <c r="DS532" s="114"/>
      <c r="DT532" s="114"/>
      <c r="DU532" s="114"/>
      <c r="DV532" s="114"/>
      <c r="DW532" s="114"/>
      <c r="DX532" s="114"/>
      <c r="DY532" s="114"/>
      <c r="DZ532" s="114"/>
      <c r="EA532" s="114"/>
      <c r="EB532" s="114"/>
      <c r="EC532" s="114"/>
      <c r="ED532" s="114"/>
      <c r="EE532" s="114"/>
      <c r="EF532" s="114"/>
      <c r="EG532" s="114"/>
      <c r="EH532" s="114"/>
      <c r="EI532" s="114"/>
      <c r="EJ532" s="114"/>
      <c r="EK532" s="114"/>
      <c r="EL532" s="114"/>
      <c r="EM532" s="114"/>
      <c r="EN532" s="114"/>
      <c r="EO532" s="114"/>
      <c r="EP532" s="114"/>
      <c r="EQ532" s="114"/>
      <c r="ER532" s="114"/>
      <c r="ES532" s="114"/>
      <c r="ET532" s="114"/>
      <c r="EU532" s="114"/>
      <c r="EV532" s="114"/>
      <c r="EW532" s="114"/>
      <c r="EX532" s="114"/>
      <c r="EY532" s="114"/>
      <c r="EZ532" s="114"/>
      <c r="FA532" s="114"/>
      <c r="FB532" s="114"/>
      <c r="FC532" s="114"/>
      <c r="FD532" s="114"/>
      <c r="FE532" s="114"/>
      <c r="FF532" s="114"/>
      <c r="FG532" s="114"/>
      <c r="FH532" s="114"/>
      <c r="FI532" s="114"/>
      <c r="FJ532" s="114"/>
      <c r="FK532" s="114"/>
      <c r="FL532" s="114"/>
      <c r="FM532" s="114"/>
      <c r="FN532" s="114"/>
      <c r="FO532" s="114"/>
      <c r="FP532" s="114"/>
      <c r="FQ532" s="114"/>
      <c r="FR532" s="114"/>
      <c r="FS532" s="114"/>
      <c r="FT532" s="114"/>
      <c r="FU532" s="114"/>
      <c r="FV532" s="114"/>
      <c r="FW532" s="114"/>
      <c r="FX532" s="114"/>
      <c r="FY532" s="114"/>
      <c r="FZ532" s="114"/>
      <c r="GA532" s="114"/>
      <c r="GB532" s="114"/>
      <c r="GC532" s="114"/>
      <c r="GD532" s="114"/>
      <c r="GE532" s="114"/>
      <c r="GF532" s="114"/>
      <c r="GG532" s="114"/>
      <c r="GH532" s="114"/>
      <c r="GI532" s="114"/>
      <c r="GJ532" s="114"/>
      <c r="GK532" s="114"/>
      <c r="GL532" s="113"/>
    </row>
    <row r="533" spans="1:194" x14ac:dyDescent="0.2">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2">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ht="15" x14ac:dyDescent="0.25">
      <c r="A535" s="430" t="s">
        <v>780</v>
      </c>
      <c r="B535" s="431"/>
      <c r="C535" s="432"/>
      <c r="D535" s="433"/>
      <c r="E535" s="433"/>
      <c r="F535" s="433"/>
      <c r="G535" s="434"/>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2">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ht="15" x14ac:dyDescent="0.25">
      <c r="C537" s="11"/>
      <c r="D537" s="435" t="s">
        <v>781</v>
      </c>
      <c r="E537" s="436" t="s">
        <v>782</v>
      </c>
      <c r="F537" s="435" t="s">
        <v>783</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5" x14ac:dyDescent="0.25">
      <c r="C538" s="11"/>
      <c r="D538" s="437" t="s">
        <v>784</v>
      </c>
      <c r="E538" s="438" t="s">
        <v>785</v>
      </c>
      <c r="F538" s="437" t="s">
        <v>786</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5" x14ac:dyDescent="0.25">
      <c r="C539" s="11"/>
      <c r="D539" s="437" t="s">
        <v>787</v>
      </c>
      <c r="E539" s="438" t="s">
        <v>788</v>
      </c>
      <c r="F539" s="437" t="s">
        <v>789</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5" x14ac:dyDescent="0.25">
      <c r="C540" s="1" t="s">
        <v>790</v>
      </c>
      <c r="D540" s="439">
        <v>60238038</v>
      </c>
      <c r="E540" s="440"/>
      <c r="F540" s="441"/>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5" x14ac:dyDescent="0.25">
      <c r="C541" s="442" t="s">
        <v>791</v>
      </c>
      <c r="D541" s="443"/>
      <c r="E541" s="444">
        <v>60856434</v>
      </c>
      <c r="F541" s="439">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5" x14ac:dyDescent="0.25">
      <c r="C542" s="442" t="s">
        <v>792</v>
      </c>
      <c r="D542" s="443"/>
      <c r="E542" s="445">
        <f>(E541-D540)/D540</f>
        <v>1.0265872205200309E-2</v>
      </c>
      <c r="F542" s="446">
        <f>(F541-D540)/D540</f>
        <v>2.0553358660187437E-2</v>
      </c>
      <c r="G542" s="447">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5" x14ac:dyDescent="0.25">
      <c r="C543" s="442" t="s">
        <v>793</v>
      </c>
      <c r="D543" s="443"/>
      <c r="E543" s="448"/>
      <c r="F543" s="439">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5" x14ac:dyDescent="0.25">
      <c r="C544" s="442" t="s">
        <v>794</v>
      </c>
      <c r="D544" s="443"/>
      <c r="E544" s="448"/>
      <c r="F544" s="439">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2">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2">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2">
      <c r="A547" s="426"/>
      <c r="B547" s="427"/>
      <c r="C547" s="21" t="s">
        <v>621</v>
      </c>
      <c r="D547" s="138" t="s">
        <v>622</v>
      </c>
      <c r="E547" s="138" t="s">
        <v>623</v>
      </c>
      <c r="F547" s="138" t="s">
        <v>624</v>
      </c>
      <c r="G547" s="138" t="s">
        <v>625</v>
      </c>
      <c r="H547" s="138" t="s">
        <v>626</v>
      </c>
      <c r="I547" s="138" t="s">
        <v>627</v>
      </c>
      <c r="J547" s="379" t="s">
        <v>628</v>
      </c>
      <c r="K547" s="382" t="s">
        <v>629</v>
      </c>
      <c r="L547" s="284" t="s">
        <v>630</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2">
      <c r="A548" s="428" t="s">
        <v>779</v>
      </c>
      <c r="C548" s="21" t="s">
        <v>631</v>
      </c>
      <c r="D548" s="801" t="s">
        <v>632</v>
      </c>
      <c r="E548" s="802"/>
      <c r="F548" s="802"/>
      <c r="G548" s="802"/>
      <c r="H548" s="802"/>
      <c r="I548" s="803"/>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2">
      <c r="A549" s="428" t="s">
        <v>779</v>
      </c>
      <c r="B549" s="11">
        <v>0</v>
      </c>
      <c r="C549" s="137" t="s">
        <v>633</v>
      </c>
      <c r="D549" s="141"/>
      <c r="E549" s="141"/>
      <c r="F549" s="141"/>
      <c r="G549" s="141"/>
      <c r="H549" s="141"/>
      <c r="I549" s="141"/>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2">
      <c r="A550" s="428" t="s">
        <v>779</v>
      </c>
      <c r="B550" s="11">
        <v>1</v>
      </c>
      <c r="C550" s="137" t="s">
        <v>634</v>
      </c>
      <c r="D550" s="141"/>
      <c r="E550" s="141">
        <v>1.0090702843828887</v>
      </c>
      <c r="F550" s="141">
        <v>1.0170393771683619</v>
      </c>
      <c r="G550" s="141">
        <v>1.0238793000184203</v>
      </c>
      <c r="H550" s="141">
        <v>1.0295635385778663</v>
      </c>
      <c r="I550" s="141">
        <v>1.0351195322438309</v>
      </c>
      <c r="J550" s="380">
        <f>(I550-100%)/5</f>
        <v>7.0239064487661821E-3</v>
      </c>
      <c r="K550" s="383">
        <f t="shared" ref="K550:K563" si="147">(I550/100%)^(1/5)-1</f>
        <v>6.9272652964273984E-3</v>
      </c>
      <c r="L550" s="378">
        <v>6.9272652964273984E-3</v>
      </c>
      <c r="M550" s="374"/>
      <c r="N550" s="374"/>
      <c r="O550" s="375"/>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2">
      <c r="A551" s="428" t="s">
        <v>779</v>
      </c>
      <c r="B551" s="11">
        <v>2</v>
      </c>
      <c r="C551" s="137" t="s">
        <v>635</v>
      </c>
      <c r="D551" s="141"/>
      <c r="E551" s="141">
        <v>0.96173452499784384</v>
      </c>
      <c r="F551" s="141">
        <v>0.949547172001034</v>
      </c>
      <c r="G551" s="141">
        <v>0.93849673400054612</v>
      </c>
      <c r="H551" s="141">
        <v>0.92766778564091124</v>
      </c>
      <c r="I551" s="141">
        <v>0.91680012001884892</v>
      </c>
      <c r="J551" s="380">
        <f t="shared" ref="J551:J563" si="148">(I551-100%)/5</f>
        <v>-1.6639975996230218E-2</v>
      </c>
      <c r="K551" s="383">
        <f t="shared" si="147"/>
        <v>-1.7223117235316776E-2</v>
      </c>
      <c r="L551" s="378">
        <v>-1.7223117235316776E-2</v>
      </c>
      <c r="M551" s="374"/>
      <c r="N551" s="374"/>
      <c r="O551" s="375"/>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2">
      <c r="A552" s="428" t="s">
        <v>779</v>
      </c>
      <c r="B552" s="11">
        <v>3</v>
      </c>
      <c r="C552" s="137" t="s">
        <v>636</v>
      </c>
      <c r="D552" s="141"/>
      <c r="E552" s="141">
        <v>1.0707061745580608</v>
      </c>
      <c r="F552" s="141">
        <v>1.0961797739954167</v>
      </c>
      <c r="G552" s="141">
        <v>1.1120352164720533</v>
      </c>
      <c r="H552" s="141">
        <v>1.1172916519636134</v>
      </c>
      <c r="I552" s="141">
        <v>1.1228072524832799</v>
      </c>
      <c r="J552" s="380">
        <f t="shared" si="148"/>
        <v>2.4561450496655989E-2</v>
      </c>
      <c r="K552" s="383">
        <f t="shared" si="147"/>
        <v>2.3436830336478032E-2</v>
      </c>
      <c r="L552" s="378">
        <v>2.3436830336478032E-2</v>
      </c>
      <c r="M552" s="374"/>
      <c r="N552" s="374"/>
      <c r="O552" s="375"/>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2">
      <c r="A553" s="428" t="s">
        <v>779</v>
      </c>
      <c r="B553" s="11">
        <v>4</v>
      </c>
      <c r="C553" s="137" t="s">
        <v>637</v>
      </c>
      <c r="D553" s="141"/>
      <c r="E553" s="141">
        <v>0.99704312080608826</v>
      </c>
      <c r="F553" s="141">
        <v>0.99705853203848904</v>
      </c>
      <c r="G553" s="141">
        <v>0.99472603914083957</v>
      </c>
      <c r="H553" s="141">
        <v>0.9891090180954597</v>
      </c>
      <c r="I553" s="141">
        <v>0.98354979851924307</v>
      </c>
      <c r="J553" s="380">
        <f t="shared" si="148"/>
        <v>-3.2900402961513866E-3</v>
      </c>
      <c r="K553" s="383">
        <f t="shared" si="147"/>
        <v>-3.3119051937137156E-3</v>
      </c>
      <c r="L553" s="378">
        <v>-3.3119051937137156E-3</v>
      </c>
      <c r="M553" s="374"/>
      <c r="N553" s="374"/>
      <c r="O553" s="375"/>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2">
      <c r="A554" s="428" t="s">
        <v>779</v>
      </c>
      <c r="B554" s="11">
        <v>5</v>
      </c>
      <c r="C554" s="137" t="s">
        <v>638</v>
      </c>
      <c r="D554" s="141"/>
      <c r="E554" s="141">
        <v>0.99263087643060499</v>
      </c>
      <c r="F554" s="141">
        <v>0.99530151668079492</v>
      </c>
      <c r="G554" s="141">
        <v>0.99708461172748208</v>
      </c>
      <c r="H554" s="141">
        <v>0.99857946574262668</v>
      </c>
      <c r="I554" s="141">
        <v>1.0006058081967233</v>
      </c>
      <c r="J554" s="380">
        <f t="shared" si="148"/>
        <v>1.2116163934465796E-4</v>
      </c>
      <c r="K554" s="383">
        <f t="shared" si="147"/>
        <v>1.2113228972654433E-4</v>
      </c>
      <c r="L554" s="378">
        <v>1.2113228972654433E-4</v>
      </c>
      <c r="M554" s="374"/>
      <c r="N554" s="374"/>
      <c r="O554" s="375"/>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2">
      <c r="A555" s="428" t="s">
        <v>779</v>
      </c>
      <c r="B555" s="11">
        <v>6</v>
      </c>
      <c r="C555" s="372" t="s">
        <v>639</v>
      </c>
      <c r="D555" s="373"/>
      <c r="E555" s="373">
        <v>1.0123419501207302</v>
      </c>
      <c r="F555" s="373">
        <v>1.0224746276334522</v>
      </c>
      <c r="G555" s="373">
        <v>1.0318096590054313</v>
      </c>
      <c r="H555" s="373">
        <v>1.040568100689119</v>
      </c>
      <c r="I555" s="373">
        <v>1.0491476885800255</v>
      </c>
      <c r="J555" s="387">
        <f t="shared" si="148"/>
        <v>9.8295377160050983E-3</v>
      </c>
      <c r="K555" s="388">
        <f t="shared" si="147"/>
        <v>9.641807463928842E-3</v>
      </c>
      <c r="L555" s="429">
        <v>9.6418074639288403E-3</v>
      </c>
      <c r="M555" s="374"/>
      <c r="N555" s="374"/>
      <c r="O555" s="375"/>
      <c r="P555" s="13"/>
      <c r="Q555" s="376"/>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2">
      <c r="A556" s="428" t="s">
        <v>779</v>
      </c>
      <c r="B556" s="11">
        <v>7</v>
      </c>
      <c r="C556" s="137" t="s">
        <v>640</v>
      </c>
      <c r="D556" s="141"/>
      <c r="E556" s="141">
        <v>1.0234861902526262</v>
      </c>
      <c r="F556" s="141">
        <v>1.0362595252458171</v>
      </c>
      <c r="G556" s="141">
        <v>1.0484007089616401</v>
      </c>
      <c r="H556" s="141">
        <v>1.0594741481215733</v>
      </c>
      <c r="I556" s="141">
        <v>1.0705464348984648</v>
      </c>
      <c r="J556" s="380">
        <f t="shared" si="148"/>
        <v>1.4109286979692959E-2</v>
      </c>
      <c r="K556" s="383">
        <f t="shared" si="147"/>
        <v>1.372720562144969E-2</v>
      </c>
      <c r="L556" s="378">
        <v>1.37272056214497E-2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2">
      <c r="A557" s="428" t="s">
        <v>779</v>
      </c>
      <c r="B557" s="11">
        <v>8</v>
      </c>
      <c r="C557" s="137" t="s">
        <v>641</v>
      </c>
      <c r="D557" s="141"/>
      <c r="E557" s="141">
        <v>1.0327181385810218</v>
      </c>
      <c r="F557" s="141">
        <v>1.0462000918268668</v>
      </c>
      <c r="G557" s="141">
        <v>1.0579618766687933</v>
      </c>
      <c r="H557" s="141">
        <v>1.0679645783102321</v>
      </c>
      <c r="I557" s="141">
        <v>1.0772361012999514</v>
      </c>
      <c r="J557" s="380">
        <f t="shared" si="148"/>
        <v>1.544722025999028E-2</v>
      </c>
      <c r="K557" s="383">
        <f t="shared" si="147"/>
        <v>1.4990973227517745E-2</v>
      </c>
      <c r="L557" s="378">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2">
      <c r="A558" s="428" t="s">
        <v>779</v>
      </c>
      <c r="B558" s="11">
        <v>9</v>
      </c>
      <c r="C558" s="137" t="s">
        <v>642</v>
      </c>
      <c r="D558" s="141"/>
      <c r="E558" s="141">
        <v>1.0231841082591016</v>
      </c>
      <c r="F558" s="141">
        <v>1.0358890289056439</v>
      </c>
      <c r="G558" s="141">
        <v>1.0481652070229122</v>
      </c>
      <c r="H558" s="141">
        <v>1.0592891805745575</v>
      </c>
      <c r="I558" s="141">
        <v>1.069681907109314</v>
      </c>
      <c r="J558" s="380">
        <f t="shared" si="148"/>
        <v>1.3936381421862798E-2</v>
      </c>
      <c r="K558" s="383">
        <f t="shared" si="147"/>
        <v>1.3563424108683053E-2</v>
      </c>
      <c r="L558" s="378">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2">
      <c r="A559" s="428" t="s">
        <v>779</v>
      </c>
      <c r="B559" s="11">
        <v>10</v>
      </c>
      <c r="C559" s="137" t="s">
        <v>643</v>
      </c>
      <c r="D559" s="141"/>
      <c r="E559" s="141">
        <v>1.0341666734322146</v>
      </c>
      <c r="F559" s="141">
        <v>1.0480179725760268</v>
      </c>
      <c r="G559" s="141">
        <v>1.0601012155156095</v>
      </c>
      <c r="H559" s="141">
        <v>1.0702848288878077</v>
      </c>
      <c r="I559" s="141">
        <v>1.0797421461131422</v>
      </c>
      <c r="J559" s="380">
        <f t="shared" si="148"/>
        <v>1.5948429222628447E-2</v>
      </c>
      <c r="K559" s="383">
        <f t="shared" si="147"/>
        <v>1.5462782371323147E-2</v>
      </c>
      <c r="L559" s="378">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2">
      <c r="A560" s="428" t="s">
        <v>779</v>
      </c>
      <c r="B560" s="11">
        <v>11</v>
      </c>
      <c r="C560" s="137" t="s">
        <v>644</v>
      </c>
      <c r="D560" s="141"/>
      <c r="E560" s="141">
        <v>1.0233409873632719</v>
      </c>
      <c r="F560" s="141">
        <v>1.0360814373748364</v>
      </c>
      <c r="G560" s="141">
        <v>1.0482875093579402</v>
      </c>
      <c r="H560" s="141">
        <v>1.0593852390742311</v>
      </c>
      <c r="I560" s="141">
        <v>1.0701308790705675</v>
      </c>
      <c r="J560" s="380">
        <f t="shared" si="148"/>
        <v>1.4026175814113495E-2</v>
      </c>
      <c r="K560" s="383">
        <f t="shared" si="147"/>
        <v>1.364849335671825E-2</v>
      </c>
      <c r="L560" s="378">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2">
      <c r="A561" s="428" t="s">
        <v>779</v>
      </c>
      <c r="B561" s="11">
        <v>12</v>
      </c>
      <c r="C561" s="137" t="s">
        <v>645</v>
      </c>
      <c r="D561" s="141"/>
      <c r="E561" s="141">
        <v>1.0334066911438702</v>
      </c>
      <c r="F561" s="141">
        <v>1.0470642108004322</v>
      </c>
      <c r="G561" s="141">
        <v>1.0589787988674986</v>
      </c>
      <c r="H561" s="141">
        <v>1.0690674958412283</v>
      </c>
      <c r="I561" s="141">
        <v>1.0784273350333435</v>
      </c>
      <c r="J561" s="380">
        <f t="shared" si="148"/>
        <v>1.5685467006668709E-2</v>
      </c>
      <c r="K561" s="383">
        <f t="shared" si="147"/>
        <v>1.5215354312122953E-2</v>
      </c>
      <c r="L561" s="378">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2">
      <c r="A562" s="428" t="s">
        <v>779</v>
      </c>
      <c r="B562" s="11">
        <v>13</v>
      </c>
      <c r="C562" s="137" t="s">
        <v>646</v>
      </c>
      <c r="D562" s="141"/>
      <c r="E562" s="141">
        <v>1.0535754755454367</v>
      </c>
      <c r="F562" s="141">
        <v>1.079128927735721</v>
      </c>
      <c r="G562" s="141">
        <v>1.10377830980113</v>
      </c>
      <c r="H562" s="141">
        <v>1.1267313398994689</v>
      </c>
      <c r="I562" s="141">
        <v>1.1493400902365778</v>
      </c>
      <c r="J562" s="380">
        <f t="shared" si="148"/>
        <v>2.9868018047315557E-2</v>
      </c>
      <c r="K562" s="383">
        <f t="shared" si="147"/>
        <v>2.8228674820024224E-2</v>
      </c>
      <c r="L562" s="378">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2">
      <c r="A563" s="58"/>
      <c r="B563" s="320">
        <v>14</v>
      </c>
      <c r="C563" s="137" t="s">
        <v>647</v>
      </c>
      <c r="D563" s="141"/>
      <c r="E563" s="141">
        <v>1.0081055095898279</v>
      </c>
      <c r="F563" s="141">
        <v>1.0157451629461605</v>
      </c>
      <c r="G563" s="141">
        <v>1.0222827798035592</v>
      </c>
      <c r="H563" s="141">
        <v>1.0276922014787842</v>
      </c>
      <c r="I563" s="141">
        <v>1.032997413899986</v>
      </c>
      <c r="J563" s="380">
        <f t="shared" si="148"/>
        <v>6.5994827799972008E-3</v>
      </c>
      <c r="K563" s="383">
        <f t="shared" si="147"/>
        <v>6.5140621434043311E-3</v>
      </c>
      <c r="L563" s="378">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2">
      <c r="B564" s="11">
        <v>15</v>
      </c>
      <c r="C564" s="137"/>
      <c r="D564" s="141"/>
      <c r="E564" s="141"/>
      <c r="F564" s="141"/>
      <c r="G564" s="141"/>
      <c r="H564" s="141"/>
      <c r="I564" s="141"/>
      <c r="J564" s="381" t="s">
        <v>648</v>
      </c>
      <c r="K564" s="6"/>
      <c r="L564" s="283" t="s">
        <v>649</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2">
      <c r="E565" s="15"/>
      <c r="L565" s="283" t="s">
        <v>650</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2">
      <c r="E566" s="15"/>
      <c r="L566" s="283" t="s">
        <v>651</v>
      </c>
      <c r="M566" s="13"/>
      <c r="N566" s="13"/>
      <c r="O566" s="13"/>
      <c r="P566" s="13"/>
      <c r="Q566" s="13"/>
      <c r="R566" s="377"/>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2">
      <c r="C567" s="389" t="s">
        <v>652</v>
      </c>
      <c r="E567" s="15"/>
      <c r="L567" s="283" t="s">
        <v>653</v>
      </c>
      <c r="M567" s="13"/>
      <c r="N567" s="13"/>
      <c r="O567" s="13"/>
      <c r="P567" s="13"/>
      <c r="Q567" s="13"/>
      <c r="R567" s="377"/>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2">
      <c r="E568" s="15"/>
      <c r="L568" s="283" t="s">
        <v>654</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2">
      <c r="E569" s="15"/>
      <c r="L569" s="28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2">
      <c r="C570" s="11"/>
      <c r="L570" s="283" t="s">
        <v>655</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ht="15" x14ac:dyDescent="0.25">
      <c r="C571" s="11"/>
      <c r="L571" s="283" t="s">
        <v>656</v>
      </c>
      <c r="M571" s="13"/>
      <c r="N571" s="13"/>
      <c r="O571" s="450"/>
      <c r="P571" s="451" t="s">
        <v>796</v>
      </c>
      <c r="Q571" s="452"/>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45" customHeight="1" x14ac:dyDescent="0.2">
      <c r="C572" s="11"/>
      <c r="M572" s="13"/>
      <c r="N572" s="13"/>
      <c r="O572" s="455" t="s">
        <v>628</v>
      </c>
      <c r="P572" s="455" t="s">
        <v>629</v>
      </c>
      <c r="Q572" s="456" t="s">
        <v>797</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2">
      <c r="A573" s="426"/>
      <c r="B573" s="427"/>
      <c r="C573" s="137" t="s">
        <v>634</v>
      </c>
      <c r="D573" s="449"/>
      <c r="E573" s="141">
        <v>1.0090702843828887</v>
      </c>
      <c r="F573" s="141">
        <v>1.0170393771683619</v>
      </c>
      <c r="G573" s="141">
        <v>1.0238793000184203</v>
      </c>
      <c r="H573" s="141">
        <v>1.0295635385778663</v>
      </c>
      <c r="I573" s="141">
        <v>1.0351195322438309</v>
      </c>
      <c r="J573" s="141">
        <v>1.0405457031681826</v>
      </c>
      <c r="K573" s="141">
        <v>1.0458422140156769</v>
      </c>
      <c r="L573" s="141">
        <v>1.0510151972476083</v>
      </c>
      <c r="M573" s="141">
        <v>1.0560652872565244</v>
      </c>
      <c r="N573" s="141">
        <v>1.0609963391971375</v>
      </c>
      <c r="O573" s="380">
        <f>(N573-100%)/10</f>
        <v>6.0996339197137541E-3</v>
      </c>
      <c r="P573" s="383">
        <f>(N573/100%)^(1/10)-1</f>
        <v>5.9384037531065026E-3</v>
      </c>
      <c r="Q573" s="453">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2">
      <c r="A574" s="428" t="s">
        <v>795</v>
      </c>
      <c r="C574" s="137" t="s">
        <v>635</v>
      </c>
      <c r="D574" s="449"/>
      <c r="E574" s="141">
        <v>0.96173452499784384</v>
      </c>
      <c r="F574" s="141">
        <v>0.949547172001034</v>
      </c>
      <c r="G574" s="141">
        <v>0.93849673400054612</v>
      </c>
      <c r="H574" s="141">
        <v>0.92766778564091124</v>
      </c>
      <c r="I574" s="141">
        <v>0.91680012001884892</v>
      </c>
      <c r="J574" s="141">
        <v>0.92160605208729784</v>
      </c>
      <c r="K574" s="141">
        <v>0.92629714488325532</v>
      </c>
      <c r="L574" s="141">
        <v>0.93087882989658866</v>
      </c>
      <c r="M574" s="141">
        <v>0.93535166900555988</v>
      </c>
      <c r="N574" s="141">
        <v>0.93971907670114618</v>
      </c>
      <c r="O574" s="380">
        <f t="shared" ref="O574:O586" si="149">(N574-100%)/10</f>
        <v>-6.0280923298853817E-3</v>
      </c>
      <c r="P574" s="383">
        <f t="shared" ref="P574:P586" si="150">(N574/100%)^(1/10)-1</f>
        <v>-6.1981420710855994E-3</v>
      </c>
      <c r="Q574" s="453">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2">
      <c r="A575" s="428" t="s">
        <v>795</v>
      </c>
      <c r="C575" s="137" t="s">
        <v>636</v>
      </c>
      <c r="D575" s="449"/>
      <c r="E575" s="141">
        <v>1.0707061745580608</v>
      </c>
      <c r="F575" s="141">
        <v>1.0961797739954167</v>
      </c>
      <c r="G575" s="141">
        <v>1.1120352164720533</v>
      </c>
      <c r="H575" s="141">
        <v>1.1172916519636134</v>
      </c>
      <c r="I575" s="141">
        <v>1.1228072524832799</v>
      </c>
      <c r="J575" s="141">
        <v>1.1286930887343545</v>
      </c>
      <c r="K575" s="141">
        <v>1.1344382810596616</v>
      </c>
      <c r="L575" s="141">
        <v>1.140049481417553</v>
      </c>
      <c r="M575" s="141">
        <v>1.145527377941651</v>
      </c>
      <c r="N575" s="141">
        <v>1.1508761523670457</v>
      </c>
      <c r="O575" s="380">
        <f t="shared" si="149"/>
        <v>1.5087615236704566E-2</v>
      </c>
      <c r="P575" s="383">
        <f t="shared" si="150"/>
        <v>1.4151550808456648E-2</v>
      </c>
      <c r="Q575" s="453">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2">
      <c r="A576" s="428" t="s">
        <v>795</v>
      </c>
      <c r="C576" s="137" t="s">
        <v>637</v>
      </c>
      <c r="D576" s="449"/>
      <c r="E576" s="141">
        <v>0.99704312080608826</v>
      </c>
      <c r="F576" s="141">
        <v>0.99705853203848904</v>
      </c>
      <c r="G576" s="141">
        <v>0.99472603914083957</v>
      </c>
      <c r="H576" s="141">
        <v>0.9891090180954597</v>
      </c>
      <c r="I576" s="141">
        <v>0.98354979851924307</v>
      </c>
      <c r="J576" s="141">
        <v>0.98870563719596893</v>
      </c>
      <c r="K576" s="141">
        <v>0.99373827547071536</v>
      </c>
      <c r="L576" s="141">
        <v>0.99865354028508957</v>
      </c>
      <c r="M576" s="141">
        <v>1.0034520344261542</v>
      </c>
      <c r="N576" s="141">
        <v>1.0081374209845206</v>
      </c>
      <c r="O576" s="380">
        <f t="shared" si="149"/>
        <v>8.1374209845206378E-4</v>
      </c>
      <c r="P576" s="383">
        <f t="shared" si="150"/>
        <v>8.1077757246905691E-4</v>
      </c>
      <c r="Q576" s="453">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2">
      <c r="A577" s="428" t="s">
        <v>795</v>
      </c>
      <c r="C577" s="137" t="s">
        <v>638</v>
      </c>
      <c r="D577" s="449"/>
      <c r="E577" s="141">
        <v>0.99263087643060499</v>
      </c>
      <c r="F577" s="141">
        <v>0.99530151668079492</v>
      </c>
      <c r="G577" s="141">
        <v>0.99708461172748208</v>
      </c>
      <c r="H577" s="141">
        <v>0.99857946574262668</v>
      </c>
      <c r="I577" s="141">
        <v>1.0006058081967233</v>
      </c>
      <c r="J577" s="141">
        <v>1.0058510557010429</v>
      </c>
      <c r="K577" s="141">
        <v>1.0109709663510638</v>
      </c>
      <c r="L577" s="141">
        <v>1.0159714681350021</v>
      </c>
      <c r="M577" s="141">
        <v>1.0208531742930185</v>
      </c>
      <c r="N577" s="141">
        <v>1.0256198114383941</v>
      </c>
      <c r="O577" s="380">
        <f t="shared" si="149"/>
        <v>2.5619811438394092E-3</v>
      </c>
      <c r="P577" s="383">
        <f t="shared" si="150"/>
        <v>2.5329148145079028E-3</v>
      </c>
      <c r="Q577" s="453">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2">
      <c r="A578" s="428" t="s">
        <v>795</v>
      </c>
      <c r="C578" s="372" t="s">
        <v>639</v>
      </c>
      <c r="D578" s="373"/>
      <c r="E578" s="373">
        <v>1.0123419501207302</v>
      </c>
      <c r="F578" s="373">
        <v>1.0224746276334522</v>
      </c>
      <c r="G578" s="373">
        <v>1.0318096590054313</v>
      </c>
      <c r="H578" s="373">
        <v>1.040568100689119</v>
      </c>
      <c r="I578" s="373">
        <v>1.0491476885800255</v>
      </c>
      <c r="J578" s="373">
        <v>1.0546473961073131</v>
      </c>
      <c r="K578" s="373">
        <v>1.0600156863772707</v>
      </c>
      <c r="L578" s="373">
        <v>1.0652587749595908</v>
      </c>
      <c r="M578" s="373">
        <v>1.0703773048442411</v>
      </c>
      <c r="N578" s="373">
        <v>1.0753751834317971</v>
      </c>
      <c r="O578" s="387">
        <f t="shared" si="149"/>
        <v>7.5375183431797051E-3</v>
      </c>
      <c r="P578" s="388">
        <f t="shared" si="150"/>
        <v>7.2934292896156272E-3</v>
      </c>
      <c r="Q578" s="388">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2">
      <c r="A579" s="428" t="s">
        <v>795</v>
      </c>
      <c r="C579" s="137" t="s">
        <v>640</v>
      </c>
      <c r="D579" s="449"/>
      <c r="E579" s="141">
        <v>1.0234861902526262</v>
      </c>
      <c r="F579" s="141">
        <v>1.0362595252458171</v>
      </c>
      <c r="G579" s="141">
        <v>1.0484007089616401</v>
      </c>
      <c r="H579" s="141">
        <v>1.0594741481215733</v>
      </c>
      <c r="I579" s="141">
        <v>1.0705464348984648</v>
      </c>
      <c r="J579" s="141">
        <v>1.0761583161906882</v>
      </c>
      <c r="K579" s="141">
        <v>1.0816360997978576</v>
      </c>
      <c r="L579" s="141">
        <v>1.0869861280643798</v>
      </c>
      <c r="M579" s="141">
        <v>1.0922090570948486</v>
      </c>
      <c r="N579" s="141">
        <v>1.0973088739864103</v>
      </c>
      <c r="O579" s="380">
        <f t="shared" si="149"/>
        <v>9.7308873986410305E-3</v>
      </c>
      <c r="P579" s="383">
        <f t="shared" si="150"/>
        <v>9.3293197294876951E-3</v>
      </c>
      <c r="Q579" s="453">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2">
      <c r="A580" s="428" t="s">
        <v>795</v>
      </c>
      <c r="C580" s="137" t="s">
        <v>641</v>
      </c>
      <c r="D580" s="449"/>
      <c r="E580" s="141">
        <v>1.0327181385810218</v>
      </c>
      <c r="F580" s="141">
        <v>1.0462000918268668</v>
      </c>
      <c r="G580" s="141">
        <v>1.0579618766687933</v>
      </c>
      <c r="H580" s="141">
        <v>1.0679645783102321</v>
      </c>
      <c r="I580" s="141">
        <v>1.0772361012999514</v>
      </c>
      <c r="J580" s="141">
        <v>1.0828830503038651</v>
      </c>
      <c r="K580" s="141">
        <v>1.0883950636686206</v>
      </c>
      <c r="L580" s="141">
        <v>1.0937785233708797</v>
      </c>
      <c r="M580" s="141">
        <v>1.0990340896151238</v>
      </c>
      <c r="N580" s="141">
        <v>1.1041657744132061</v>
      </c>
      <c r="O580" s="380">
        <f t="shared" si="149"/>
        <v>1.0416577441320607E-2</v>
      </c>
      <c r="P580" s="383">
        <f t="shared" si="150"/>
        <v>9.95826625164975E-3</v>
      </c>
      <c r="Q580" s="453">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2">
      <c r="A581" s="428" t="s">
        <v>795</v>
      </c>
      <c r="C581" s="137" t="s">
        <v>642</v>
      </c>
      <c r="D581" s="449"/>
      <c r="E581" s="141">
        <v>1.0231841082591016</v>
      </c>
      <c r="F581" s="141">
        <v>1.0358890289056439</v>
      </c>
      <c r="G581" s="141">
        <v>1.0481652070229122</v>
      </c>
      <c r="H581" s="141">
        <v>1.0592891805745575</v>
      </c>
      <c r="I581" s="141">
        <v>1.069681907109314</v>
      </c>
      <c r="J581" s="141">
        <v>1.0752892564847816</v>
      </c>
      <c r="K581" s="141">
        <v>1.0807626164667843</v>
      </c>
      <c r="L581" s="141">
        <v>1.0861083242779219</v>
      </c>
      <c r="M581" s="141">
        <v>1.0913270354929456</v>
      </c>
      <c r="N581" s="141">
        <v>1.0964227339891921</v>
      </c>
      <c r="O581" s="380">
        <f t="shared" si="149"/>
        <v>9.64227339891921E-3</v>
      </c>
      <c r="P581" s="383">
        <f t="shared" si="150"/>
        <v>9.2477809488915597E-3</v>
      </c>
      <c r="Q581" s="453">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2">
      <c r="A582" s="428" t="s">
        <v>795</v>
      </c>
      <c r="C582" s="137" t="s">
        <v>643</v>
      </c>
      <c r="D582" s="449"/>
      <c r="E582" s="141">
        <v>1.0341666734322146</v>
      </c>
      <c r="F582" s="141">
        <v>1.0480179725760268</v>
      </c>
      <c r="G582" s="141">
        <v>1.0601012155156095</v>
      </c>
      <c r="H582" s="141">
        <v>1.0702848288878077</v>
      </c>
      <c r="I582" s="141">
        <v>1.0797421461131422</v>
      </c>
      <c r="J582" s="141">
        <v>1.0854022319839363</v>
      </c>
      <c r="K582" s="141">
        <v>1.0909270683059678</v>
      </c>
      <c r="L582" s="141">
        <v>1.0963230519027078</v>
      </c>
      <c r="M582" s="141">
        <v>1.1015908445145153</v>
      </c>
      <c r="N582" s="141">
        <v>1.1067344674866482</v>
      </c>
      <c r="O582" s="380">
        <f t="shared" si="149"/>
        <v>1.0673446748664817E-2</v>
      </c>
      <c r="P582" s="383">
        <f t="shared" si="150"/>
        <v>1.0192973847719333E-2</v>
      </c>
      <c r="Q582" s="453">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2">
      <c r="A583" s="428" t="s">
        <v>795</v>
      </c>
      <c r="C583" s="137" t="s">
        <v>644</v>
      </c>
      <c r="D583" s="449"/>
      <c r="E583" s="141">
        <v>1.0233409873632719</v>
      </c>
      <c r="F583" s="141">
        <v>1.0360814373748364</v>
      </c>
      <c r="G583" s="141">
        <v>1.0482875093579402</v>
      </c>
      <c r="H583" s="141">
        <v>1.0593852390742311</v>
      </c>
      <c r="I583" s="141">
        <v>1.0701308790705675</v>
      </c>
      <c r="J583" s="141">
        <v>1.0757405819892984</v>
      </c>
      <c r="K583" s="141">
        <v>1.0812162392759013</v>
      </c>
      <c r="L583" s="141">
        <v>1.0865641908128645</v>
      </c>
      <c r="M583" s="141">
        <v>1.0917850924501005</v>
      </c>
      <c r="N583" s="141">
        <v>1.0968829297370777</v>
      </c>
      <c r="O583" s="380">
        <f t="shared" si="149"/>
        <v>9.6882929737077683E-3</v>
      </c>
      <c r="P583" s="383">
        <f t="shared" si="150"/>
        <v>9.2901335764377091E-3</v>
      </c>
      <c r="Q583" s="453">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2">
      <c r="A584" s="428" t="s">
        <v>795</v>
      </c>
      <c r="C584" s="137" t="s">
        <v>645</v>
      </c>
      <c r="D584" s="449"/>
      <c r="E584" s="141">
        <v>1.0334066911438702</v>
      </c>
      <c r="F584" s="141">
        <v>1.0470642108004322</v>
      </c>
      <c r="G584" s="141">
        <v>1.0589787988674986</v>
      </c>
      <c r="H584" s="141">
        <v>1.0690674958412283</v>
      </c>
      <c r="I584" s="141">
        <v>1.0784273350333435</v>
      </c>
      <c r="J584" s="141">
        <v>1.0840805285700352</v>
      </c>
      <c r="K584" s="141">
        <v>1.0895986372524757</v>
      </c>
      <c r="L584" s="141">
        <v>1.0949880501146705</v>
      </c>
      <c r="M584" s="141">
        <v>1.1002494280911717</v>
      </c>
      <c r="N584" s="141">
        <v>1.1053867876304115</v>
      </c>
      <c r="O584" s="380">
        <f t="shared" si="149"/>
        <v>1.0538678763041154E-2</v>
      </c>
      <c r="P584" s="383">
        <f t="shared" si="150"/>
        <v>1.0069894342066732E-2</v>
      </c>
      <c r="Q584" s="453">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2">
      <c r="A585" s="428" t="s">
        <v>795</v>
      </c>
      <c r="C585" s="137" t="s">
        <v>646</v>
      </c>
      <c r="D585" s="449"/>
      <c r="E585" s="141">
        <v>1.0535754755454367</v>
      </c>
      <c r="F585" s="141">
        <v>1.079128927735721</v>
      </c>
      <c r="G585" s="141">
        <v>1.10377830980113</v>
      </c>
      <c r="H585" s="141">
        <v>1.1267313398994689</v>
      </c>
      <c r="I585" s="141">
        <v>1.1493400902365778</v>
      </c>
      <c r="J585" s="141">
        <v>1.1553650135285909</v>
      </c>
      <c r="K585" s="141">
        <v>1.1612459693658381</v>
      </c>
      <c r="L585" s="141">
        <v>1.1669897668977929</v>
      </c>
      <c r="M585" s="141">
        <v>1.1725971105192283</v>
      </c>
      <c r="N585" s="141">
        <v>1.1780722807829951</v>
      </c>
      <c r="O585" s="380">
        <f t="shared" si="149"/>
        <v>1.7807228078299507E-2</v>
      </c>
      <c r="P585" s="383">
        <f t="shared" si="150"/>
        <v>1.6522963134986579E-2</v>
      </c>
      <c r="Q585" s="453">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2">
      <c r="A586" s="58"/>
      <c r="B586" s="320"/>
      <c r="C586" s="137" t="s">
        <v>647</v>
      </c>
      <c r="D586" s="449"/>
      <c r="E586" s="141">
        <v>1.0081055095898279</v>
      </c>
      <c r="F586" s="141">
        <v>1.0157451629461605</v>
      </c>
      <c r="G586" s="141">
        <v>1.0222827798035592</v>
      </c>
      <c r="H586" s="141">
        <v>1.0276922014787842</v>
      </c>
      <c r="I586" s="141">
        <v>1.032997413899986</v>
      </c>
      <c r="J586" s="141">
        <v>1.0384124605275808</v>
      </c>
      <c r="K586" s="141">
        <v>1.0436981128969209</v>
      </c>
      <c r="L586" s="141">
        <v>1.0488604908970247</v>
      </c>
      <c r="M586" s="141">
        <v>1.053900227619859</v>
      </c>
      <c r="N586" s="141">
        <v>1.0588211703166104</v>
      </c>
      <c r="O586" s="380">
        <f t="shared" si="149"/>
        <v>5.8821170316610384E-3</v>
      </c>
      <c r="P586" s="383">
        <f t="shared" si="150"/>
        <v>5.7319838926312983E-3</v>
      </c>
      <c r="Q586" s="453">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2">
      <c r="C587" s="11"/>
      <c r="E587" s="15"/>
      <c r="M587" s="13"/>
      <c r="N587" s="13"/>
      <c r="O587" s="381" t="s">
        <v>648</v>
      </c>
      <c r="P587" s="381" t="s">
        <v>648</v>
      </c>
      <c r="Q587" s="454"/>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2">
      <c r="C588" s="11"/>
      <c r="E588" s="15"/>
      <c r="M588" s="13"/>
      <c r="N588" s="13"/>
      <c r="O588" s="381" t="s">
        <v>798</v>
      </c>
      <c r="P588" s="381" t="s">
        <v>798</v>
      </c>
      <c r="Q588" s="454"/>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2">
      <c r="C589" s="11"/>
      <c r="E589" s="15"/>
      <c r="M589" s="13"/>
      <c r="N589" s="13"/>
      <c r="O589" s="13"/>
      <c r="P589" s="13"/>
      <c r="Q589" s="454" t="s">
        <v>655</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2">
      <c r="E590" s="15"/>
      <c r="M590" s="13"/>
      <c r="N590" s="13"/>
      <c r="O590" s="13"/>
      <c r="P590" s="13"/>
      <c r="Q590" s="454" t="s">
        <v>656</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2">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2">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2">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2">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2">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2">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2">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2">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2">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2">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2">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2">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2">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2">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2">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2">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2">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2">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D25" formulaRange="1"/>
    <ignoredError sqref="F144:F148 F150:F152" formula="1"/>
    <ignoredError sqref="L135 H135:K135"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8E6F0-AD1F-46BA-A090-E077F9168190}">
  <sheetPr>
    <tabColor theme="8" tint="0.59999389629810485"/>
    <pageSetUpPr fitToPage="1"/>
  </sheetPr>
  <dimension ref="A1:U65"/>
  <sheetViews>
    <sheetView showGridLines="0" zoomScale="80" zoomScaleNormal="80" workbookViewId="0"/>
  </sheetViews>
  <sheetFormatPr defaultColWidth="9.140625" defaultRowHeight="12.75" x14ac:dyDescent="0.2"/>
  <cols>
    <col min="1" max="1" width="3.5703125" style="3" customWidth="1"/>
    <col min="2" max="2" width="30.140625" style="3" customWidth="1"/>
    <col min="3" max="3" width="25.85546875" style="3" customWidth="1"/>
    <col min="4" max="4" width="14.5703125" style="3" customWidth="1"/>
    <col min="5" max="5" width="11.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2" width="10.5703125" style="3" customWidth="1"/>
    <col min="13" max="13" width="12.5703125" style="3" customWidth="1"/>
    <col min="14" max="14" width="12.42578125" style="3" customWidth="1"/>
    <col min="15" max="16" width="12.140625" style="3" customWidth="1"/>
    <col min="17" max="19" width="12.85546875" style="3" customWidth="1"/>
    <col min="20" max="20" width="9.140625" style="3"/>
    <col min="21" max="21" width="9.5703125" style="3" bestFit="1" customWidth="1"/>
    <col min="22" max="16384" width="9.140625" style="3"/>
  </cols>
  <sheetData>
    <row r="1" spans="1:21" ht="30" customHeight="1" x14ac:dyDescent="0.35">
      <c r="A1" s="188"/>
      <c r="B1" s="405" t="str">
        <f>'Inputs and eligible population'!B1</f>
        <v>Menopause: identification and management (update)</v>
      </c>
      <c r="C1" s="146"/>
      <c r="D1" s="130"/>
      <c r="E1" s="130"/>
      <c r="F1" s="130"/>
      <c r="G1" s="130"/>
      <c r="H1" s="130"/>
      <c r="I1" s="130"/>
      <c r="J1" s="130" t="s">
        <v>71</v>
      </c>
      <c r="K1" s="130" t="s">
        <v>71</v>
      </c>
      <c r="L1" s="130" t="s">
        <v>71</v>
      </c>
      <c r="M1" s="130" t="s">
        <v>71</v>
      </c>
      <c r="N1" s="151"/>
      <c r="O1" s="188"/>
      <c r="P1" s="188"/>
      <c r="Q1" s="188"/>
      <c r="R1" s="188"/>
      <c r="S1" s="188"/>
      <c r="T1" s="151"/>
    </row>
    <row r="2" spans="1:21" ht="26.25" customHeight="1" x14ac:dyDescent="0.35">
      <c r="A2" s="188"/>
      <c r="B2" s="144" t="s">
        <v>72</v>
      </c>
      <c r="C2" s="145" t="s">
        <v>71</v>
      </c>
      <c r="D2" s="130" t="s">
        <v>71</v>
      </c>
      <c r="E2" s="130" t="s">
        <v>71</v>
      </c>
      <c r="F2" s="130" t="s">
        <v>71</v>
      </c>
      <c r="G2" s="130" t="s">
        <v>71</v>
      </c>
      <c r="H2" s="130" t="s">
        <v>71</v>
      </c>
      <c r="I2" s="130" t="s">
        <v>71</v>
      </c>
      <c r="J2" s="130" t="s">
        <v>71</v>
      </c>
      <c r="K2" s="131" t="s">
        <v>71</v>
      </c>
      <c r="L2" s="131"/>
      <c r="M2" s="131"/>
      <c r="N2" s="131"/>
      <c r="O2" s="188"/>
      <c r="P2" s="188"/>
      <c r="Q2" s="188"/>
      <c r="R2" s="188"/>
      <c r="S2" s="188"/>
      <c r="T2" s="151"/>
    </row>
    <row r="3" spans="1:21" ht="14.45" customHeight="1" x14ac:dyDescent="0.35">
      <c r="A3" s="188"/>
      <c r="B3" s="128"/>
      <c r="C3" s="146"/>
      <c r="D3" s="130"/>
      <c r="E3" s="130"/>
      <c r="F3" s="130"/>
      <c r="G3" s="130" t="s">
        <v>71</v>
      </c>
      <c r="H3" s="130" t="s">
        <v>71</v>
      </c>
      <c r="I3" s="130" t="s">
        <v>71</v>
      </c>
      <c r="J3" s="130" t="s">
        <v>71</v>
      </c>
      <c r="K3" s="131" t="s">
        <v>71</v>
      </c>
      <c r="L3" s="131"/>
      <c r="M3" s="131"/>
      <c r="N3" s="131"/>
      <c r="O3" s="188"/>
      <c r="P3" s="188"/>
      <c r="Q3" s="188"/>
      <c r="R3" s="188"/>
      <c r="S3" s="188"/>
      <c r="T3" s="151"/>
    </row>
    <row r="4" spans="1:21" ht="14.45" customHeight="1" x14ac:dyDescent="0.35">
      <c r="A4" s="188"/>
      <c r="B4" t="s">
        <v>73</v>
      </c>
      <c r="C4" s="146"/>
      <c r="D4" s="130"/>
      <c r="E4" s="130"/>
      <c r="F4" s="130"/>
      <c r="G4" s="130" t="s">
        <v>71</v>
      </c>
      <c r="H4" s="130" t="s">
        <v>71</v>
      </c>
      <c r="I4" s="130" t="s">
        <v>71</v>
      </c>
      <c r="J4" s="130" t="s">
        <v>71</v>
      </c>
      <c r="K4" s="131" t="s">
        <v>71</v>
      </c>
      <c r="L4" s="130"/>
      <c r="M4" s="131"/>
      <c r="N4" s="131"/>
      <c r="O4" s="131"/>
      <c r="P4" s="131"/>
      <c r="Q4" s="131"/>
      <c r="R4" s="131"/>
      <c r="S4" s="188"/>
      <c r="T4" s="151"/>
    </row>
    <row r="5" spans="1:21" ht="14.45" customHeight="1" x14ac:dyDescent="0.35">
      <c r="A5" s="188"/>
      <c r="B5" t="s">
        <v>33</v>
      </c>
      <c r="C5" s="146"/>
      <c r="D5" s="130"/>
      <c r="E5" s="130"/>
      <c r="F5" s="130"/>
      <c r="G5" s="130"/>
      <c r="H5" s="130" t="s">
        <v>71</v>
      </c>
      <c r="I5" s="130" t="s">
        <v>71</v>
      </c>
      <c r="J5" s="130" t="s">
        <v>71</v>
      </c>
      <c r="K5" s="131" t="s">
        <v>71</v>
      </c>
      <c r="L5" s="130"/>
      <c r="M5" s="131"/>
      <c r="N5" s="131"/>
      <c r="O5" s="131"/>
      <c r="P5" s="131"/>
      <c r="Q5" s="131"/>
      <c r="R5" s="131"/>
      <c r="S5" s="188"/>
      <c r="T5" s="151"/>
    </row>
    <row r="6" spans="1:21" ht="14.45" customHeight="1" x14ac:dyDescent="0.35">
      <c r="A6" s="188"/>
      <c r="B6"/>
      <c r="C6" s="146"/>
      <c r="D6" s="130"/>
      <c r="E6" s="130"/>
      <c r="F6" s="130"/>
      <c r="G6" s="130"/>
      <c r="H6" s="130"/>
      <c r="I6" s="130"/>
      <c r="J6" s="130"/>
      <c r="K6" s="131"/>
      <c r="L6" s="130"/>
      <c r="M6" s="131"/>
      <c r="N6" s="131"/>
      <c r="O6" s="131"/>
      <c r="P6" s="131"/>
      <c r="Q6" s="131"/>
      <c r="R6" s="131"/>
      <c r="S6" s="188"/>
      <c r="T6" s="151"/>
    </row>
    <row r="7" spans="1:21" s="228" customFormat="1" ht="15" x14ac:dyDescent="0.25">
      <c r="A7" s="230"/>
      <c r="B7" s="226" t="s">
        <v>74</v>
      </c>
      <c r="C7" s="230"/>
      <c r="D7" s="230"/>
      <c r="E7" s="230"/>
      <c r="F7" s="230"/>
      <c r="G7" s="230"/>
      <c r="H7" s="230"/>
      <c r="I7" s="230"/>
      <c r="J7" s="230"/>
      <c r="K7" s="230"/>
      <c r="L7" s="230"/>
      <c r="M7" s="230"/>
      <c r="N7" s="230"/>
      <c r="O7" s="230"/>
      <c r="P7" s="230"/>
      <c r="Q7" s="230"/>
      <c r="R7" s="230"/>
      <c r="S7" s="230"/>
      <c r="T7" s="707"/>
      <c r="U7" s="3"/>
    </row>
    <row r="8" spans="1:21" s="228" customFormat="1" ht="48.95" customHeight="1" x14ac:dyDescent="0.25">
      <c r="A8" s="230"/>
      <c r="B8" s="229" t="s">
        <v>75</v>
      </c>
      <c r="C8" s="231" t="s">
        <v>76</v>
      </c>
      <c r="D8" s="232" t="s">
        <v>88</v>
      </c>
      <c r="E8" s="232" t="s">
        <v>82</v>
      </c>
      <c r="F8" s="232" t="s">
        <v>84</v>
      </c>
      <c r="G8" s="232" t="s">
        <v>83</v>
      </c>
      <c r="H8" s="232" t="s">
        <v>85</v>
      </c>
      <c r="I8" s="229" t="s">
        <v>77</v>
      </c>
      <c r="J8" s="229" t="s">
        <v>78</v>
      </c>
      <c r="K8" s="232" t="s">
        <v>79</v>
      </c>
      <c r="L8" s="232" t="s">
        <v>80</v>
      </c>
      <c r="M8" s="232" t="s">
        <v>81</v>
      </c>
      <c r="N8" s="229" t="s">
        <v>87</v>
      </c>
      <c r="O8" s="231" t="s">
        <v>86</v>
      </c>
      <c r="P8" s="229" t="s">
        <v>89</v>
      </c>
      <c r="Q8" s="232" t="s">
        <v>90</v>
      </c>
      <c r="R8" s="232" t="s">
        <v>1026</v>
      </c>
      <c r="S8" s="232" t="s">
        <v>90</v>
      </c>
      <c r="T8" s="707"/>
      <c r="U8" s="3"/>
    </row>
    <row r="9" spans="1:21" s="228" customFormat="1" ht="15" x14ac:dyDescent="0.25">
      <c r="A9" s="230"/>
      <c r="B9" s="235" t="s">
        <v>838</v>
      </c>
      <c r="C9" s="664" t="s">
        <v>839</v>
      </c>
      <c r="D9" s="665" t="s">
        <v>840</v>
      </c>
      <c r="E9" s="665" t="s">
        <v>846</v>
      </c>
      <c r="F9" s="666">
        <v>6.5</v>
      </c>
      <c r="G9" s="667">
        <v>28</v>
      </c>
      <c r="H9" s="667">
        <f>F9*G9</f>
        <v>182</v>
      </c>
      <c r="I9" s="666">
        <v>6.5</v>
      </c>
      <c r="J9" s="668" t="s">
        <v>91</v>
      </c>
      <c r="K9" s="668" t="s">
        <v>91</v>
      </c>
      <c r="L9" s="666">
        <v>6.5</v>
      </c>
      <c r="M9" s="664">
        <v>1</v>
      </c>
      <c r="N9" s="664">
        <v>365</v>
      </c>
      <c r="O9" s="669">
        <v>15.94</v>
      </c>
      <c r="P9" s="670"/>
      <c r="Q9" s="671">
        <f>(L9/H9*O9*N9)*(1+P9)</f>
        <v>207.78928571428571</v>
      </c>
      <c r="R9" s="672"/>
      <c r="S9" s="671">
        <f>Q9*R9</f>
        <v>0</v>
      </c>
      <c r="T9" s="707"/>
      <c r="U9" s="700"/>
    </row>
    <row r="10" spans="1:21" s="228" customFormat="1" ht="15" x14ac:dyDescent="0.25">
      <c r="A10" s="230"/>
      <c r="B10" s="235" t="s">
        <v>838</v>
      </c>
      <c r="C10" s="664" t="s">
        <v>937</v>
      </c>
      <c r="D10" s="665" t="s">
        <v>842</v>
      </c>
      <c r="E10" s="665" t="s">
        <v>847</v>
      </c>
      <c r="F10" s="666">
        <v>1</v>
      </c>
      <c r="G10" s="667">
        <v>30</v>
      </c>
      <c r="H10" s="667">
        <f t="shared" ref="H10:H14" si="0">F10*G10</f>
        <v>30</v>
      </c>
      <c r="I10" s="666">
        <v>0.5</v>
      </c>
      <c r="J10" s="668" t="s">
        <v>91</v>
      </c>
      <c r="K10" s="668" t="s">
        <v>91</v>
      </c>
      <c r="L10" s="666">
        <v>0.5</v>
      </c>
      <c r="M10" s="664">
        <v>1</v>
      </c>
      <c r="N10" s="664">
        <v>365</v>
      </c>
      <c r="O10" s="669">
        <v>18.899999999999999</v>
      </c>
      <c r="P10" s="670"/>
      <c r="Q10" s="671">
        <f t="shared" ref="Q10:Q14" si="1">(L10/H10*O10*N10)*(1+P10)</f>
        <v>114.97499999999998</v>
      </c>
      <c r="R10" s="672"/>
      <c r="S10" s="671">
        <f t="shared" ref="S10:S14" si="2">Q10*R10</f>
        <v>0</v>
      </c>
      <c r="T10" s="707"/>
      <c r="U10" s="700"/>
    </row>
    <row r="11" spans="1:21" s="228" customFormat="1" ht="15" x14ac:dyDescent="0.25">
      <c r="A11" s="230"/>
      <c r="B11" s="235" t="s">
        <v>838</v>
      </c>
      <c r="C11" s="664" t="s">
        <v>938</v>
      </c>
      <c r="D11" s="665" t="s">
        <v>932</v>
      </c>
      <c r="E11" s="665" t="s">
        <v>846</v>
      </c>
      <c r="F11" s="715">
        <v>0.03</v>
      </c>
      <c r="G11" s="667">
        <v>24</v>
      </c>
      <c r="H11" s="667">
        <f t="shared" si="0"/>
        <v>0.72</v>
      </c>
      <c r="I11" s="715">
        <v>0.03</v>
      </c>
      <c r="J11" s="668" t="s">
        <v>91</v>
      </c>
      <c r="K11" s="668" t="s">
        <v>91</v>
      </c>
      <c r="L11" s="715">
        <v>0.03</v>
      </c>
      <c r="M11" s="664">
        <v>1</v>
      </c>
      <c r="N11" s="664">
        <f>(1*7*3)+(1*2*49)</f>
        <v>119</v>
      </c>
      <c r="O11" s="669">
        <v>13.38</v>
      </c>
      <c r="P11" s="670"/>
      <c r="Q11" s="671">
        <f t="shared" si="1"/>
        <v>66.342500000000001</v>
      </c>
      <c r="R11" s="672"/>
      <c r="S11" s="671">
        <f t="shared" si="2"/>
        <v>0</v>
      </c>
      <c r="T11" s="707"/>
      <c r="U11" s="700"/>
    </row>
    <row r="12" spans="1:21" s="228" customFormat="1" ht="15" x14ac:dyDescent="0.25">
      <c r="A12" s="230"/>
      <c r="B12" s="235" t="s">
        <v>838</v>
      </c>
      <c r="C12" s="664" t="s">
        <v>939</v>
      </c>
      <c r="D12" s="665" t="s">
        <v>931</v>
      </c>
      <c r="E12" s="665" t="s">
        <v>848</v>
      </c>
      <c r="F12" s="666">
        <v>0.05</v>
      </c>
      <c r="G12" s="667">
        <v>30</v>
      </c>
      <c r="H12" s="667">
        <f t="shared" si="0"/>
        <v>1.5</v>
      </c>
      <c r="I12" s="666">
        <v>0.05</v>
      </c>
      <c r="J12" s="668" t="s">
        <v>91</v>
      </c>
      <c r="K12" s="668" t="s">
        <v>91</v>
      </c>
      <c r="L12" s="666">
        <v>0.05</v>
      </c>
      <c r="M12" s="664">
        <v>1</v>
      </c>
      <c r="N12" s="664">
        <v>365</v>
      </c>
      <c r="O12" s="669">
        <v>18.899999999999999</v>
      </c>
      <c r="P12" s="670"/>
      <c r="Q12" s="671">
        <f t="shared" si="1"/>
        <v>229.94999999999996</v>
      </c>
      <c r="R12" s="672"/>
      <c r="S12" s="671">
        <f t="shared" si="2"/>
        <v>0</v>
      </c>
      <c r="T12" s="707"/>
      <c r="U12" s="700"/>
    </row>
    <row r="13" spans="1:21" s="228" customFormat="1" ht="15" x14ac:dyDescent="0.25">
      <c r="A13" s="230"/>
      <c r="B13" s="235" t="s">
        <v>838</v>
      </c>
      <c r="C13" s="664" t="s">
        <v>930</v>
      </c>
      <c r="D13" s="665" t="s">
        <v>840</v>
      </c>
      <c r="E13" s="665" t="s">
        <v>847</v>
      </c>
      <c r="F13" s="666">
        <v>1</v>
      </c>
      <c r="G13" s="667">
        <v>84</v>
      </c>
      <c r="H13" s="667">
        <f t="shared" si="0"/>
        <v>84</v>
      </c>
      <c r="I13" s="666">
        <v>1</v>
      </c>
      <c r="J13" s="668" t="s">
        <v>91</v>
      </c>
      <c r="K13" s="668" t="s">
        <v>91</v>
      </c>
      <c r="L13" s="666">
        <v>1</v>
      </c>
      <c r="M13" s="664">
        <v>1</v>
      </c>
      <c r="N13" s="664">
        <v>365</v>
      </c>
      <c r="O13" s="669">
        <v>24.43</v>
      </c>
      <c r="P13" s="670"/>
      <c r="Q13" s="671">
        <f t="shared" si="1"/>
        <v>106.15416666666667</v>
      </c>
      <c r="R13" s="672"/>
      <c r="S13" s="671">
        <f t="shared" si="2"/>
        <v>0</v>
      </c>
      <c r="T13" s="707"/>
      <c r="U13" s="700"/>
    </row>
    <row r="14" spans="1:21" s="228" customFormat="1" ht="15" x14ac:dyDescent="0.25">
      <c r="A14" s="230"/>
      <c r="B14" s="235" t="s">
        <v>838</v>
      </c>
      <c r="C14" s="664" t="s">
        <v>843</v>
      </c>
      <c r="D14" s="665" t="s">
        <v>932</v>
      </c>
      <c r="E14" s="665" t="s">
        <v>849</v>
      </c>
      <c r="F14" s="666">
        <v>1</v>
      </c>
      <c r="G14" s="667">
        <v>1</v>
      </c>
      <c r="H14" s="667">
        <f t="shared" si="0"/>
        <v>1</v>
      </c>
      <c r="I14" s="666">
        <v>1</v>
      </c>
      <c r="J14" s="668" t="s">
        <v>91</v>
      </c>
      <c r="K14" s="668" t="s">
        <v>91</v>
      </c>
      <c r="L14" s="666">
        <v>1</v>
      </c>
      <c r="M14" s="664">
        <v>1</v>
      </c>
      <c r="N14" s="664">
        <v>4</v>
      </c>
      <c r="O14" s="669">
        <v>31.42</v>
      </c>
      <c r="P14" s="670"/>
      <c r="Q14" s="671">
        <f t="shared" si="1"/>
        <v>125.68</v>
      </c>
      <c r="R14" s="672"/>
      <c r="S14" s="671">
        <f t="shared" si="2"/>
        <v>0</v>
      </c>
      <c r="T14" s="707"/>
      <c r="U14" s="700"/>
    </row>
    <row r="15" spans="1:21" s="228" customFormat="1" ht="15" x14ac:dyDescent="0.25">
      <c r="A15" s="230"/>
      <c r="B15" s="235" t="s">
        <v>838</v>
      </c>
      <c r="C15" s="664" t="s">
        <v>844</v>
      </c>
      <c r="D15" s="665" t="s">
        <v>842</v>
      </c>
      <c r="E15" s="665" t="s">
        <v>846</v>
      </c>
      <c r="F15" s="666">
        <v>10</v>
      </c>
      <c r="G15" s="667">
        <v>24</v>
      </c>
      <c r="H15" s="667">
        <f>F15*G15</f>
        <v>240</v>
      </c>
      <c r="I15" s="666">
        <v>10</v>
      </c>
      <c r="J15" s="668" t="s">
        <v>91</v>
      </c>
      <c r="K15" s="668" t="s">
        <v>91</v>
      </c>
      <c r="L15" s="666">
        <v>10</v>
      </c>
      <c r="M15" s="664">
        <v>1</v>
      </c>
      <c r="N15" s="673">
        <v>365</v>
      </c>
      <c r="O15" s="669">
        <v>15</v>
      </c>
      <c r="P15" s="670"/>
      <c r="Q15" s="671">
        <f>(L15/H15*O15*N15)*(1+P15)</f>
        <v>228.125</v>
      </c>
      <c r="R15" s="672"/>
      <c r="S15" s="671">
        <f>Q15*R15</f>
        <v>0</v>
      </c>
      <c r="T15" s="707"/>
      <c r="U15" s="3"/>
    </row>
    <row r="16" spans="1:21" s="228" customFormat="1" ht="15" x14ac:dyDescent="0.25">
      <c r="A16" s="230"/>
      <c r="B16" s="235" t="s">
        <v>838</v>
      </c>
      <c r="C16" s="664" t="s">
        <v>92</v>
      </c>
      <c r="D16" s="665"/>
      <c r="E16" s="665"/>
      <c r="F16" s="667"/>
      <c r="G16" s="667"/>
      <c r="H16" s="667"/>
      <c r="I16" s="667"/>
      <c r="J16" s="668"/>
      <c r="K16" s="668"/>
      <c r="L16" s="667"/>
      <c r="M16" s="664"/>
      <c r="N16" s="674"/>
      <c r="O16" s="669"/>
      <c r="P16" s="670"/>
      <c r="Q16" s="671"/>
      <c r="R16" s="672"/>
      <c r="S16" s="671">
        <f t="shared" ref="S16:S18" si="3">Q16*R16</f>
        <v>0</v>
      </c>
      <c r="T16" s="707"/>
      <c r="U16" s="3"/>
    </row>
    <row r="17" spans="1:21" s="228" customFormat="1" ht="15" x14ac:dyDescent="0.25">
      <c r="A17" s="230"/>
      <c r="B17" s="235" t="s">
        <v>838</v>
      </c>
      <c r="C17" s="664" t="s">
        <v>92</v>
      </c>
      <c r="D17" s="665"/>
      <c r="E17" s="665"/>
      <c r="F17" s="667"/>
      <c r="G17" s="667"/>
      <c r="H17" s="667"/>
      <c r="I17" s="667"/>
      <c r="J17" s="668"/>
      <c r="K17" s="668"/>
      <c r="L17" s="667"/>
      <c r="M17" s="664"/>
      <c r="N17" s="674"/>
      <c r="O17" s="669"/>
      <c r="P17" s="670"/>
      <c r="Q17" s="671"/>
      <c r="R17" s="672"/>
      <c r="S17" s="671">
        <f t="shared" si="3"/>
        <v>0</v>
      </c>
      <c r="T17" s="707"/>
      <c r="U17" s="3"/>
    </row>
    <row r="18" spans="1:21" s="228" customFormat="1" ht="15" x14ac:dyDescent="0.25">
      <c r="A18" s="230"/>
      <c r="B18" s="235" t="s">
        <v>838</v>
      </c>
      <c r="C18" s="664" t="s">
        <v>92</v>
      </c>
      <c r="D18" s="665"/>
      <c r="E18" s="665"/>
      <c r="F18" s="667"/>
      <c r="G18" s="667"/>
      <c r="H18" s="667"/>
      <c r="I18" s="667"/>
      <c r="J18" s="668"/>
      <c r="K18" s="668"/>
      <c r="L18" s="667"/>
      <c r="M18" s="664"/>
      <c r="N18" s="674"/>
      <c r="O18" s="669"/>
      <c r="P18" s="670"/>
      <c r="Q18" s="671"/>
      <c r="R18" s="672"/>
      <c r="S18" s="671">
        <f t="shared" si="3"/>
        <v>0</v>
      </c>
      <c r="T18" s="707"/>
      <c r="U18" s="3"/>
    </row>
    <row r="19" spans="1:21" s="228" customFormat="1" ht="15" x14ac:dyDescent="0.25">
      <c r="A19" s="230"/>
      <c r="B19" s="235"/>
      <c r="C19" s="233" t="s">
        <v>93</v>
      </c>
      <c r="D19" s="236"/>
      <c r="E19" s="236"/>
      <c r="F19" s="236"/>
      <c r="G19" s="236"/>
      <c r="H19" s="236"/>
      <c r="I19" s="236"/>
      <c r="J19" s="236"/>
      <c r="K19" s="236"/>
      <c r="L19" s="236"/>
      <c r="M19" s="236"/>
      <c r="N19" s="236"/>
      <c r="O19" s="236"/>
      <c r="P19" s="234"/>
      <c r="Q19" s="675"/>
      <c r="R19" s="676">
        <f>SUM(R9:R18)</f>
        <v>0</v>
      </c>
      <c r="S19" s="675">
        <f>SUM(S9:S18)</f>
        <v>0</v>
      </c>
      <c r="T19" s="707"/>
      <c r="U19" s="3"/>
    </row>
    <row r="20" spans="1:21" s="228" customFormat="1" ht="15" x14ac:dyDescent="0.25">
      <c r="A20" s="230"/>
      <c r="B20" s="226"/>
      <c r="C20" s="230"/>
      <c r="D20" s="230"/>
      <c r="E20" s="230"/>
      <c r="F20" s="230"/>
      <c r="G20" s="230"/>
      <c r="H20" s="230"/>
      <c r="I20" s="230"/>
      <c r="J20" s="230"/>
      <c r="K20" s="230"/>
      <c r="L20" s="230"/>
      <c r="M20" s="230"/>
      <c r="N20" s="230"/>
      <c r="O20" s="230"/>
      <c r="P20" s="230"/>
      <c r="Q20" s="230"/>
      <c r="R20" s="504" t="s">
        <v>1027</v>
      </c>
      <c r="S20" s="230"/>
      <c r="T20" s="707"/>
      <c r="U20" s="3"/>
    </row>
    <row r="21" spans="1:21" s="228" customFormat="1" ht="15" x14ac:dyDescent="0.25">
      <c r="A21" s="230"/>
      <c r="B21" s="226"/>
      <c r="C21" s="230"/>
      <c r="D21" s="230"/>
      <c r="E21" s="230"/>
      <c r="F21" s="230"/>
      <c r="G21" s="230"/>
      <c r="H21" s="230"/>
      <c r="I21" s="230"/>
      <c r="J21" s="230"/>
      <c r="K21" s="230"/>
      <c r="L21" s="230"/>
      <c r="M21" s="230"/>
      <c r="N21" s="230"/>
      <c r="O21" s="230"/>
      <c r="P21" s="230"/>
      <c r="Q21" s="230"/>
      <c r="R21" s="230"/>
      <c r="S21" s="230"/>
      <c r="T21" s="707"/>
      <c r="U21" s="3"/>
    </row>
    <row r="22" spans="1:21" s="228" customFormat="1" ht="48.95" customHeight="1" x14ac:dyDescent="0.25">
      <c r="A22" s="230"/>
      <c r="B22" s="229" t="s">
        <v>75</v>
      </c>
      <c r="C22" s="231" t="s">
        <v>76</v>
      </c>
      <c r="D22" s="232" t="s">
        <v>88</v>
      </c>
      <c r="E22" s="232" t="s">
        <v>82</v>
      </c>
      <c r="F22" s="232" t="s">
        <v>84</v>
      </c>
      <c r="G22" s="232" t="s">
        <v>83</v>
      </c>
      <c r="H22" s="232" t="s">
        <v>85</v>
      </c>
      <c r="I22" s="229" t="s">
        <v>77</v>
      </c>
      <c r="J22" s="229" t="s">
        <v>78</v>
      </c>
      <c r="K22" s="232" t="s">
        <v>79</v>
      </c>
      <c r="L22" s="232" t="s">
        <v>80</v>
      </c>
      <c r="M22" s="232" t="s">
        <v>81</v>
      </c>
      <c r="N22" s="229" t="s">
        <v>87</v>
      </c>
      <c r="O22" s="231" t="s">
        <v>86</v>
      </c>
      <c r="P22" s="229" t="s">
        <v>89</v>
      </c>
      <c r="Q22" s="232" t="s">
        <v>90</v>
      </c>
      <c r="R22" s="718"/>
      <c r="S22" s="718"/>
      <c r="T22" s="707"/>
      <c r="U22" s="3"/>
    </row>
    <row r="23" spans="1:21" s="228" customFormat="1" ht="30" x14ac:dyDescent="0.25">
      <c r="A23" s="230"/>
      <c r="B23" s="780" t="s">
        <v>1030</v>
      </c>
      <c r="C23" s="664" t="s">
        <v>841</v>
      </c>
      <c r="D23" s="665" t="s">
        <v>840</v>
      </c>
      <c r="E23" s="665" t="s">
        <v>847</v>
      </c>
      <c r="F23" s="666">
        <v>60</v>
      </c>
      <c r="G23" s="667">
        <v>28</v>
      </c>
      <c r="H23" s="667">
        <f t="shared" ref="H23" si="4">F23*G23</f>
        <v>1680</v>
      </c>
      <c r="I23" s="666">
        <v>60</v>
      </c>
      <c r="J23" s="668" t="s">
        <v>91</v>
      </c>
      <c r="K23" s="668" t="s">
        <v>91</v>
      </c>
      <c r="L23" s="666">
        <v>60</v>
      </c>
      <c r="M23" s="664">
        <v>1</v>
      </c>
      <c r="N23" s="664">
        <v>365</v>
      </c>
      <c r="O23" s="669">
        <v>39.5</v>
      </c>
      <c r="P23" s="670"/>
      <c r="Q23" s="671">
        <f t="shared" ref="Q23" si="5">(L23/H23*O23*N23)*(1+P23)</f>
        <v>514.91071428571422</v>
      </c>
      <c r="R23" s="727"/>
      <c r="S23" s="727"/>
      <c r="T23" s="707"/>
    </row>
    <row r="24" spans="1:21" s="228" customFormat="1" ht="15" x14ac:dyDescent="0.25">
      <c r="A24" s="230"/>
      <c r="B24" s="226"/>
      <c r="C24" s="230"/>
      <c r="D24" s="230"/>
      <c r="E24" s="230"/>
      <c r="F24" s="230"/>
      <c r="G24" s="230"/>
      <c r="H24" s="230"/>
      <c r="I24" s="230"/>
      <c r="J24" s="230"/>
      <c r="K24" s="230"/>
      <c r="L24" s="230"/>
      <c r="M24" s="230"/>
      <c r="N24" s="230"/>
      <c r="O24" s="230"/>
      <c r="P24" s="230"/>
      <c r="Q24" s="230"/>
      <c r="R24" s="230"/>
      <c r="S24" s="230"/>
      <c r="T24" s="707"/>
      <c r="U24" s="3"/>
    </row>
    <row r="25" spans="1:21" s="228" customFormat="1" ht="15" x14ac:dyDescent="0.25">
      <c r="A25" s="230"/>
      <c r="B25" s="230" t="s">
        <v>1028</v>
      </c>
      <c r="C25" s="230"/>
      <c r="D25" s="230"/>
      <c r="E25" s="230"/>
      <c r="F25" s="230"/>
      <c r="G25" s="230"/>
      <c r="H25" s="230"/>
      <c r="I25" s="230"/>
      <c r="J25" s="230"/>
      <c r="K25" s="230"/>
      <c r="L25" s="230"/>
      <c r="M25" s="230"/>
      <c r="N25" s="230"/>
      <c r="O25" s="230"/>
      <c r="P25" s="230"/>
      <c r="Q25" s="230"/>
      <c r="R25" s="230"/>
      <c r="S25" s="230"/>
      <c r="T25" s="707"/>
      <c r="U25" s="3"/>
    </row>
    <row r="26" spans="1:21" s="228" customFormat="1" ht="15" x14ac:dyDescent="0.25">
      <c r="A26" s="230"/>
      <c r="B26" s="230" t="s">
        <v>1029</v>
      </c>
      <c r="C26" s="230"/>
      <c r="D26" s="230"/>
      <c r="E26" s="230"/>
      <c r="F26" s="230"/>
      <c r="G26" s="230"/>
      <c r="H26" s="230"/>
      <c r="I26" s="230"/>
      <c r="J26" s="230"/>
      <c r="K26" s="230"/>
      <c r="L26" s="230"/>
      <c r="M26" s="230"/>
      <c r="N26" s="230"/>
      <c r="O26" s="230"/>
      <c r="P26" s="230"/>
      <c r="Q26" s="230"/>
      <c r="R26" s="230"/>
      <c r="S26" s="230"/>
      <c r="T26" s="707"/>
      <c r="U26" s="3"/>
    </row>
    <row r="27" spans="1:21" s="228" customFormat="1" ht="15" x14ac:dyDescent="0.25">
      <c r="A27" s="230"/>
      <c r="B27" s="189" t="s">
        <v>850</v>
      </c>
      <c r="C27" s="230"/>
      <c r="D27" s="501"/>
      <c r="E27" s="502"/>
      <c r="F27" s="503"/>
      <c r="G27" s="230"/>
      <c r="H27" s="504"/>
      <c r="I27" s="503"/>
      <c r="J27" s="503"/>
      <c r="K27" s="503"/>
      <c r="L27" s="503"/>
      <c r="M27" s="503"/>
      <c r="N27" s="504"/>
      <c r="O27" s="230"/>
      <c r="P27" s="505"/>
      <c r="Q27" s="506"/>
      <c r="R27" s="230"/>
      <c r="S27" s="230"/>
      <c r="T27" s="707"/>
    </row>
    <row r="28" spans="1:21" s="228" customFormat="1" ht="15" x14ac:dyDescent="0.25">
      <c r="A28" s="230"/>
      <c r="B28" s="507" t="s">
        <v>851</v>
      </c>
      <c r="C28" s="230"/>
      <c r="D28" s="501"/>
      <c r="E28" s="502"/>
      <c r="F28" s="503"/>
      <c r="G28" s="230"/>
      <c r="H28" s="504"/>
      <c r="I28" s="503"/>
      <c r="J28" s="503"/>
      <c r="K28" s="503"/>
      <c r="L28" s="188"/>
      <c r="M28" s="503"/>
      <c r="N28" s="504"/>
      <c r="O28" s="230"/>
      <c r="P28" s="508"/>
      <c r="Q28" s="506"/>
      <c r="R28" s="230"/>
      <c r="S28" s="230"/>
      <c r="T28" s="707"/>
    </row>
    <row r="29" spans="1:21" s="228" customFormat="1" ht="15" x14ac:dyDescent="0.25">
      <c r="A29" s="189"/>
      <c r="B29" s="189" t="s">
        <v>940</v>
      </c>
      <c r="C29" s="230"/>
      <c r="D29" s="501"/>
      <c r="E29" s="502"/>
      <c r="F29" s="503"/>
      <c r="G29" s="230"/>
      <c r="H29" s="504"/>
      <c r="I29" s="503"/>
      <c r="J29" s="503"/>
      <c r="K29" s="503"/>
      <c r="L29" s="503"/>
      <c r="M29" s="503"/>
      <c r="N29" s="504"/>
      <c r="O29" s="230"/>
      <c r="P29" s="505"/>
      <c r="Q29" s="506"/>
      <c r="R29" s="230"/>
      <c r="S29" s="230"/>
      <c r="T29" s="707"/>
    </row>
    <row r="30" spans="1:21" s="228" customFormat="1" ht="15" x14ac:dyDescent="0.25">
      <c r="A30" s="230"/>
      <c r="B30" s="507" t="s">
        <v>852</v>
      </c>
      <c r="C30" s="230"/>
      <c r="D30" s="501"/>
      <c r="E30" s="502"/>
      <c r="F30" s="503"/>
      <c r="G30" s="230"/>
      <c r="H30" s="504"/>
      <c r="I30" s="503"/>
      <c r="J30" s="503"/>
      <c r="K30" s="503"/>
      <c r="L30" s="503"/>
      <c r="M30" s="503"/>
      <c r="N30" s="504"/>
      <c r="O30" s="230"/>
      <c r="P30" s="505"/>
      <c r="Q30" s="506"/>
      <c r="R30" s="230"/>
      <c r="S30" s="230"/>
      <c r="T30" s="707"/>
    </row>
    <row r="31" spans="1:21" s="228" customFormat="1" ht="15" x14ac:dyDescent="0.25">
      <c r="A31" s="230"/>
      <c r="B31" s="189" t="s">
        <v>853</v>
      </c>
      <c r="C31" s="230"/>
      <c r="D31" s="501"/>
      <c r="E31" s="502"/>
      <c r="F31" s="503"/>
      <c r="G31" s="230"/>
      <c r="H31" s="504"/>
      <c r="I31" s="503"/>
      <c r="J31" s="503"/>
      <c r="K31" s="503"/>
      <c r="L31" s="503"/>
      <c r="M31" s="503"/>
      <c r="N31" s="504"/>
      <c r="O31" s="230"/>
      <c r="P31" s="505"/>
      <c r="Q31" s="506"/>
      <c r="R31" s="230"/>
      <c r="S31" s="230"/>
      <c r="T31" s="707"/>
    </row>
    <row r="32" spans="1:21" s="228" customFormat="1" ht="15" x14ac:dyDescent="0.25">
      <c r="A32" s="230"/>
      <c r="B32" s="683" t="s">
        <v>854</v>
      </c>
      <c r="C32" s="230"/>
      <c r="D32" s="501"/>
      <c r="E32" s="502"/>
      <c r="F32" s="503"/>
      <c r="G32" s="230"/>
      <c r="H32" s="504"/>
      <c r="I32" s="503"/>
      <c r="J32" s="503"/>
      <c r="K32" s="503"/>
      <c r="L32" s="503"/>
      <c r="M32" s="503"/>
      <c r="N32" s="504"/>
      <c r="O32" s="230"/>
      <c r="P32" s="505"/>
      <c r="Q32" s="506"/>
      <c r="R32" s="230"/>
      <c r="S32" s="230"/>
      <c r="T32" s="707"/>
    </row>
    <row r="33" spans="1:21" s="4" customFormat="1" ht="15.75" thickBot="1" x14ac:dyDescent="0.3">
      <c r="A33" s="5"/>
      <c r="B33" s="684"/>
      <c r="C33" s="685"/>
      <c r="D33" s="686"/>
      <c r="E33" s="687"/>
      <c r="F33" s="688"/>
      <c r="G33" s="689"/>
      <c r="H33" s="685"/>
      <c r="I33" s="685"/>
      <c r="J33" s="690"/>
      <c r="K33" s="689"/>
      <c r="L33" s="689"/>
      <c r="M33" s="689"/>
      <c r="N33" s="689"/>
      <c r="O33" s="689"/>
      <c r="P33" s="690"/>
      <c r="Q33" s="685"/>
      <c r="R33" s="685"/>
      <c r="S33" s="685"/>
      <c r="T33" s="709"/>
      <c r="U33" s="3"/>
    </row>
    <row r="34" spans="1:21" s="4" customFormat="1" ht="15" x14ac:dyDescent="0.25">
      <c r="A34" s="5"/>
      <c r="B34" s="230"/>
      <c r="C34" s="589"/>
      <c r="D34" s="590"/>
      <c r="E34" s="509"/>
      <c r="F34" s="176"/>
      <c r="G34" s="177"/>
      <c r="H34" s="5"/>
      <c r="I34" s="5"/>
      <c r="J34" s="5"/>
      <c r="K34" s="5"/>
      <c r="L34" s="177"/>
      <c r="M34" s="177"/>
      <c r="N34" s="591"/>
      <c r="O34" s="177"/>
      <c r="P34" s="178"/>
      <c r="Q34" s="5"/>
      <c r="R34" s="5"/>
      <c r="S34" s="5"/>
      <c r="T34" s="711"/>
      <c r="U34" s="3"/>
    </row>
    <row r="35" spans="1:21" s="4" customFormat="1" ht="15" x14ac:dyDescent="0.25">
      <c r="A35" s="5"/>
      <c r="B35" s="333" t="s">
        <v>855</v>
      </c>
      <c r="C35" s="509"/>
      <c r="D35" s="509"/>
      <c r="E35" s="502"/>
      <c r="F35" s="503"/>
      <c r="G35" s="503"/>
      <c r="H35" s="230"/>
      <c r="I35" s="503"/>
      <c r="J35" s="503"/>
      <c r="K35" s="230"/>
      <c r="L35" s="510"/>
      <c r="M35" s="503"/>
      <c r="N35" s="504"/>
      <c r="O35" s="504"/>
      <c r="P35" s="178"/>
      <c r="Q35" s="5"/>
      <c r="R35" s="5"/>
      <c r="S35" s="5"/>
      <c r="T35" s="708"/>
      <c r="U35" s="3"/>
    </row>
    <row r="36" spans="1:21" s="4" customFormat="1" ht="30" x14ac:dyDescent="0.25">
      <c r="A36" s="5"/>
      <c r="B36" s="237" t="s">
        <v>856</v>
      </c>
      <c r="C36" s="237" t="s">
        <v>857</v>
      </c>
      <c r="D36" s="237" t="s">
        <v>858</v>
      </c>
      <c r="E36" s="511"/>
      <c r="F36" s="512"/>
      <c r="G36" s="512"/>
      <c r="H36" s="500"/>
      <c r="I36" s="512"/>
      <c r="J36" s="229" t="s">
        <v>859</v>
      </c>
      <c r="K36" s="229" t="s">
        <v>845</v>
      </c>
      <c r="L36" s="229" t="s">
        <v>730</v>
      </c>
      <c r="M36" s="232" t="s">
        <v>860</v>
      </c>
      <c r="N36" s="504"/>
      <c r="O36" s="504"/>
      <c r="P36" s="178"/>
      <c r="Q36" s="5"/>
      <c r="R36" s="5"/>
      <c r="S36" s="5"/>
      <c r="T36" s="708"/>
      <c r="U36" s="3"/>
    </row>
    <row r="37" spans="1:21" s="4" customFormat="1" ht="15" x14ac:dyDescent="0.25">
      <c r="A37" s="5"/>
      <c r="B37" s="513">
        <v>502</v>
      </c>
      <c r="C37" s="514" t="s">
        <v>861</v>
      </c>
      <c r="D37" s="148" t="s">
        <v>862</v>
      </c>
      <c r="E37" s="515"/>
      <c r="F37" s="516"/>
      <c r="G37" s="516"/>
      <c r="H37" s="517"/>
      <c r="I37" s="516"/>
      <c r="J37" s="677">
        <v>666274</v>
      </c>
      <c r="K37" s="678">
        <v>0.78839104207046218</v>
      </c>
      <c r="L37" s="679">
        <v>215.19386904166399</v>
      </c>
      <c r="M37" s="680">
        <f>L37*K37</f>
        <v>169.65691866093204</v>
      </c>
      <c r="N37" s="504"/>
      <c r="O37" s="504"/>
      <c r="P37" s="178"/>
      <c r="Q37" s="5"/>
      <c r="R37" s="5"/>
      <c r="S37" s="5"/>
      <c r="T37" s="708"/>
      <c r="U37" s="3"/>
    </row>
    <row r="38" spans="1:21" s="4" customFormat="1" ht="15" x14ac:dyDescent="0.25">
      <c r="A38" s="5"/>
      <c r="B38" s="513">
        <v>502</v>
      </c>
      <c r="C38" s="514" t="s">
        <v>861</v>
      </c>
      <c r="D38" s="148" t="s">
        <v>863</v>
      </c>
      <c r="E38" s="515"/>
      <c r="F38" s="516"/>
      <c r="G38" s="516"/>
      <c r="H38" s="517"/>
      <c r="I38" s="516"/>
      <c r="J38" s="677">
        <v>158349</v>
      </c>
      <c r="K38" s="678">
        <v>0.18737176164883459</v>
      </c>
      <c r="L38" s="679">
        <v>169.850590905487</v>
      </c>
      <c r="M38" s="680">
        <f t="shared" ref="M38:M40" si="6">L38*K38</f>
        <v>31.825204435056623</v>
      </c>
      <c r="N38" s="504"/>
      <c r="O38" s="504"/>
      <c r="P38" s="178"/>
      <c r="Q38" s="504"/>
      <c r="R38" s="5"/>
      <c r="S38" s="5"/>
      <c r="T38" s="708"/>
      <c r="U38" s="3"/>
    </row>
    <row r="39" spans="1:21" s="4" customFormat="1" ht="15" x14ac:dyDescent="0.25">
      <c r="A39" s="5"/>
      <c r="B39" s="513">
        <v>502</v>
      </c>
      <c r="C39" s="514" t="s">
        <v>861</v>
      </c>
      <c r="D39" s="148" t="s">
        <v>864</v>
      </c>
      <c r="E39" s="515"/>
      <c r="F39" s="516"/>
      <c r="G39" s="516"/>
      <c r="H39" s="517"/>
      <c r="I39" s="516"/>
      <c r="J39" s="677">
        <v>18435</v>
      </c>
      <c r="K39" s="678">
        <v>2.1813831637688054E-2</v>
      </c>
      <c r="L39" s="679">
        <v>207.762815805804</v>
      </c>
      <c r="M39" s="680">
        <f t="shared" si="6"/>
        <v>4.5321030845598029</v>
      </c>
      <c r="N39" s="504"/>
      <c r="O39" s="504"/>
      <c r="P39" s="178"/>
      <c r="Q39" s="504"/>
      <c r="R39" s="5"/>
      <c r="S39" s="5"/>
      <c r="T39" s="708"/>
      <c r="U39" s="3"/>
    </row>
    <row r="40" spans="1:21" s="4" customFormat="1" ht="15" x14ac:dyDescent="0.25">
      <c r="A40" s="5"/>
      <c r="B40" s="513">
        <v>502</v>
      </c>
      <c r="C40" s="514" t="s">
        <v>861</v>
      </c>
      <c r="D40" s="148" t="s">
        <v>865</v>
      </c>
      <c r="E40" s="519"/>
      <c r="F40" s="520"/>
      <c r="G40" s="520"/>
      <c r="H40" s="236"/>
      <c r="I40" s="520"/>
      <c r="J40" s="677">
        <v>2048</v>
      </c>
      <c r="K40" s="678">
        <v>2.4233646430151957E-3</v>
      </c>
      <c r="L40" s="679">
        <v>176.90972532568301</v>
      </c>
      <c r="M40" s="680">
        <f t="shared" si="6"/>
        <v>0.42871677335979014</v>
      </c>
      <c r="N40" s="504"/>
      <c r="O40" s="504"/>
      <c r="P40" s="178"/>
      <c r="Q40" s="504"/>
      <c r="R40" s="5"/>
      <c r="S40" s="5"/>
      <c r="T40" s="708"/>
      <c r="U40" s="3"/>
    </row>
    <row r="41" spans="1:21" s="4" customFormat="1" ht="15" x14ac:dyDescent="0.25">
      <c r="A41" s="5"/>
      <c r="B41" s="706"/>
      <c r="C41" s="704"/>
      <c r="D41" s="701"/>
      <c r="E41" s="702"/>
      <c r="F41" s="703"/>
      <c r="G41" s="704"/>
      <c r="H41" s="705"/>
      <c r="I41" s="703"/>
      <c r="J41" s="521">
        <f>SUM(J37:J40)</f>
        <v>845106</v>
      </c>
      <c r="K41" s="598">
        <f>SUM(K37:K40)</f>
        <v>1</v>
      </c>
      <c r="L41" s="522" t="s">
        <v>816</v>
      </c>
      <c r="M41" s="681">
        <f>SUM(M37:M40)</f>
        <v>206.44294295390824</v>
      </c>
      <c r="N41" s="504"/>
      <c r="O41" s="504"/>
      <c r="P41" s="178"/>
      <c r="Q41" s="504"/>
      <c r="R41" s="5"/>
      <c r="S41" s="5"/>
      <c r="T41" s="708"/>
      <c r="U41" s="3"/>
    </row>
    <row r="42" spans="1:21" s="4" customFormat="1" ht="15" x14ac:dyDescent="0.25">
      <c r="A42" s="5"/>
      <c r="B42" s="592"/>
      <c r="C42" s="230"/>
      <c r="D42" s="501"/>
      <c r="E42" s="502"/>
      <c r="F42" s="503"/>
      <c r="G42" s="230"/>
      <c r="H42" s="504"/>
      <c r="I42" s="503"/>
      <c r="J42" s="503"/>
      <c r="K42" s="503"/>
      <c r="L42" s="504"/>
      <c r="M42" s="504"/>
      <c r="N42" s="504"/>
      <c r="O42" s="504"/>
      <c r="P42" s="178"/>
      <c r="Q42" s="504"/>
      <c r="R42" s="5"/>
      <c r="S42" s="5"/>
      <c r="T42" s="708"/>
      <c r="U42" s="3"/>
    </row>
    <row r="43" spans="1:21" s="4" customFormat="1" ht="15" x14ac:dyDescent="0.25">
      <c r="A43" s="5"/>
      <c r="B43" s="333" t="s">
        <v>831</v>
      </c>
      <c r="C43" s="230"/>
      <c r="D43" s="501"/>
      <c r="E43" s="502"/>
      <c r="F43" s="503"/>
      <c r="G43" s="230"/>
      <c r="H43" s="504"/>
      <c r="I43" s="503"/>
      <c r="J43" s="503"/>
      <c r="K43" s="503"/>
      <c r="L43" s="504"/>
      <c r="M43" s="504"/>
      <c r="N43" s="504"/>
      <c r="O43" s="504"/>
      <c r="P43" s="178"/>
      <c r="Q43" s="504"/>
      <c r="R43" s="5"/>
      <c r="S43" s="5"/>
      <c r="T43" s="708"/>
      <c r="U43" s="3"/>
    </row>
    <row r="44" spans="1:21" s="4" customFormat="1" ht="30" x14ac:dyDescent="0.25">
      <c r="A44" s="5"/>
      <c r="B44" s="593" t="s">
        <v>949</v>
      </c>
      <c r="C44" s="523" t="s">
        <v>950</v>
      </c>
      <c r="D44" s="524"/>
      <c r="E44" s="525"/>
      <c r="F44" s="528" t="s">
        <v>856</v>
      </c>
      <c r="G44" s="717" t="s">
        <v>935</v>
      </c>
      <c r="H44" s="526"/>
      <c r="I44" s="527"/>
      <c r="J44" s="524"/>
      <c r="K44" s="781"/>
      <c r="L44" s="528" t="s">
        <v>730</v>
      </c>
      <c r="M44" s="718"/>
      <c r="N44" s="504"/>
      <c r="O44" s="504"/>
      <c r="P44" s="178"/>
      <c r="Q44" s="504"/>
      <c r="R44" s="5"/>
      <c r="S44" s="5"/>
      <c r="T44" s="708"/>
      <c r="U44" s="3"/>
    </row>
    <row r="45" spans="1:21" s="4" customFormat="1" ht="15" x14ac:dyDescent="0.25">
      <c r="A45" s="5"/>
      <c r="B45" s="594" t="s">
        <v>866</v>
      </c>
      <c r="C45" s="529" t="s">
        <v>867</v>
      </c>
      <c r="D45" s="530"/>
      <c r="E45" s="515"/>
      <c r="F45" s="531">
        <v>502</v>
      </c>
      <c r="G45" s="758" t="s">
        <v>861</v>
      </c>
      <c r="H45" s="532"/>
      <c r="I45" s="516"/>
      <c r="J45" s="756"/>
      <c r="K45" s="757"/>
      <c r="L45" s="682">
        <v>235.6</v>
      </c>
      <c r="M45" s="537"/>
      <c r="N45" s="504"/>
      <c r="O45" s="504"/>
      <c r="P45" s="178"/>
      <c r="Q45" s="504"/>
      <c r="R45" s="5"/>
      <c r="S45" s="5"/>
      <c r="T45" s="708"/>
      <c r="U45" s="3"/>
    </row>
    <row r="46" spans="1:21" s="4" customFormat="1" ht="15" x14ac:dyDescent="0.25">
      <c r="A46" s="5"/>
      <c r="B46" s="595" t="s">
        <v>868</v>
      </c>
      <c r="C46" s="533" t="s">
        <v>869</v>
      </c>
      <c r="D46" s="534"/>
      <c r="E46" s="502"/>
      <c r="F46" s="535">
        <v>502</v>
      </c>
      <c r="G46" s="148" t="s">
        <v>861</v>
      </c>
      <c r="H46" s="504"/>
      <c r="I46" s="503"/>
      <c r="J46" s="759"/>
      <c r="K46" s="760"/>
      <c r="L46" s="682">
        <v>293.11</v>
      </c>
      <c r="M46" s="537"/>
      <c r="N46" s="504"/>
      <c r="O46" s="504"/>
      <c r="P46" s="178"/>
      <c r="Q46" s="504"/>
      <c r="R46" s="5"/>
      <c r="S46" s="5"/>
      <c r="T46" s="708"/>
      <c r="U46" s="3"/>
    </row>
    <row r="47" spans="1:21" s="4" customFormat="1" ht="15" x14ac:dyDescent="0.25">
      <c r="A47" s="5"/>
      <c r="B47" s="720" t="s">
        <v>951</v>
      </c>
      <c r="C47" s="529" t="s">
        <v>953</v>
      </c>
      <c r="D47" s="538"/>
      <c r="E47" s="721"/>
      <c r="F47" s="531">
        <v>502</v>
      </c>
      <c r="G47" s="148" t="s">
        <v>861</v>
      </c>
      <c r="H47" s="539"/>
      <c r="I47" s="520"/>
      <c r="J47" s="759"/>
      <c r="K47" s="760"/>
      <c r="L47" s="682">
        <v>286.41000000000003</v>
      </c>
      <c r="M47" s="537"/>
      <c r="N47" s="504"/>
      <c r="O47" s="504"/>
      <c r="P47" s="178"/>
      <c r="Q47" s="504"/>
      <c r="R47" s="5"/>
      <c r="S47" s="5"/>
      <c r="T47" s="708"/>
      <c r="U47" s="3"/>
    </row>
    <row r="48" spans="1:21" s="4" customFormat="1" ht="15" x14ac:dyDescent="0.25">
      <c r="A48" s="5"/>
      <c r="B48" s="720" t="s">
        <v>952</v>
      </c>
      <c r="C48" s="529" t="s">
        <v>954</v>
      </c>
      <c r="D48" s="538"/>
      <c r="E48" s="519"/>
      <c r="F48" s="531">
        <v>502</v>
      </c>
      <c r="G48" s="148" t="s">
        <v>861</v>
      </c>
      <c r="H48" s="539"/>
      <c r="I48" s="520"/>
      <c r="J48" s="759"/>
      <c r="K48" s="761"/>
      <c r="L48" s="682">
        <v>320.32</v>
      </c>
      <c r="M48" s="537"/>
      <c r="N48" s="504"/>
      <c r="O48" s="504"/>
      <c r="P48" s="178"/>
      <c r="Q48" s="504"/>
      <c r="R48" s="5"/>
      <c r="S48" s="5"/>
      <c r="T48" s="708"/>
      <c r="U48" s="3"/>
    </row>
    <row r="49" spans="1:21" s="4" customFormat="1" ht="15" x14ac:dyDescent="0.25">
      <c r="A49" s="5"/>
      <c r="B49" s="596"/>
      <c r="C49" s="536"/>
      <c r="D49" s="501"/>
      <c r="E49" s="502"/>
      <c r="F49" s="503"/>
      <c r="G49" s="230"/>
      <c r="H49" s="504"/>
      <c r="I49" s="503"/>
      <c r="J49" s="503"/>
      <c r="K49" s="503"/>
      <c r="L49" s="537"/>
      <c r="M49" s="503"/>
      <c r="N49" s="504"/>
      <c r="O49" s="504"/>
      <c r="P49" s="178"/>
      <c r="Q49" s="504"/>
      <c r="R49" s="5"/>
      <c r="S49" s="5"/>
      <c r="T49" s="708"/>
      <c r="U49" s="3"/>
    </row>
    <row r="50" spans="1:21" s="4" customFormat="1" ht="15" x14ac:dyDescent="0.25">
      <c r="A50" s="5"/>
      <c r="B50" s="189" t="s">
        <v>1031</v>
      </c>
      <c r="C50" s="230"/>
      <c r="D50" s="501"/>
      <c r="E50" s="502"/>
      <c r="F50" s="503"/>
      <c r="G50" s="230"/>
      <c r="H50" s="504"/>
      <c r="I50" s="503"/>
      <c r="J50" s="503"/>
      <c r="K50" s="503"/>
      <c r="L50" s="503"/>
      <c r="M50" s="503"/>
      <c r="N50" s="230"/>
      <c r="O50" s="230"/>
      <c r="P50" s="178"/>
      <c r="Q50" s="504"/>
      <c r="R50" s="5"/>
      <c r="S50" s="5"/>
      <c r="T50" s="708"/>
      <c r="U50" s="3"/>
    </row>
    <row r="51" spans="1:21" s="4" customFormat="1" ht="15" x14ac:dyDescent="0.25">
      <c r="A51" s="5"/>
      <c r="B51" s="592" t="s">
        <v>870</v>
      </c>
      <c r="C51" s="230"/>
      <c r="D51" s="501"/>
      <c r="E51" s="502"/>
      <c r="F51" s="503"/>
      <c r="G51" s="230"/>
      <c r="H51" s="504"/>
      <c r="I51" s="503"/>
      <c r="J51" s="503"/>
      <c r="K51" s="503"/>
      <c r="L51" s="503"/>
      <c r="M51" s="503"/>
      <c r="N51" s="504"/>
      <c r="O51" s="504"/>
      <c r="P51" s="178"/>
      <c r="Q51" s="504"/>
      <c r="R51" s="5"/>
      <c r="S51" s="5"/>
      <c r="T51" s="708"/>
      <c r="U51" s="3"/>
    </row>
    <row r="52" spans="1:21" s="4" customFormat="1" ht="15.75" thickBot="1" x14ac:dyDescent="0.3">
      <c r="A52" s="5"/>
      <c r="B52" s="691"/>
      <c r="C52" s="692"/>
      <c r="D52" s="693"/>
      <c r="E52" s="694"/>
      <c r="F52" s="695"/>
      <c r="G52" s="692"/>
      <c r="H52" s="696"/>
      <c r="I52" s="695"/>
      <c r="J52" s="695"/>
      <c r="K52" s="695"/>
      <c r="L52" s="695"/>
      <c r="M52" s="695"/>
      <c r="N52" s="696"/>
      <c r="O52" s="696"/>
      <c r="P52" s="690"/>
      <c r="Q52" s="696"/>
      <c r="R52" s="685"/>
      <c r="S52" s="685"/>
      <c r="T52" s="709"/>
      <c r="U52" s="3"/>
    </row>
    <row r="53" spans="1:21" s="4" customFormat="1" ht="15" x14ac:dyDescent="0.25">
      <c r="A53" s="5"/>
      <c r="B53" s="333"/>
      <c r="C53" s="230"/>
      <c r="D53" s="501"/>
      <c r="E53" s="502"/>
      <c r="F53" s="503"/>
      <c r="G53" s="230"/>
      <c r="H53" s="504"/>
      <c r="I53" s="503"/>
      <c r="J53" s="503"/>
      <c r="K53" s="503"/>
      <c r="L53" s="503"/>
      <c r="M53" s="503"/>
      <c r="N53" s="230"/>
      <c r="O53" s="230"/>
      <c r="P53" s="178"/>
      <c r="Q53" s="504"/>
      <c r="R53" s="5"/>
      <c r="S53" s="5"/>
      <c r="T53" s="711"/>
      <c r="U53" s="3"/>
    </row>
    <row r="54" spans="1:21" s="4" customFormat="1" ht="15" x14ac:dyDescent="0.25">
      <c r="A54" s="5"/>
      <c r="B54" s="333" t="s">
        <v>829</v>
      </c>
      <c r="C54" s="230"/>
      <c r="D54" s="501"/>
      <c r="E54" s="502"/>
      <c r="F54" s="503"/>
      <c r="G54" s="230"/>
      <c r="H54" s="504"/>
      <c r="I54" s="503"/>
      <c r="J54" s="503"/>
      <c r="K54" s="503"/>
      <c r="L54" s="503"/>
      <c r="M54" s="503"/>
      <c r="N54" s="504"/>
      <c r="O54" s="504"/>
      <c r="P54" s="178"/>
      <c r="Q54" s="504"/>
      <c r="R54" s="5"/>
      <c r="S54" s="5"/>
      <c r="T54" s="708"/>
      <c r="U54" s="3"/>
    </row>
    <row r="55" spans="1:21" s="4" customFormat="1" ht="15" x14ac:dyDescent="0.25">
      <c r="A55" s="5"/>
      <c r="B55" s="593" t="s">
        <v>1032</v>
      </c>
      <c r="C55" s="232" t="s">
        <v>943</v>
      </c>
      <c r="D55" s="501"/>
      <c r="E55" s="502"/>
      <c r="F55" s="503"/>
      <c r="G55" s="230"/>
      <c r="H55" s="504"/>
      <c r="I55" s="503"/>
      <c r="J55" s="503"/>
      <c r="K55" s="503"/>
      <c r="L55" s="503"/>
      <c r="M55" s="503"/>
      <c r="N55" s="504"/>
      <c r="O55" s="504"/>
      <c r="P55" s="178"/>
      <c r="Q55" s="504"/>
      <c r="R55" s="5"/>
      <c r="S55" s="5"/>
      <c r="T55" s="708"/>
      <c r="U55" s="3"/>
    </row>
    <row r="56" spans="1:21" s="4" customFormat="1" ht="15" x14ac:dyDescent="0.25">
      <c r="A56" s="5"/>
      <c r="B56" s="597" t="s">
        <v>871</v>
      </c>
      <c r="C56" s="518">
        <f>'Inputs and eligible population'!J101</f>
        <v>0</v>
      </c>
      <c r="D56" s="762" t="s">
        <v>1003</v>
      </c>
      <c r="E56" s="502"/>
      <c r="F56" s="503"/>
      <c r="G56" s="230"/>
      <c r="H56" s="504"/>
      <c r="I56" s="503"/>
      <c r="J56" s="503"/>
      <c r="K56" s="503"/>
      <c r="L56" s="503"/>
      <c r="M56" s="503"/>
      <c r="N56" s="504"/>
      <c r="O56" s="504"/>
      <c r="P56" s="178"/>
      <c r="Q56" s="504"/>
      <c r="R56" s="5"/>
      <c r="S56" s="5"/>
      <c r="T56" s="708"/>
      <c r="U56" s="3"/>
    </row>
    <row r="57" spans="1:21" s="4" customFormat="1" ht="15" x14ac:dyDescent="0.25">
      <c r="A57" s="5"/>
      <c r="B57" s="597" t="s">
        <v>980</v>
      </c>
      <c r="C57" s="518">
        <f>'Inputs and eligible population'!J102</f>
        <v>0</v>
      </c>
      <c r="D57" s="762" t="s">
        <v>1003</v>
      </c>
      <c r="E57" s="502"/>
      <c r="F57" s="503"/>
      <c r="G57" s="230"/>
      <c r="H57" s="504"/>
      <c r="I57" s="503"/>
      <c r="J57" s="503"/>
      <c r="K57" s="503"/>
      <c r="L57" s="503"/>
      <c r="M57" s="503"/>
      <c r="N57" s="504"/>
      <c r="O57" s="504"/>
      <c r="P57" s="178"/>
      <c r="Q57" s="504"/>
      <c r="R57" s="5"/>
      <c r="S57" s="5"/>
      <c r="T57" s="708"/>
      <c r="U57" s="3"/>
    </row>
    <row r="58" spans="1:21" s="4" customFormat="1" ht="15" x14ac:dyDescent="0.25">
      <c r="A58" s="5"/>
      <c r="B58" s="597" t="s">
        <v>981</v>
      </c>
      <c r="C58" s="518">
        <f>'Inputs and eligible population'!J103</f>
        <v>0</v>
      </c>
      <c r="D58" s="762" t="s">
        <v>1003</v>
      </c>
      <c r="E58" s="502"/>
      <c r="F58" s="503"/>
      <c r="G58" s="230"/>
      <c r="H58" s="504"/>
      <c r="I58" s="503"/>
      <c r="J58" s="503"/>
      <c r="K58" s="503"/>
      <c r="L58" s="503"/>
      <c r="M58" s="503"/>
      <c r="N58" s="504"/>
      <c r="O58" s="504"/>
      <c r="P58" s="178"/>
      <c r="Q58" s="504"/>
      <c r="R58" s="5"/>
      <c r="S58" s="5"/>
      <c r="T58" s="708"/>
      <c r="U58" s="3"/>
    </row>
    <row r="59" spans="1:21" s="4" customFormat="1" ht="15" x14ac:dyDescent="0.25">
      <c r="A59" s="5"/>
      <c r="B59" s="597" t="s">
        <v>982</v>
      </c>
      <c r="C59" s="518">
        <f>'Inputs and eligible population'!J104</f>
        <v>0</v>
      </c>
      <c r="D59" s="762" t="s">
        <v>1003</v>
      </c>
      <c r="E59" s="502"/>
      <c r="F59" s="503"/>
      <c r="G59" s="230"/>
      <c r="H59" s="504"/>
      <c r="I59" s="503"/>
      <c r="J59" s="503"/>
      <c r="K59" s="503"/>
      <c r="L59" s="503"/>
      <c r="M59" s="503"/>
      <c r="N59" s="504"/>
      <c r="O59" s="504"/>
      <c r="P59" s="178"/>
      <c r="Q59" s="504"/>
      <c r="R59" s="5"/>
      <c r="S59" s="5"/>
      <c r="T59" s="708"/>
      <c r="U59" s="3"/>
    </row>
    <row r="60" spans="1:21" s="4" customFormat="1" ht="15" x14ac:dyDescent="0.25">
      <c r="A60" s="5"/>
      <c r="B60" s="597" t="s">
        <v>1022</v>
      </c>
      <c r="C60" s="518">
        <f>'Inputs and eligible population'!J105</f>
        <v>0</v>
      </c>
      <c r="D60" s="762" t="s">
        <v>1003</v>
      </c>
      <c r="E60" s="502"/>
      <c r="F60" s="503"/>
      <c r="G60" s="230"/>
      <c r="H60" s="504"/>
      <c r="I60" s="503"/>
      <c r="J60" s="503"/>
      <c r="K60" s="503"/>
      <c r="L60" s="503"/>
      <c r="M60" s="503"/>
      <c r="N60" s="504"/>
      <c r="O60" s="504"/>
      <c r="P60" s="178"/>
      <c r="Q60" s="504"/>
      <c r="R60" s="5"/>
      <c r="S60" s="5"/>
      <c r="T60" s="708"/>
      <c r="U60" s="3"/>
    </row>
    <row r="61" spans="1:21" s="4" customFormat="1" ht="15" x14ac:dyDescent="0.25">
      <c r="A61" s="5"/>
      <c r="B61" s="230"/>
      <c r="C61" s="230"/>
      <c r="D61" s="230"/>
      <c r="E61" s="230"/>
      <c r="F61" s="718"/>
      <c r="G61" s="718"/>
      <c r="H61" s="718"/>
      <c r="I61" s="503"/>
      <c r="J61" s="230"/>
      <c r="K61" s="230"/>
      <c r="L61" s="333"/>
      <c r="M61" s="230"/>
      <c r="N61" s="230"/>
      <c r="O61" s="230"/>
      <c r="P61" s="178"/>
      <c r="Q61" s="504"/>
      <c r="R61" s="5"/>
      <c r="S61" s="5"/>
      <c r="T61" s="708"/>
      <c r="U61" s="3"/>
    </row>
    <row r="62" spans="1:21" s="4" customFormat="1" ht="15" x14ac:dyDescent="0.25">
      <c r="A62" s="5"/>
      <c r="B62" s="230" t="s">
        <v>1040</v>
      </c>
      <c r="C62" s="230"/>
      <c r="D62" s="230"/>
      <c r="E62" s="230"/>
      <c r="F62" s="718"/>
      <c r="G62" s="718"/>
      <c r="H62" s="718"/>
      <c r="I62" s="503"/>
      <c r="J62" s="230"/>
      <c r="K62" s="230"/>
      <c r="L62" s="333"/>
      <c r="M62" s="230"/>
      <c r="N62" s="230"/>
      <c r="O62" s="230"/>
      <c r="P62" s="178"/>
      <c r="Q62" s="504"/>
      <c r="R62" s="5"/>
      <c r="S62" s="5"/>
      <c r="T62" s="708"/>
      <c r="U62" s="3"/>
    </row>
    <row r="63" spans="1:21" s="4" customFormat="1" ht="15" x14ac:dyDescent="0.25">
      <c r="A63" s="5"/>
      <c r="B63" s="230" t="s">
        <v>1006</v>
      </c>
      <c r="C63" s="230"/>
      <c r="D63" s="230"/>
      <c r="E63" s="230"/>
      <c r="F63" s="718"/>
      <c r="G63" s="718"/>
      <c r="H63" s="718"/>
      <c r="I63" s="503"/>
      <c r="J63" s="230"/>
      <c r="K63" s="230"/>
      <c r="L63" s="333"/>
      <c r="M63" s="230"/>
      <c r="N63" s="230"/>
      <c r="O63" s="230"/>
      <c r="P63" s="178"/>
      <c r="Q63" s="504"/>
      <c r="R63" s="5"/>
      <c r="S63" s="5"/>
      <c r="T63" s="708"/>
      <c r="U63" s="3"/>
    </row>
    <row r="64" spans="1:21" s="4" customFormat="1" ht="15.75" thickBot="1" x14ac:dyDescent="0.3">
      <c r="A64" s="5"/>
      <c r="B64" s="697"/>
      <c r="C64" s="685"/>
      <c r="D64" s="686"/>
      <c r="E64" s="687"/>
      <c r="F64" s="688"/>
      <c r="G64" s="689"/>
      <c r="H64" s="685"/>
      <c r="I64" s="685"/>
      <c r="J64" s="690"/>
      <c r="K64" s="689"/>
      <c r="L64" s="689"/>
      <c r="M64" s="689"/>
      <c r="N64" s="689"/>
      <c r="O64" s="689"/>
      <c r="P64" s="690"/>
      <c r="Q64" s="696"/>
      <c r="R64" s="685"/>
      <c r="S64" s="685"/>
      <c r="T64" s="709"/>
      <c r="U64" s="3"/>
    </row>
    <row r="65" spans="1:20" x14ac:dyDescent="0.2">
      <c r="A65" s="188"/>
      <c r="B65" s="188"/>
      <c r="C65" s="281"/>
      <c r="D65" s="281"/>
      <c r="E65" s="281"/>
      <c r="F65" s="281"/>
      <c r="G65" s="281"/>
      <c r="H65" s="281"/>
      <c r="I65" s="188"/>
      <c r="J65" s="188"/>
      <c r="K65" s="188"/>
      <c r="L65" s="188"/>
      <c r="M65" s="188"/>
      <c r="N65" s="188"/>
      <c r="O65" s="188"/>
      <c r="P65" s="188"/>
      <c r="Q65" s="188"/>
      <c r="R65" s="188"/>
      <c r="S65" s="188"/>
      <c r="T65" s="710"/>
    </row>
  </sheetData>
  <sheetProtection algorithmName="SHA-512" hashValue="sf7JyntQ989lEqhQyTYbXxVrTKEp8QRp3S7WbuhkS4v/UEX0YX5ohWH9r3wdGBkEw+WGFQ1Gm+7TbWskMjXvIA==" saltValue="IW1TFYCnd5OpG3wm3M2Sbw==" spinCount="100000" sheet="1" objects="1" scenarios="1"/>
  <hyperlinks>
    <hyperlink ref="B28" r:id="rId1" xr:uid="{723B4201-DC3A-44DD-906E-A5EA322F4A2E}"/>
    <hyperlink ref="B30" r:id="rId2" xr:uid="{B4127083-FD49-4297-8D9A-717AC2C4F8E4}"/>
    <hyperlink ref="B32" r:id="rId3" xr:uid="{51F54FBF-D9C4-4022-88D7-1EF0F2BDA0BE}"/>
    <hyperlink ref="B51" r:id="rId4" xr:uid="{1FFE90B2-C9B9-41FE-84F1-F75AF67CAEC1}"/>
  </hyperlinks>
  <pageMargins left="0.70866141732283472" right="0.70866141732283472" top="0.74803149606299213" bottom="0.74803149606299213" header="0.31496062992125984" footer="0.31496062992125984"/>
  <pageSetup paperSize="9" scale="34" orientation="portrait" r:id="rId5"/>
  <ignoredErrors>
    <ignoredError sqref="H12:Q14 S11:S14 S9:S10 H9:Q10 H11:M11 N11:Q11 Q15:S15 Q23 H15 M37:M41 H23 S16:S18"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D4666-69C2-4F03-BA38-449898619131}">
  <sheetPr>
    <tabColor theme="8" tint="0.59999389629810485"/>
  </sheetPr>
  <dimension ref="A1:K55"/>
  <sheetViews>
    <sheetView showGridLines="0" zoomScale="80" zoomScaleNormal="80" zoomScaleSheetLayoutView="80" workbookViewId="0"/>
  </sheetViews>
  <sheetFormatPr defaultColWidth="8.5703125" defaultRowHeight="15" x14ac:dyDescent="0.25"/>
  <cols>
    <col min="1" max="1" width="3.5703125" customWidth="1"/>
    <col min="2" max="2" width="83" style="1" customWidth="1"/>
    <col min="3" max="3" width="11.5703125" style="1" customWidth="1"/>
    <col min="4" max="8" width="11.5703125" customWidth="1"/>
    <col min="9" max="9" width="44.42578125" customWidth="1"/>
    <col min="10" max="10" width="2.85546875" customWidth="1"/>
    <col min="11" max="11" width="0.5703125" hidden="1" customWidth="1"/>
    <col min="12" max="12" width="11.42578125" customWidth="1"/>
  </cols>
  <sheetData>
    <row r="1" spans="2:10" ht="35.1" customHeight="1" x14ac:dyDescent="0.25">
      <c r="B1" s="143" t="str">
        <f>'Inputs and eligible population'!B1</f>
        <v>Menopause: identification and management (update)</v>
      </c>
      <c r="C1" s="143"/>
      <c r="D1" s="140"/>
      <c r="E1" s="140"/>
      <c r="F1" s="140"/>
      <c r="G1" s="140"/>
      <c r="H1" s="140"/>
      <c r="I1" s="140"/>
      <c r="J1" s="140"/>
    </row>
    <row r="2" spans="2:10" ht="30" customHeight="1" x14ac:dyDescent="0.25">
      <c r="B2" s="312" t="s">
        <v>11</v>
      </c>
      <c r="C2" s="140"/>
      <c r="D2" s="126" t="s">
        <v>71</v>
      </c>
      <c r="E2" s="126" t="s">
        <v>71</v>
      </c>
      <c r="F2" s="126" t="s">
        <v>71</v>
      </c>
      <c r="G2" s="126" t="s">
        <v>71</v>
      </c>
      <c r="H2" s="126" t="s">
        <v>71</v>
      </c>
      <c r="I2" s="126" t="s">
        <v>71</v>
      </c>
      <c r="J2" s="140"/>
    </row>
    <row r="3" spans="2:10" ht="27" customHeight="1" x14ac:dyDescent="0.25">
      <c r="B3" t="s">
        <v>872</v>
      </c>
      <c r="C3" s="129"/>
      <c r="D3" s="540"/>
      <c r="E3" s="132"/>
      <c r="F3" s="132"/>
      <c r="G3" s="132"/>
      <c r="H3" s="132"/>
      <c r="I3" s="132"/>
      <c r="J3" s="140"/>
    </row>
    <row r="4" spans="2:10" x14ac:dyDescent="0.25">
      <c r="B4" s="541" t="s">
        <v>873</v>
      </c>
      <c r="C4"/>
      <c r="J4" s="140"/>
    </row>
    <row r="5" spans="2:10" x14ac:dyDescent="0.25">
      <c r="B5" s="541" t="s">
        <v>874</v>
      </c>
      <c r="C5"/>
      <c r="J5" s="140"/>
    </row>
    <row r="6" spans="2:10" ht="17.45" customHeight="1" x14ac:dyDescent="0.25">
      <c r="B6" s="230"/>
      <c r="C6" s="230"/>
      <c r="G6" s="132"/>
      <c r="H6" s="132"/>
      <c r="I6" s="132" t="s">
        <v>97</v>
      </c>
      <c r="J6" s="140"/>
    </row>
    <row r="7" spans="2:10" x14ac:dyDescent="0.25">
      <c r="B7" s="242" t="s">
        <v>98</v>
      </c>
      <c r="C7" s="243"/>
      <c r="D7" s="164" t="s">
        <v>52</v>
      </c>
      <c r="E7" s="164" t="s">
        <v>53</v>
      </c>
      <c r="F7" s="164" t="s">
        <v>54</v>
      </c>
      <c r="G7" s="164" t="s">
        <v>55</v>
      </c>
      <c r="H7" s="164" t="s">
        <v>56</v>
      </c>
      <c r="J7" s="140"/>
    </row>
    <row r="8" spans="2:10" s="147" customFormat="1" x14ac:dyDescent="0.25">
      <c r="B8" s="165" t="s">
        <v>100</v>
      </c>
      <c r="C8" s="542"/>
      <c r="D8" s="127">
        <f>'Financial impact (cash)'!D8</f>
        <v>1295318.8651964571</v>
      </c>
      <c r="E8" s="127">
        <f>'Financial impact (cash)'!E8</f>
        <v>1313099.9736043517</v>
      </c>
      <c r="F8" s="127">
        <f>'Financial impact (cash)'!F8</f>
        <v>1331125.1669435389</v>
      </c>
      <c r="G8" s="127">
        <f>'Financial impact (cash)'!G8</f>
        <v>1349397.7958180592</v>
      </c>
      <c r="H8" s="127">
        <f>'Financial impact (cash)'!H8</f>
        <v>1367921.2568263849</v>
      </c>
      <c r="I8"/>
      <c r="J8" s="140"/>
    </row>
    <row r="9" spans="2:10" s="147" customFormat="1" x14ac:dyDescent="0.25">
      <c r="B9" s="546" t="str">
        <f>'Inputs and eligible population'!D52</f>
        <v>People with VMS</v>
      </c>
      <c r="C9" s="542"/>
      <c r="D9" s="543">
        <f>'Financial impact (cash)'!D9</f>
        <v>1</v>
      </c>
      <c r="E9" s="543">
        <f>'Financial impact (cash)'!E9</f>
        <v>1</v>
      </c>
      <c r="F9" s="543">
        <f>'Financial impact (cash)'!F9</f>
        <v>1</v>
      </c>
      <c r="G9" s="543">
        <f>'Financial impact (cash)'!G9</f>
        <v>1</v>
      </c>
      <c r="H9" s="543">
        <f>'Financial impact (cash)'!H9</f>
        <v>1</v>
      </c>
      <c r="I9"/>
      <c r="J9" s="140"/>
    </row>
    <row r="10" spans="2:10" s="147" customFormat="1" x14ac:dyDescent="0.25">
      <c r="B10" s="219" t="s">
        <v>1036</v>
      </c>
      <c r="C10" s="542"/>
      <c r="D10" s="543">
        <f>'Financial impact (cash)'!D10</f>
        <v>0</v>
      </c>
      <c r="E10" s="543">
        <f>'Financial impact (cash)'!E10</f>
        <v>0</v>
      </c>
      <c r="F10" s="543">
        <f>'Financial impact (cash)'!F10</f>
        <v>0</v>
      </c>
      <c r="G10" s="543">
        <f>'Financial impact (cash)'!G10</f>
        <v>0</v>
      </c>
      <c r="H10" s="543">
        <f>'Financial impact (cash)'!H10</f>
        <v>0</v>
      </c>
      <c r="I10"/>
      <c r="J10" s="140"/>
    </row>
    <row r="11" spans="2:10" ht="14.85" customHeight="1" x14ac:dyDescent="0.25">
      <c r="B11" s="227"/>
      <c r="C11" s="227"/>
      <c r="D11" s="132"/>
      <c r="E11" s="132"/>
      <c r="F11" s="132"/>
      <c r="G11" s="132"/>
      <c r="H11" s="132"/>
      <c r="J11" s="140"/>
    </row>
    <row r="12" spans="2:10" ht="32.85" customHeight="1" x14ac:dyDescent="0.25">
      <c r="B12" s="246" t="s">
        <v>1033</v>
      </c>
      <c r="C12" s="221" t="s">
        <v>99</v>
      </c>
      <c r="D12" s="164" t="s">
        <v>52</v>
      </c>
      <c r="E12" s="164" t="s">
        <v>53</v>
      </c>
      <c r="F12" s="164" t="s">
        <v>54</v>
      </c>
      <c r="G12" s="164" t="s">
        <v>55</v>
      </c>
      <c r="H12" s="164" t="s">
        <v>56</v>
      </c>
      <c r="J12" s="132"/>
    </row>
    <row r="13" spans="2:10" x14ac:dyDescent="0.25">
      <c r="B13" s="291" t="str">
        <f>'Financial impact (cash)'!B16</f>
        <v xml:space="preserve">People having HRT </v>
      </c>
      <c r="C13" s="127">
        <f>'Financial impact (cash)'!D16</f>
        <v>0</v>
      </c>
      <c r="D13" s="127">
        <f>'Financial impact (cash)'!E16</f>
        <v>0</v>
      </c>
      <c r="E13" s="127">
        <f>'Financial impact (cash)'!F16</f>
        <v>0</v>
      </c>
      <c r="F13" s="127">
        <f>'Financial impact (cash)'!G16</f>
        <v>0</v>
      </c>
      <c r="G13" s="127">
        <f>'Financial impact (cash)'!H16</f>
        <v>0</v>
      </c>
      <c r="H13" s="127">
        <f>'Financial impact (cash)'!I16</f>
        <v>0</v>
      </c>
      <c r="J13" s="132"/>
    </row>
    <row r="14" spans="2:10" x14ac:dyDescent="0.25">
      <c r="B14" s="291" t="str">
        <f>'Financial impact (cash)'!B17</f>
        <v>People having ospemifene</v>
      </c>
      <c r="C14" s="127">
        <f>'Financial impact (cash)'!D17</f>
        <v>0</v>
      </c>
      <c r="D14" s="127">
        <f>'Financial impact (cash)'!E17</f>
        <v>0</v>
      </c>
      <c r="E14" s="127">
        <f>'Financial impact (cash)'!F17</f>
        <v>0</v>
      </c>
      <c r="F14" s="127">
        <f>'Financial impact (cash)'!G17</f>
        <v>0</v>
      </c>
      <c r="G14" s="127">
        <f>'Financial impact (cash)'!H17</f>
        <v>0</v>
      </c>
      <c r="H14" s="127">
        <f>'Financial impact (cash)'!I17</f>
        <v>0</v>
      </c>
      <c r="J14" s="132"/>
    </row>
    <row r="15" spans="2:10" x14ac:dyDescent="0.25">
      <c r="B15" s="248"/>
      <c r="C15" s="248"/>
      <c r="D15" s="282"/>
      <c r="E15" s="282"/>
      <c r="F15" s="282"/>
      <c r="G15" s="282"/>
      <c r="H15" s="282"/>
      <c r="I15" s="132"/>
      <c r="J15" s="132"/>
    </row>
    <row r="16" spans="2:10" ht="30" x14ac:dyDescent="0.25">
      <c r="B16" s="244" t="s">
        <v>101</v>
      </c>
      <c r="C16" s="221" t="s">
        <v>99</v>
      </c>
      <c r="D16" s="164" t="s">
        <v>52</v>
      </c>
      <c r="E16" s="164" t="s">
        <v>53</v>
      </c>
      <c r="F16" s="164" t="s">
        <v>54</v>
      </c>
      <c r="G16" s="164" t="s">
        <v>55</v>
      </c>
      <c r="H16" s="164" t="s">
        <v>56</v>
      </c>
      <c r="I16" s="132"/>
      <c r="J16" s="132"/>
    </row>
    <row r="17" spans="1:10" x14ac:dyDescent="0.25">
      <c r="B17" s="270" t="s">
        <v>102</v>
      </c>
      <c r="C17" s="238" t="s">
        <v>103</v>
      </c>
      <c r="D17" s="238" t="s">
        <v>103</v>
      </c>
      <c r="E17" s="238" t="s">
        <v>103</v>
      </c>
      <c r="F17" s="238" t="s">
        <v>103</v>
      </c>
      <c r="G17" s="238" t="s">
        <v>103</v>
      </c>
      <c r="H17" s="238" t="s">
        <v>103</v>
      </c>
      <c r="I17" s="132"/>
      <c r="J17" s="132"/>
    </row>
    <row r="18" spans="1:10" x14ac:dyDescent="0.25">
      <c r="B18" s="247" t="s">
        <v>104</v>
      </c>
      <c r="C18" s="239">
        <f>'Financial impact (cash)'!D23</f>
        <v>0</v>
      </c>
      <c r="D18" s="239">
        <f>'Financial impact (cash)'!E23</f>
        <v>0</v>
      </c>
      <c r="E18" s="239">
        <f>'Financial impact (cash)'!F23</f>
        <v>0</v>
      </c>
      <c r="F18" s="239">
        <f>'Financial impact (cash)'!G23</f>
        <v>0</v>
      </c>
      <c r="G18" s="239">
        <f>'Financial impact (cash)'!H23</f>
        <v>0</v>
      </c>
      <c r="H18" s="239">
        <f>'Financial impact (cash)'!I23</f>
        <v>0</v>
      </c>
      <c r="I18" s="132"/>
      <c r="J18" s="132"/>
    </row>
    <row r="19" spans="1:10" x14ac:dyDescent="0.25">
      <c r="C19" s="78"/>
      <c r="D19" s="190">
        <f>D18-$C$18</f>
        <v>0</v>
      </c>
      <c r="E19" s="190">
        <f>E18-$C$18</f>
        <v>0</v>
      </c>
      <c r="F19" s="190">
        <f>F18-$C$18</f>
        <v>0</v>
      </c>
      <c r="G19" s="190">
        <f>G18-$C$18</f>
        <v>0</v>
      </c>
      <c r="H19" s="190">
        <f>H18-$C$18</f>
        <v>0</v>
      </c>
      <c r="I19" s="334" t="s">
        <v>875</v>
      </c>
      <c r="J19" s="132"/>
    </row>
    <row r="20" spans="1:10" x14ac:dyDescent="0.25">
      <c r="C20" s="88"/>
      <c r="D20" s="190">
        <f>D18-C18</f>
        <v>0</v>
      </c>
      <c r="E20" s="190">
        <f>E18-D18</f>
        <v>0</v>
      </c>
      <c r="F20" s="190">
        <f>F18-E18</f>
        <v>0</v>
      </c>
      <c r="G20" s="190">
        <f>G18-F18</f>
        <v>0</v>
      </c>
      <c r="H20" s="190">
        <f>H18-G18</f>
        <v>0</v>
      </c>
      <c r="I20" s="334" t="s">
        <v>105</v>
      </c>
      <c r="J20" s="132"/>
    </row>
    <row r="21" spans="1:10" x14ac:dyDescent="0.25">
      <c r="B21" s="248"/>
      <c r="C21" s="248"/>
      <c r="D21" s="325"/>
      <c r="E21" s="325"/>
      <c r="F21" s="325"/>
      <c r="G21" s="325"/>
      <c r="H21" s="325"/>
      <c r="J21" s="132"/>
    </row>
    <row r="22" spans="1:10" x14ac:dyDescent="0.25">
      <c r="B22" t="s">
        <v>106</v>
      </c>
      <c r="C22" s="248"/>
      <c r="D22" s="325"/>
      <c r="E22" s="325"/>
      <c r="F22" s="325"/>
      <c r="G22" s="325"/>
      <c r="H22" s="325"/>
      <c r="J22" s="132"/>
    </row>
    <row r="23" spans="1:10" x14ac:dyDescent="0.25">
      <c r="B23" s="313" t="s">
        <v>96</v>
      </c>
      <c r="C23" s="248"/>
      <c r="D23" s="325"/>
      <c r="E23" s="325"/>
      <c r="F23" s="325"/>
      <c r="G23" s="325"/>
      <c r="H23" s="325"/>
      <c r="J23" s="132"/>
    </row>
    <row r="24" spans="1:10" x14ac:dyDescent="0.25">
      <c r="B24" s="248"/>
      <c r="C24" s="248"/>
      <c r="D24" s="325"/>
      <c r="E24" s="325"/>
      <c r="F24" s="325"/>
      <c r="G24" s="325"/>
      <c r="H24" s="325"/>
      <c r="J24" s="132"/>
    </row>
    <row r="25" spans="1:10" ht="30" x14ac:dyDescent="0.25">
      <c r="A25" s="325"/>
      <c r="B25" s="244" t="s">
        <v>107</v>
      </c>
      <c r="C25" s="221" t="s">
        <v>99</v>
      </c>
      <c r="D25" s="164" t="s">
        <v>52</v>
      </c>
      <c r="E25" s="164" t="s">
        <v>53</v>
      </c>
      <c r="F25" s="164" t="s">
        <v>54</v>
      </c>
      <c r="G25" s="164" t="s">
        <v>55</v>
      </c>
      <c r="H25" s="164" t="s">
        <v>56</v>
      </c>
      <c r="J25" s="132"/>
    </row>
    <row r="26" spans="1:10" x14ac:dyDescent="0.25">
      <c r="A26" s="325"/>
      <c r="B26" s="270" t="s">
        <v>108</v>
      </c>
      <c r="C26" s="238" t="s">
        <v>103</v>
      </c>
      <c r="D26" s="238" t="s">
        <v>103</v>
      </c>
      <c r="E26" s="238" t="s">
        <v>103</v>
      </c>
      <c r="F26" s="238" t="s">
        <v>103</v>
      </c>
      <c r="G26" s="238" t="s">
        <v>103</v>
      </c>
      <c r="H26" s="238" t="s">
        <v>103</v>
      </c>
      <c r="J26" s="132"/>
    </row>
    <row r="27" spans="1:10" x14ac:dyDescent="0.25">
      <c r="A27" s="325"/>
      <c r="B27" s="247" t="s">
        <v>109</v>
      </c>
      <c r="C27" s="239">
        <f>IF($B$23="national prices",'Capacity (national prices)'!L19,IF($B$23="local prices",'Capacity (local prices)'!L19,0))</f>
        <v>0</v>
      </c>
      <c r="D27" s="239">
        <f>IF($B$23="national prices",'Capacity (national prices)'!M19,IF($B$23="local prices",'Capacity (local prices)'!M19,0))</f>
        <v>0</v>
      </c>
      <c r="E27" s="239">
        <f>IF($B$23="national prices",'Capacity (national prices)'!N19,IF($B$23="local prices",'Capacity (local prices)'!N19,0))</f>
        <v>0</v>
      </c>
      <c r="F27" s="239">
        <f>IF($B$23="national prices",'Capacity (national prices)'!O19,IF($B$23="local prices",'Capacity (local prices)'!O19,0))</f>
        <v>0</v>
      </c>
      <c r="G27" s="239">
        <f>IF($B$23="national prices",'Capacity (national prices)'!P19,IF($B$23="local prices",'Capacity (local prices)'!P19,0))</f>
        <v>0</v>
      </c>
      <c r="H27" s="239">
        <f>IF($B$23="national prices",'Capacity (national prices)'!Q19,IF($B$23="local prices",'Capacity (local prices)'!Q19,0))</f>
        <v>0</v>
      </c>
      <c r="J27" s="132"/>
    </row>
    <row r="28" spans="1:10" x14ac:dyDescent="0.25">
      <c r="A28" s="325"/>
      <c r="C28" s="78"/>
      <c r="D28" s="190">
        <f>D27-$C$27</f>
        <v>0</v>
      </c>
      <c r="E28" s="190">
        <f>E27-$C$27</f>
        <v>0</v>
      </c>
      <c r="F28" s="190">
        <f>F27-$C$27</f>
        <v>0</v>
      </c>
      <c r="G28" s="190">
        <f>G27-$C$27</f>
        <v>0</v>
      </c>
      <c r="H28" s="190">
        <f>H27-$C$27</f>
        <v>0</v>
      </c>
      <c r="I28" s="334" t="s">
        <v>875</v>
      </c>
      <c r="J28" s="132"/>
    </row>
    <row r="29" spans="1:10" x14ac:dyDescent="0.25">
      <c r="A29" s="325"/>
      <c r="C29" s="88"/>
      <c r="D29" s="190">
        <f>D27-C27</f>
        <v>0</v>
      </c>
      <c r="E29" s="190">
        <f>E27-D27</f>
        <v>0</v>
      </c>
      <c r="F29" s="190">
        <f>F27-E27</f>
        <v>0</v>
      </c>
      <c r="G29" s="190">
        <f>G27-F27</f>
        <v>0</v>
      </c>
      <c r="H29" s="190">
        <f>H27-G27</f>
        <v>0</v>
      </c>
      <c r="I29" s="334" t="s">
        <v>105</v>
      </c>
      <c r="J29" s="132"/>
    </row>
    <row r="30" spans="1:10" x14ac:dyDescent="0.25">
      <c r="A30" s="325"/>
      <c r="B30" s="325"/>
      <c r="C30" s="325"/>
      <c r="D30" s="325"/>
      <c r="E30" s="325"/>
      <c r="F30" s="325"/>
      <c r="G30" s="325"/>
      <c r="H30" s="325"/>
      <c r="J30" s="132"/>
    </row>
    <row r="31" spans="1:10" ht="30" x14ac:dyDescent="0.25">
      <c r="A31" s="325"/>
      <c r="B31" s="244" t="s">
        <v>110</v>
      </c>
      <c r="C31" s="221" t="s">
        <v>99</v>
      </c>
      <c r="D31" s="164" t="s">
        <v>52</v>
      </c>
      <c r="E31" s="164" t="s">
        <v>53</v>
      </c>
      <c r="F31" s="164" t="s">
        <v>54</v>
      </c>
      <c r="G31" s="164" t="s">
        <v>55</v>
      </c>
      <c r="H31" s="164" t="s">
        <v>56</v>
      </c>
      <c r="J31" s="132"/>
    </row>
    <row r="32" spans="1:10" x14ac:dyDescent="0.25">
      <c r="B32" s="270"/>
      <c r="C32" s="238" t="s">
        <v>103</v>
      </c>
      <c r="D32" s="238" t="s">
        <v>103</v>
      </c>
      <c r="E32" s="238" t="s">
        <v>103</v>
      </c>
      <c r="F32" s="238" t="s">
        <v>103</v>
      </c>
      <c r="G32" s="238" t="s">
        <v>103</v>
      </c>
      <c r="H32" s="238" t="s">
        <v>103</v>
      </c>
      <c r="I32" s="132"/>
      <c r="J32" s="132"/>
    </row>
    <row r="33" spans="2:10" x14ac:dyDescent="0.25">
      <c r="B33" s="364" t="s">
        <v>111</v>
      </c>
      <c r="C33" s="384">
        <f>C18+C27</f>
        <v>0</v>
      </c>
      <c r="D33" s="384">
        <f t="shared" ref="D33:H33" si="0">D18+D27</f>
        <v>0</v>
      </c>
      <c r="E33" s="384">
        <f t="shared" si="0"/>
        <v>0</v>
      </c>
      <c r="F33" s="384">
        <f t="shared" si="0"/>
        <v>0</v>
      </c>
      <c r="G33" s="384">
        <f t="shared" si="0"/>
        <v>0</v>
      </c>
      <c r="H33" s="384">
        <f t="shared" si="0"/>
        <v>0</v>
      </c>
      <c r="I33" s="132"/>
      <c r="J33" s="132"/>
    </row>
    <row r="34" spans="2:10" x14ac:dyDescent="0.25">
      <c r="B34" s="363"/>
      <c r="C34" s="365"/>
      <c r="D34" s="366">
        <f>D33-$C$33</f>
        <v>0</v>
      </c>
      <c r="E34" s="366">
        <f t="shared" ref="E34:H34" si="1">E33-$C$33</f>
        <v>0</v>
      </c>
      <c r="F34" s="366">
        <f t="shared" si="1"/>
        <v>0</v>
      </c>
      <c r="G34" s="366">
        <f t="shared" si="1"/>
        <v>0</v>
      </c>
      <c r="H34" s="366">
        <f t="shared" si="1"/>
        <v>0</v>
      </c>
      <c r="I34" s="334" t="s">
        <v>875</v>
      </c>
      <c r="J34" s="132"/>
    </row>
    <row r="35" spans="2:10" x14ac:dyDescent="0.25">
      <c r="B35" s="363"/>
      <c r="C35" s="365"/>
      <c r="D35" s="367">
        <f>D33-C33</f>
        <v>0</v>
      </c>
      <c r="E35" s="367">
        <f>E33-D33</f>
        <v>0</v>
      </c>
      <c r="F35" s="367">
        <f>F33-E33</f>
        <v>0</v>
      </c>
      <c r="G35" s="367">
        <f>G33-F33</f>
        <v>0</v>
      </c>
      <c r="H35" s="367">
        <f>H33-G33</f>
        <v>0</v>
      </c>
      <c r="I35" s="334" t="s">
        <v>105</v>
      </c>
      <c r="J35" s="132"/>
    </row>
    <row r="36" spans="2:10" ht="15.75" thickBot="1" x14ac:dyDescent="0.3">
      <c r="B36" s="368"/>
      <c r="C36" s="368"/>
      <c r="D36" s="369"/>
      <c r="E36" s="369"/>
      <c r="F36" s="369"/>
      <c r="G36" s="369"/>
      <c r="H36" s="369"/>
      <c r="I36" s="370"/>
      <c r="J36" s="132"/>
    </row>
    <row r="37" spans="2:10" x14ac:dyDescent="0.25">
      <c r="B37" s="248"/>
      <c r="C37" s="248"/>
      <c r="D37" s="282"/>
      <c r="E37" s="282"/>
      <c r="F37" s="282"/>
      <c r="G37" s="282"/>
      <c r="H37" s="282"/>
      <c r="I37" s="132"/>
      <c r="J37" s="132"/>
    </row>
    <row r="38" spans="2:10" x14ac:dyDescent="0.25">
      <c r="B38" s="244" t="s">
        <v>112</v>
      </c>
      <c r="C38" s="240"/>
      <c r="D38" s="240" t="s">
        <v>52</v>
      </c>
      <c r="E38" s="164" t="s">
        <v>53</v>
      </c>
      <c r="F38" s="164" t="s">
        <v>54</v>
      </c>
      <c r="G38" s="164" t="s">
        <v>55</v>
      </c>
      <c r="H38" s="164" t="s">
        <v>56</v>
      </c>
      <c r="I38" s="132"/>
      <c r="J38" s="132"/>
    </row>
    <row r="39" spans="2:10" x14ac:dyDescent="0.25">
      <c r="B39" s="747"/>
      <c r="C39" s="468"/>
      <c r="D39" s="359"/>
      <c r="E39" s="359"/>
      <c r="F39" s="359"/>
      <c r="G39" s="359"/>
      <c r="H39" s="359"/>
      <c r="I39" s="132"/>
      <c r="J39" s="132"/>
    </row>
    <row r="40" spans="2:10" x14ac:dyDescent="0.25">
      <c r="B40" s="244" t="s">
        <v>826</v>
      </c>
      <c r="C40" s="245"/>
      <c r="D40" s="180"/>
      <c r="E40" s="180"/>
      <c r="F40" s="180"/>
      <c r="G40" s="180"/>
      <c r="H40" s="181"/>
      <c r="I40" s="132"/>
      <c r="J40" s="132"/>
    </row>
    <row r="41" spans="2:10" x14ac:dyDescent="0.25">
      <c r="B41" s="219" t="s">
        <v>1000</v>
      </c>
      <c r="C41" s="748"/>
      <c r="D41" s="545">
        <f>'Capacity (local prices)'!E10-'Capacity (local prices)'!D10</f>
        <v>0</v>
      </c>
      <c r="E41" s="545">
        <f>'Capacity (local prices)'!F10-'Capacity (local prices)'!E10</f>
        <v>0</v>
      </c>
      <c r="F41" s="545">
        <f>'Capacity (local prices)'!G10-'Capacity (local prices)'!F10</f>
        <v>0</v>
      </c>
      <c r="G41" s="545">
        <f>'Capacity (local prices)'!H10-'Capacity (local prices)'!G10</f>
        <v>0</v>
      </c>
      <c r="H41" s="545">
        <f>'Capacity (local prices)'!I10-'Capacity (local prices)'!H10</f>
        <v>0</v>
      </c>
      <c r="I41" s="132"/>
      <c r="J41" s="132"/>
    </row>
    <row r="42" spans="2:10" x14ac:dyDescent="0.25">
      <c r="B42" s="219" t="s">
        <v>1001</v>
      </c>
      <c r="C42" s="748"/>
      <c r="D42" s="545">
        <f>'Capacity (local prices)'!E11-'Capacity (local prices)'!D11</f>
        <v>0</v>
      </c>
      <c r="E42" s="545">
        <f>'Capacity (local prices)'!F11-'Capacity (local prices)'!E11</f>
        <v>0</v>
      </c>
      <c r="F42" s="545">
        <f>'Capacity (local prices)'!G11-'Capacity (local prices)'!F11</f>
        <v>0</v>
      </c>
      <c r="G42" s="545">
        <f>'Capacity (local prices)'!H11-'Capacity (local prices)'!G11</f>
        <v>0</v>
      </c>
      <c r="H42" s="545">
        <f>'Capacity (local prices)'!I11-'Capacity (local prices)'!H11</f>
        <v>0</v>
      </c>
      <c r="I42" s="132"/>
      <c r="J42" s="132"/>
    </row>
    <row r="43" spans="2:10" x14ac:dyDescent="0.25">
      <c r="B43" s="544" t="s">
        <v>886</v>
      </c>
      <c r="C43" s="748"/>
      <c r="D43" s="545">
        <f>'Capacity (local prices)'!E12-'Capacity (local prices)'!D12</f>
        <v>0</v>
      </c>
      <c r="E43" s="545">
        <f>'Capacity (local prices)'!F12-'Capacity (local prices)'!E12</f>
        <v>0</v>
      </c>
      <c r="F43" s="545">
        <f>'Capacity (local prices)'!G12-'Capacity (local prices)'!F12</f>
        <v>0</v>
      </c>
      <c r="G43" s="545">
        <f>'Capacity (local prices)'!H12-'Capacity (local prices)'!G12</f>
        <v>0</v>
      </c>
      <c r="H43" s="545">
        <f>'Capacity (local prices)'!I12-'Capacity (local prices)'!H12</f>
        <v>0</v>
      </c>
      <c r="I43" s="132"/>
      <c r="J43" s="132"/>
    </row>
    <row r="44" spans="2:10" x14ac:dyDescent="0.25">
      <c r="B44" s="544" t="s">
        <v>984</v>
      </c>
      <c r="C44" s="748"/>
      <c r="D44" s="545">
        <f>'Capacity (local prices)'!E13-'Capacity (local prices)'!D13</f>
        <v>0</v>
      </c>
      <c r="E44" s="545">
        <f>'Capacity (local prices)'!F13-'Capacity (local prices)'!E13</f>
        <v>0</v>
      </c>
      <c r="F44" s="545">
        <f>'Capacity (local prices)'!G13-'Capacity (local prices)'!F13</f>
        <v>0</v>
      </c>
      <c r="G44" s="545">
        <f>'Capacity (local prices)'!H13-'Capacity (local prices)'!G13</f>
        <v>0</v>
      </c>
      <c r="H44" s="545">
        <f>'Capacity (local prices)'!I13-'Capacity (local prices)'!H13</f>
        <v>0</v>
      </c>
      <c r="I44" s="132"/>
      <c r="J44" s="132"/>
    </row>
    <row r="45" spans="2:10" x14ac:dyDescent="0.25">
      <c r="B45" s="544" t="s">
        <v>985</v>
      </c>
      <c r="C45" s="748"/>
      <c r="D45" s="545">
        <f>'Capacity (local prices)'!E14-'Capacity (local prices)'!D14</f>
        <v>0</v>
      </c>
      <c r="E45" s="545">
        <f>'Capacity (local prices)'!F14-'Capacity (local prices)'!E14</f>
        <v>0</v>
      </c>
      <c r="F45" s="545">
        <f>'Capacity (local prices)'!G14-'Capacity (local prices)'!F14</f>
        <v>0</v>
      </c>
      <c r="G45" s="545">
        <f>'Capacity (local prices)'!H14-'Capacity (local prices)'!G14</f>
        <v>0</v>
      </c>
      <c r="H45" s="545">
        <f>'Capacity (local prices)'!I14-'Capacity (local prices)'!H14</f>
        <v>0</v>
      </c>
      <c r="I45" s="132"/>
      <c r="J45" s="132"/>
    </row>
    <row r="46" spans="2:10" x14ac:dyDescent="0.25">
      <c r="B46" s="544" t="s">
        <v>986</v>
      </c>
      <c r="C46" s="748"/>
      <c r="D46" s="545">
        <f>'Capacity (local prices)'!E15-'Capacity (local prices)'!D15</f>
        <v>0</v>
      </c>
      <c r="E46" s="545">
        <f>'Capacity (local prices)'!F15-'Capacity (local prices)'!E15</f>
        <v>0</v>
      </c>
      <c r="F46" s="545">
        <f>'Capacity (local prices)'!G15-'Capacity (local prices)'!F15</f>
        <v>0</v>
      </c>
      <c r="G46" s="545">
        <f>'Capacity (local prices)'!H15-'Capacity (local prices)'!G15</f>
        <v>0</v>
      </c>
      <c r="H46" s="545">
        <f>'Capacity (local prices)'!I15-'Capacity (local prices)'!H15</f>
        <v>0</v>
      </c>
      <c r="I46" s="132"/>
      <c r="J46" s="132"/>
    </row>
    <row r="47" spans="2:10" x14ac:dyDescent="0.25">
      <c r="B47" s="544" t="s">
        <v>987</v>
      </c>
      <c r="C47" s="748"/>
      <c r="D47" s="545">
        <f>'Capacity (local prices)'!E16-'Capacity (local prices)'!D16</f>
        <v>0</v>
      </c>
      <c r="E47" s="545">
        <f>'Capacity (local prices)'!F16-'Capacity (local prices)'!E16</f>
        <v>0</v>
      </c>
      <c r="F47" s="545">
        <f>'Capacity (local prices)'!G16-'Capacity (local prices)'!F16</f>
        <v>0</v>
      </c>
      <c r="G47" s="545">
        <f>'Capacity (local prices)'!H16-'Capacity (local prices)'!G16</f>
        <v>0</v>
      </c>
      <c r="H47" s="545">
        <f>'Capacity (local prices)'!I16-'Capacity (local prices)'!H16</f>
        <v>0</v>
      </c>
      <c r="I47" s="132"/>
      <c r="J47" s="132"/>
    </row>
    <row r="48" spans="2:10" x14ac:dyDescent="0.25">
      <c r="B48" s="544" t="s">
        <v>988</v>
      </c>
      <c r="C48" s="748"/>
      <c r="D48" s="545">
        <f>'Capacity (local prices)'!E17-'Capacity (local prices)'!D17</f>
        <v>0</v>
      </c>
      <c r="E48" s="545">
        <f>'Capacity (local prices)'!F17-'Capacity (local prices)'!E17</f>
        <v>0</v>
      </c>
      <c r="F48" s="545">
        <f>'Capacity (local prices)'!G17-'Capacity (local prices)'!F17</f>
        <v>0</v>
      </c>
      <c r="G48" s="545">
        <f>'Capacity (local prices)'!H17-'Capacity (local prices)'!G17</f>
        <v>0</v>
      </c>
      <c r="H48" s="545">
        <f>'Capacity (local prices)'!I17-'Capacity (local prices)'!H17</f>
        <v>0</v>
      </c>
      <c r="I48" s="132"/>
      <c r="J48" s="132"/>
    </row>
    <row r="49" spans="2:10" x14ac:dyDescent="0.25">
      <c r="B49" s="544" t="s">
        <v>1043</v>
      </c>
      <c r="C49" s="748"/>
      <c r="D49" s="545">
        <f>'Capacity (local prices)'!E18-'Capacity (local prices)'!D18</f>
        <v>0</v>
      </c>
      <c r="E49" s="545">
        <f>'Capacity (local prices)'!F18-'Capacity (local prices)'!E18</f>
        <v>0</v>
      </c>
      <c r="F49" s="545">
        <f>'Capacity (local prices)'!G18-'Capacity (local prices)'!F18</f>
        <v>0</v>
      </c>
      <c r="G49" s="545">
        <f>'Capacity (local prices)'!H18-'Capacity (local prices)'!G18</f>
        <v>0</v>
      </c>
      <c r="H49" s="545">
        <f>'Capacity (local prices)'!I18-'Capacity (local prices)'!H18</f>
        <v>0</v>
      </c>
      <c r="I49" s="132"/>
      <c r="J49" s="132"/>
    </row>
    <row r="50" spans="2:10" x14ac:dyDescent="0.25">
      <c r="I50" s="132"/>
      <c r="J50" s="132"/>
    </row>
    <row r="51" spans="2:10" x14ac:dyDescent="0.25">
      <c r="B51" s="244" t="s">
        <v>1044</v>
      </c>
      <c r="C51" s="245"/>
      <c r="D51" s="180"/>
      <c r="E51" s="180"/>
      <c r="F51" s="180"/>
      <c r="G51" s="180"/>
      <c r="H51" s="181"/>
      <c r="I51" s="132"/>
      <c r="J51" s="132"/>
    </row>
    <row r="52" spans="2:10" x14ac:dyDescent="0.25">
      <c r="B52" s="753" t="s">
        <v>871</v>
      </c>
      <c r="C52" s="754"/>
      <c r="D52" s="755">
        <f>'Capacity (local prices)'!E48-'Capacity (local prices)'!D48</f>
        <v>0</v>
      </c>
      <c r="E52" s="755">
        <f>'Capacity (local prices)'!F48-'Capacity (local prices)'!E48</f>
        <v>0</v>
      </c>
      <c r="F52" s="755">
        <f>'Capacity (local prices)'!G48-'Capacity (local prices)'!F48</f>
        <v>0</v>
      </c>
      <c r="G52" s="755">
        <f>'Capacity (local prices)'!H48-'Capacity (local prices)'!G48</f>
        <v>0</v>
      </c>
      <c r="H52" s="755">
        <f>'Capacity (local prices)'!I48-'Capacity (local prices)'!H48</f>
        <v>0</v>
      </c>
      <c r="I52" s="132"/>
      <c r="J52" s="132"/>
    </row>
    <row r="53" spans="2:10" x14ac:dyDescent="0.25">
      <c r="B53" s="753" t="s">
        <v>980</v>
      </c>
      <c r="C53" s="754"/>
      <c r="D53" s="755">
        <f>'Capacity (local prices)'!E49-'Capacity (local prices)'!D49</f>
        <v>0</v>
      </c>
      <c r="E53" s="755">
        <f>'Capacity (local prices)'!F49-'Capacity (local prices)'!E49</f>
        <v>0</v>
      </c>
      <c r="F53" s="755">
        <f>'Capacity (local prices)'!G49-'Capacity (local prices)'!F49</f>
        <v>0</v>
      </c>
      <c r="G53" s="755">
        <f>'Capacity (local prices)'!H49-'Capacity (local prices)'!G49</f>
        <v>0</v>
      </c>
      <c r="H53" s="755">
        <f>'Capacity (local prices)'!I49-'Capacity (local prices)'!H49</f>
        <v>0</v>
      </c>
      <c r="I53" s="132"/>
      <c r="J53" s="132"/>
    </row>
    <row r="54" spans="2:10" x14ac:dyDescent="0.25">
      <c r="B54" s="753" t="s">
        <v>981</v>
      </c>
      <c r="C54" s="754"/>
      <c r="D54" s="755">
        <f>'Capacity (local prices)'!E50-'Capacity (local prices)'!D$50</f>
        <v>0</v>
      </c>
      <c r="E54" s="755">
        <f>'Capacity (local prices)'!F50-'Capacity (local prices)'!E$50</f>
        <v>0</v>
      </c>
      <c r="F54" s="755">
        <f>'Capacity (local prices)'!G50-'Capacity (local prices)'!F$50</f>
        <v>0</v>
      </c>
      <c r="G54" s="755">
        <f>'Capacity (local prices)'!H50-'Capacity (local prices)'!G$50</f>
        <v>0</v>
      </c>
      <c r="H54" s="755">
        <f>'Capacity (local prices)'!I50-'Capacity (local prices)'!H$50</f>
        <v>0</v>
      </c>
      <c r="I54" s="132"/>
      <c r="J54" s="132"/>
    </row>
    <row r="55" spans="2:10" x14ac:dyDescent="0.25">
      <c r="B55" s="753" t="s">
        <v>982</v>
      </c>
      <c r="C55" s="754"/>
      <c r="D55" s="755">
        <f>'Capacity (local prices)'!E51-'Capacity (local prices)'!D$51</f>
        <v>0</v>
      </c>
      <c r="E55" s="755">
        <f>'Capacity (local prices)'!F51-'Capacity (local prices)'!E$51</f>
        <v>0</v>
      </c>
      <c r="F55" s="755">
        <f>'Capacity (local prices)'!G51-'Capacity (local prices)'!F$51</f>
        <v>0</v>
      </c>
      <c r="G55" s="755">
        <f>'Capacity (local prices)'!H51-'Capacity (local prices)'!G$51</f>
        <v>0</v>
      </c>
      <c r="H55" s="755">
        <f>'Capacity (local prices)'!I51-'Capacity (local prices)'!H$51</f>
        <v>0</v>
      </c>
      <c r="I55" s="132"/>
      <c r="J55" s="132"/>
    </row>
  </sheetData>
  <sheetProtection algorithmName="SHA-512" hashValue="ylDXtsgSCMzppGR+c1lBBFXcXTrKFClocNhTN35c0ueVWAqOjtQrpGp3OFi3cAmz57kwJCCiV9RCCAmm7uCi9g==" saltValue="ZlczZLvDAm9jEDJwpelLfA==" spinCount="100000" sheet="1" objects="1" scenarios="1"/>
  <pageMargins left="0.70866141732283472" right="0.70866141732283472" top="0.74803149606299213" bottom="0.74803149606299213" header="0.31496062992125984" footer="0.31496062992125984"/>
  <pageSetup paperSize="9" scale="41" fitToHeight="0" orientation="portrait" horizontalDpi="4294967293" r:id="rId1"/>
  <colBreaks count="1" manualBreakCount="1">
    <brk id="10" max="8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A25E4D4-D9B2-4145-8526-456F75D867CA}">
          <x14:formula1>
            <xm:f>'Population selection'!$S$5:$S$6</xm:f>
          </x14:formula1>
          <xm:sqref>B23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5E2B-0894-4428-8D77-A9652F7A506B}">
  <sheetPr>
    <tabColor theme="8" tint="-0.499984740745262"/>
    <pageSetUpPr fitToPage="1"/>
  </sheetPr>
  <dimension ref="B1:V30"/>
  <sheetViews>
    <sheetView showGridLines="0" zoomScale="80" zoomScaleNormal="80" zoomScaleSheetLayoutView="80" workbookViewId="0"/>
  </sheetViews>
  <sheetFormatPr defaultColWidth="8.5703125" defaultRowHeight="15" x14ac:dyDescent="0.25"/>
  <cols>
    <col min="1" max="1" width="3.5703125" customWidth="1"/>
    <col min="2" max="2" width="67.140625" style="1" customWidth="1"/>
    <col min="3" max="9" width="11.5703125" customWidth="1"/>
    <col min="10" max="10" width="7.85546875" customWidth="1"/>
    <col min="11" max="23" width="8.5703125" customWidth="1"/>
  </cols>
  <sheetData>
    <row r="1" spans="2:22" ht="35.1" customHeight="1" x14ac:dyDescent="0.25">
      <c r="B1" s="143" t="str">
        <f>'Summary '!B1</f>
        <v>Menopause: identification and management (update)</v>
      </c>
      <c r="C1" s="126"/>
      <c r="D1" s="126"/>
      <c r="E1" s="126"/>
      <c r="F1" s="126"/>
      <c r="G1" s="126"/>
      <c r="H1" s="126"/>
      <c r="I1" s="126"/>
      <c r="J1" s="126"/>
    </row>
    <row r="2" spans="2:22" ht="38.1" customHeight="1" x14ac:dyDescent="0.25">
      <c r="B2" s="310" t="s">
        <v>657</v>
      </c>
      <c r="C2" s="126" t="s">
        <v>71</v>
      </c>
      <c r="D2" s="126" t="s">
        <v>71</v>
      </c>
      <c r="E2" s="126" t="s">
        <v>71</v>
      </c>
      <c r="F2" s="126" t="s">
        <v>71</v>
      </c>
      <c r="G2" s="126" t="s">
        <v>71</v>
      </c>
      <c r="H2" s="126"/>
      <c r="I2" s="126" t="s">
        <v>71</v>
      </c>
      <c r="J2" s="126" t="s">
        <v>71</v>
      </c>
    </row>
    <row r="3" spans="2:22" x14ac:dyDescent="0.25">
      <c r="B3" s="129" t="s">
        <v>71</v>
      </c>
      <c r="C3" s="132" t="s">
        <v>71</v>
      </c>
      <c r="D3" s="132" t="s">
        <v>71</v>
      </c>
      <c r="E3" s="132" t="s">
        <v>71</v>
      </c>
      <c r="F3" s="132" t="s">
        <v>71</v>
      </c>
      <c r="G3" s="132" t="s">
        <v>71</v>
      </c>
      <c r="H3" s="132" t="s">
        <v>71</v>
      </c>
      <c r="I3" s="132" t="s">
        <v>71</v>
      </c>
      <c r="J3" s="132" t="s">
        <v>71</v>
      </c>
    </row>
    <row r="4" spans="2:22" s="225" customFormat="1" x14ac:dyDescent="0.25">
      <c r="B4" s="230" t="s">
        <v>658</v>
      </c>
      <c r="F4" s="132"/>
      <c r="G4" s="132"/>
      <c r="H4" s="132"/>
      <c r="I4" s="132"/>
      <c r="J4" s="132" t="s">
        <v>71</v>
      </c>
    </row>
    <row r="5" spans="2:22" s="225" customFormat="1" x14ac:dyDescent="0.25">
      <c r="B5" s="230" t="s">
        <v>659</v>
      </c>
      <c r="F5" s="132"/>
      <c r="G5" s="132"/>
      <c r="H5" s="132"/>
      <c r="I5" s="132"/>
      <c r="J5" s="132"/>
    </row>
    <row r="6" spans="2:22" s="225" customFormat="1" x14ac:dyDescent="0.25">
      <c r="B6" s="230"/>
      <c r="C6" s="132" t="s">
        <v>71</v>
      </c>
      <c r="D6" s="132" t="s">
        <v>71</v>
      </c>
      <c r="E6" s="132"/>
      <c r="F6" s="132"/>
      <c r="G6" s="132"/>
      <c r="H6" s="132"/>
      <c r="I6" s="132" t="s">
        <v>71</v>
      </c>
      <c r="J6" s="132" t="s">
        <v>71</v>
      </c>
    </row>
    <row r="7" spans="2:22" s="225" customFormat="1" ht="45" x14ac:dyDescent="0.25">
      <c r="B7" s="242" t="s">
        <v>100</v>
      </c>
      <c r="C7" s="249"/>
      <c r="D7" s="330" t="s">
        <v>660</v>
      </c>
      <c r="E7" s="250" t="s">
        <v>47</v>
      </c>
      <c r="F7" s="250" t="s">
        <v>48</v>
      </c>
      <c r="G7" s="251" t="s">
        <v>661</v>
      </c>
      <c r="H7" s="251" t="s">
        <v>662</v>
      </c>
      <c r="I7" s="250" t="s">
        <v>663</v>
      </c>
    </row>
    <row r="8" spans="2:22" s="147" customFormat="1" x14ac:dyDescent="0.25">
      <c r="B8" s="165" t="s">
        <v>100</v>
      </c>
      <c r="C8" s="548"/>
      <c r="D8" s="127">
        <f>'Inputs and eligible population'!F39</f>
        <v>1295318.8651964571</v>
      </c>
      <c r="E8" s="127">
        <f>'Inputs and eligible population'!G39</f>
        <v>1313099.9736043517</v>
      </c>
      <c r="F8" s="127">
        <f>'Inputs and eligible population'!H39</f>
        <v>1331125.1669435389</v>
      </c>
      <c r="G8" s="127">
        <f>'Inputs and eligible population'!I39</f>
        <v>1349397.7958180592</v>
      </c>
      <c r="H8" s="127">
        <f>'Inputs and eligible population'!J39</f>
        <v>1367921.2568263849</v>
      </c>
      <c r="I8" s="127">
        <f>'Inputs and eligible population'!K39</f>
        <v>1386698.9931927926</v>
      </c>
    </row>
    <row r="9" spans="2:22" s="147" customFormat="1" ht="15" customHeight="1" x14ac:dyDescent="0.25">
      <c r="B9" s="546" t="str">
        <f>'Inputs and eligible population'!D52</f>
        <v>People with VMS</v>
      </c>
      <c r="C9" s="401"/>
      <c r="D9" s="547">
        <f>'Inputs and eligible population'!E52</f>
        <v>1</v>
      </c>
      <c r="E9" s="547">
        <f>'Inputs and eligible population'!F52</f>
        <v>1</v>
      </c>
      <c r="F9" s="547">
        <f>'Inputs and eligible population'!G52</f>
        <v>1</v>
      </c>
      <c r="G9" s="547">
        <f>'Inputs and eligible population'!H52</f>
        <v>1</v>
      </c>
      <c r="H9" s="547">
        <f>'Inputs and eligible population'!I52</f>
        <v>1</v>
      </c>
      <c r="I9" s="547">
        <f>'Inputs and eligible population'!J52</f>
        <v>1</v>
      </c>
    </row>
    <row r="10" spans="2:22" s="147" customFormat="1" ht="15" customHeight="1" x14ac:dyDescent="0.25">
      <c r="B10" s="219" t="s">
        <v>1034</v>
      </c>
      <c r="C10" s="548"/>
      <c r="D10" s="547">
        <f>'Inputs and eligible population'!E76</f>
        <v>0</v>
      </c>
      <c r="E10" s="547">
        <f>'Inputs and eligible population'!F76</f>
        <v>0</v>
      </c>
      <c r="F10" s="547">
        <f>'Inputs and eligible population'!G76</f>
        <v>0</v>
      </c>
      <c r="G10" s="547">
        <f>'Inputs and eligible population'!H76</f>
        <v>0</v>
      </c>
      <c r="H10" s="547">
        <f>'Inputs and eligible population'!I76</f>
        <v>0</v>
      </c>
      <c r="I10" s="547">
        <f>'Inputs and eligible population'!J76</f>
        <v>0</v>
      </c>
    </row>
    <row r="11" spans="2:22" s="147" customFormat="1" x14ac:dyDescent="0.25">
      <c r="B11" s="299"/>
      <c r="C11" s="549"/>
      <c r="D11" s="301"/>
      <c r="E11" s="301"/>
      <c r="F11" s="301"/>
      <c r="G11" s="301"/>
      <c r="H11" s="301"/>
      <c r="I11" s="301"/>
    </row>
    <row r="12" spans="2:22" s="225" customFormat="1" x14ac:dyDescent="0.25">
      <c r="B12" s="227" t="s">
        <v>71</v>
      </c>
      <c r="C12" s="132" t="s">
        <v>71</v>
      </c>
      <c r="D12" s="132" t="s">
        <v>71</v>
      </c>
      <c r="E12" s="132" t="s">
        <v>71</v>
      </c>
      <c r="F12" s="132" t="s">
        <v>71</v>
      </c>
      <c r="G12" s="132" t="s">
        <v>71</v>
      </c>
      <c r="H12" s="132"/>
      <c r="I12" s="132"/>
      <c r="L12" s="147"/>
      <c r="R12" s="252"/>
      <c r="S12" s="252"/>
      <c r="T12" s="252"/>
      <c r="U12" s="252"/>
      <c r="V12" s="252"/>
    </row>
    <row r="13" spans="2:22" s="225" customFormat="1" x14ac:dyDescent="0.25">
      <c r="B13" s="285" t="s">
        <v>102</v>
      </c>
      <c r="C13" s="286"/>
      <c r="D13" s="287"/>
      <c r="E13" s="287"/>
      <c r="F13" s="287"/>
      <c r="G13" s="287"/>
      <c r="H13" s="287"/>
      <c r="I13" s="288"/>
      <c r="L13" s="147"/>
    </row>
    <row r="14" spans="2:22" s="225" customFormat="1" x14ac:dyDescent="0.25">
      <c r="B14" s="227"/>
      <c r="C14" s="132"/>
      <c r="D14" s="132"/>
      <c r="E14" s="132"/>
      <c r="F14" s="132"/>
      <c r="G14" s="132"/>
      <c r="H14" s="132"/>
      <c r="I14" s="132"/>
      <c r="L14" s="147"/>
      <c r="R14" s="252"/>
      <c r="S14" s="252"/>
      <c r="T14" s="252"/>
      <c r="U14" s="252"/>
      <c r="V14" s="252"/>
    </row>
    <row r="15" spans="2:22" s="225" customFormat="1" x14ac:dyDescent="0.25">
      <c r="B15" s="259" t="s">
        <v>1033</v>
      </c>
      <c r="C15" s="253"/>
      <c r="D15" s="180"/>
      <c r="E15" s="180"/>
      <c r="F15" s="180"/>
      <c r="G15" s="180"/>
      <c r="H15" s="180"/>
      <c r="I15" s="181"/>
      <c r="L15" s="147"/>
    </row>
    <row r="16" spans="2:22" s="225" customFormat="1" x14ac:dyDescent="0.25">
      <c r="B16" s="291" t="str">
        <f>B10</f>
        <v xml:space="preserve">People having HRT </v>
      </c>
      <c r="C16" s="292"/>
      <c r="D16" s="254">
        <f>D$9*D10*D8</f>
        <v>0</v>
      </c>
      <c r="E16" s="254">
        <f>E$9*E10*E8</f>
        <v>0</v>
      </c>
      <c r="F16" s="254">
        <f t="shared" ref="F16:I16" si="0">F$9*F10*F8</f>
        <v>0</v>
      </c>
      <c r="G16" s="254">
        <f t="shared" si="0"/>
        <v>0</v>
      </c>
      <c r="H16" s="254">
        <f t="shared" si="0"/>
        <v>0</v>
      </c>
      <c r="I16" s="254">
        <f t="shared" si="0"/>
        <v>0</v>
      </c>
      <c r="K16" s="252"/>
      <c r="L16" s="147"/>
      <c r="M16" s="252"/>
      <c r="N16" s="252"/>
      <c r="O16" s="252"/>
      <c r="Q16" s="252"/>
      <c r="R16" s="252"/>
      <c r="S16" s="252"/>
      <c r="T16" s="252"/>
      <c r="U16" s="252"/>
      <c r="V16" s="252"/>
    </row>
    <row r="17" spans="2:22" s="225" customFormat="1" x14ac:dyDescent="0.25">
      <c r="B17" s="291" t="s">
        <v>1035</v>
      </c>
      <c r="C17" s="292"/>
      <c r="D17" s="254">
        <f>'Inputs and eligible population'!L86</f>
        <v>0</v>
      </c>
      <c r="E17" s="254">
        <f>'Inputs and eligible population'!M86</f>
        <v>0</v>
      </c>
      <c r="F17" s="254">
        <f>'Inputs and eligible population'!N86</f>
        <v>0</v>
      </c>
      <c r="G17" s="254">
        <f>'Inputs and eligible population'!O86</f>
        <v>0</v>
      </c>
      <c r="H17" s="254">
        <f>'Inputs and eligible population'!P86</f>
        <v>0</v>
      </c>
      <c r="I17" s="254">
        <f>'Inputs and eligible population'!Q86</f>
        <v>0</v>
      </c>
      <c r="K17" s="252"/>
      <c r="L17" s="147"/>
      <c r="M17" s="252"/>
      <c r="N17" s="252"/>
      <c r="O17" s="252"/>
      <c r="Q17" s="252"/>
      <c r="R17" s="252"/>
      <c r="S17" s="252"/>
      <c r="T17" s="252"/>
      <c r="U17" s="252"/>
      <c r="V17" s="252"/>
    </row>
    <row r="18" spans="2:22" s="225" customFormat="1" x14ac:dyDescent="0.25">
      <c r="B18" s="550"/>
      <c r="C18" s="147"/>
      <c r="D18" s="301"/>
      <c r="E18" s="301"/>
      <c r="F18" s="301"/>
      <c r="G18" s="301"/>
      <c r="H18" s="301"/>
      <c r="I18" s="301"/>
      <c r="K18" s="252"/>
      <c r="L18" s="147"/>
      <c r="M18" s="252"/>
      <c r="N18" s="252"/>
      <c r="O18" s="252"/>
      <c r="Q18" s="252"/>
      <c r="R18" s="252"/>
      <c r="S18" s="252"/>
      <c r="T18" s="252"/>
      <c r="U18" s="252"/>
      <c r="V18" s="252"/>
    </row>
    <row r="19" spans="2:22" s="225" customFormat="1" x14ac:dyDescent="0.25">
      <c r="B19" s="1"/>
      <c r="C19"/>
      <c r="D19"/>
      <c r="E19"/>
      <c r="F19"/>
      <c r="G19"/>
      <c r="H19"/>
      <c r="I19"/>
      <c r="J19"/>
      <c r="K19"/>
      <c r="L19" s="147"/>
      <c r="M19"/>
      <c r="N19"/>
      <c r="O19"/>
      <c r="P19"/>
      <c r="Q19"/>
      <c r="R19"/>
      <c r="S19"/>
      <c r="T19"/>
      <c r="U19"/>
      <c r="V19"/>
    </row>
    <row r="20" spans="2:22" s="225" customFormat="1" x14ac:dyDescent="0.25">
      <c r="B20" s="262" t="s">
        <v>664</v>
      </c>
      <c r="C20" s="255" t="s">
        <v>665</v>
      </c>
      <c r="D20" s="256" t="s">
        <v>103</v>
      </c>
      <c r="E20" s="256" t="s">
        <v>103</v>
      </c>
      <c r="F20" s="256" t="s">
        <v>103</v>
      </c>
      <c r="G20" s="256" t="s">
        <v>103</v>
      </c>
      <c r="H20" s="256" t="s">
        <v>103</v>
      </c>
      <c r="I20" s="256" t="s">
        <v>103</v>
      </c>
      <c r="J20" s="763"/>
      <c r="L20" s="147"/>
      <c r="R20" s="252"/>
      <c r="S20" s="252"/>
      <c r="T20" s="252"/>
      <c r="U20" s="252"/>
      <c r="V20" s="252"/>
    </row>
    <row r="21" spans="2:22" s="225" customFormat="1" x14ac:dyDescent="0.25">
      <c r="B21" s="290" t="s">
        <v>876</v>
      </c>
      <c r="C21" s="257">
        <f>'Unit costs'!S19</f>
        <v>0</v>
      </c>
      <c r="D21" s="257">
        <f>D16*$C21/1000</f>
        <v>0</v>
      </c>
      <c r="E21" s="257">
        <f t="shared" ref="E21:I21" si="1">E16*$C21/1000</f>
        <v>0</v>
      </c>
      <c r="F21" s="257">
        <f t="shared" si="1"/>
        <v>0</v>
      </c>
      <c r="G21" s="257">
        <f t="shared" si="1"/>
        <v>0</v>
      </c>
      <c r="H21" s="257">
        <f t="shared" si="1"/>
        <v>0</v>
      </c>
      <c r="I21" s="257">
        <f t="shared" si="1"/>
        <v>0</v>
      </c>
      <c r="L21" s="147"/>
      <c r="R21" s="252"/>
      <c r="S21" s="252"/>
      <c r="T21" s="252"/>
      <c r="U21" s="252"/>
      <c r="V21" s="252"/>
    </row>
    <row r="22" spans="2:22" s="225" customFormat="1" x14ac:dyDescent="0.25">
      <c r="B22" s="290" t="s">
        <v>841</v>
      </c>
      <c r="C22" s="257">
        <f>'Unit costs'!Q23</f>
        <v>514.91071428571422</v>
      </c>
      <c r="D22" s="257">
        <f>D17*$C22/1000</f>
        <v>0</v>
      </c>
      <c r="E22" s="257">
        <f t="shared" ref="E22:I22" si="2">E17*$C22/1000</f>
        <v>0</v>
      </c>
      <c r="F22" s="257">
        <f t="shared" si="2"/>
        <v>0</v>
      </c>
      <c r="G22" s="257">
        <f t="shared" si="2"/>
        <v>0</v>
      </c>
      <c r="H22" s="257">
        <f t="shared" si="2"/>
        <v>0</v>
      </c>
      <c r="I22" s="257">
        <f t="shared" si="2"/>
        <v>0</v>
      </c>
      <c r="L22" s="147"/>
      <c r="R22" s="252"/>
      <c r="S22" s="252"/>
      <c r="T22" s="252"/>
      <c r="U22" s="252"/>
      <c r="V22" s="252"/>
    </row>
    <row r="23" spans="2:22" s="225" customFormat="1" x14ac:dyDescent="0.25">
      <c r="B23" s="263" t="s">
        <v>666</v>
      </c>
      <c r="C23" s="183"/>
      <c r="D23" s="184">
        <f>SUM(D21:D22)</f>
        <v>0</v>
      </c>
      <c r="E23" s="184">
        <f t="shared" ref="E23:I23" si="3">SUM(E21:E22)</f>
        <v>0</v>
      </c>
      <c r="F23" s="184">
        <f t="shared" si="3"/>
        <v>0</v>
      </c>
      <c r="G23" s="184">
        <f t="shared" si="3"/>
        <v>0</v>
      </c>
      <c r="H23" s="184">
        <f t="shared" si="3"/>
        <v>0</v>
      </c>
      <c r="I23" s="184">
        <f t="shared" si="3"/>
        <v>0</v>
      </c>
      <c r="J23" s="297"/>
      <c r="L23" s="147"/>
      <c r="R23" s="252"/>
      <c r="S23" s="252"/>
      <c r="T23" s="252"/>
      <c r="U23" s="252"/>
      <c r="V23" s="252"/>
    </row>
    <row r="24" spans="2:22" s="225" customFormat="1" x14ac:dyDescent="0.25">
      <c r="B24" s="261"/>
      <c r="C24" s="132"/>
      <c r="D24" s="132"/>
      <c r="E24" s="132"/>
      <c r="F24" s="132"/>
      <c r="G24" s="132"/>
      <c r="H24" s="132"/>
      <c r="I24" s="132"/>
      <c r="L24" s="147"/>
      <c r="R24" s="252"/>
      <c r="S24" s="252"/>
      <c r="T24" s="252"/>
      <c r="U24" s="252"/>
      <c r="V24" s="252"/>
    </row>
    <row r="25" spans="2:22" s="225" customFormat="1" x14ac:dyDescent="0.25">
      <c r="B25" s="311"/>
      <c r="C25" s="258"/>
      <c r="D25" s="296" t="s">
        <v>875</v>
      </c>
      <c r="E25" s="184">
        <f>E23-$D$23</f>
        <v>0</v>
      </c>
      <c r="F25" s="184">
        <f t="shared" ref="F25:I25" si="4">F23-$D$23</f>
        <v>0</v>
      </c>
      <c r="G25" s="184">
        <f t="shared" si="4"/>
        <v>0</v>
      </c>
      <c r="H25" s="184">
        <f t="shared" si="4"/>
        <v>0</v>
      </c>
      <c r="I25" s="184">
        <f t="shared" si="4"/>
        <v>0</v>
      </c>
      <c r="L25" s="147"/>
      <c r="R25" s="252"/>
      <c r="S25" s="252"/>
      <c r="T25" s="252"/>
      <c r="U25" s="252"/>
      <c r="V25" s="252"/>
    </row>
    <row r="26" spans="2:22" s="225" customFormat="1" x14ac:dyDescent="0.25">
      <c r="B26" s="311"/>
      <c r="C26" s="258"/>
      <c r="D26" s="264" t="s">
        <v>667</v>
      </c>
      <c r="E26" s="184">
        <f>E25</f>
        <v>0</v>
      </c>
      <c r="F26" s="185">
        <f>F25-E25</f>
        <v>0</v>
      </c>
      <c r="G26" s="185">
        <f t="shared" ref="G26:I26" si="5">G25-F25</f>
        <v>0</v>
      </c>
      <c r="H26" s="185">
        <f t="shared" si="5"/>
        <v>0</v>
      </c>
      <c r="I26" s="185">
        <f t="shared" si="5"/>
        <v>0</v>
      </c>
      <c r="J26" s="132"/>
      <c r="L26" s="147"/>
      <c r="R26" s="252"/>
      <c r="S26" s="252"/>
      <c r="T26" s="252"/>
      <c r="U26" s="252"/>
      <c r="V26" s="252"/>
    </row>
    <row r="28" spans="2:22" x14ac:dyDescent="0.25">
      <c r="J28" s="225"/>
    </row>
    <row r="29" spans="2:22" x14ac:dyDescent="0.25">
      <c r="J29" s="225"/>
    </row>
    <row r="30" spans="2:22" x14ac:dyDescent="0.25">
      <c r="J30" s="225"/>
    </row>
  </sheetData>
  <sheetProtection algorithmName="SHA-512" hashValue="pNavTOkxRtH0CHMJiuKBov9Qq1Fk8ydk6cyosu/4lzXNw3mCbUX5veo+7LNMwq0VpimeA+JlKoeteF0lh7xO7g==" saltValue="ANUDrZyGjbgoYG+UK5bJHQ==" spinCount="100000" sheet="1" objects="1" scenarios="1"/>
  <pageMargins left="0.70866141732283472" right="0.70866141732283472" top="0.74803149606299213" bottom="0.74803149606299213" header="0.31496062992125984" footer="0.31496062992125984"/>
  <pageSetup paperSize="9" scale="56"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F2741-F4BF-4896-97FE-748BEAAB4613}">
  <sheetPr>
    <tabColor theme="8" tint="-0.499984740745262"/>
    <pageSetUpPr fitToPage="1"/>
  </sheetPr>
  <dimension ref="A1:AC103"/>
  <sheetViews>
    <sheetView showGridLines="0" zoomScale="80" zoomScaleNormal="80" zoomScaleSheetLayoutView="30" workbookViewId="0"/>
  </sheetViews>
  <sheetFormatPr defaultColWidth="8.5703125" defaultRowHeight="15" x14ac:dyDescent="0.25"/>
  <cols>
    <col min="1" max="1" width="3.5703125" customWidth="1"/>
    <col min="2" max="2" width="64.85546875" style="1" customWidth="1"/>
    <col min="3" max="9" width="12.5703125" customWidth="1"/>
    <col min="10" max="10" width="1.85546875" customWidth="1"/>
    <col min="11" max="17" width="12.5703125" customWidth="1"/>
    <col min="18" max="18" width="11.42578125" customWidth="1"/>
    <col min="19" max="30" width="0" hidden="1" customWidth="1"/>
  </cols>
  <sheetData>
    <row r="1" spans="1:29" ht="35.1" customHeight="1" x14ac:dyDescent="0.25">
      <c r="B1" s="143" t="str">
        <f>'Financial impact (cash)'!B1</f>
        <v>Menopause: identification and management (update)</v>
      </c>
      <c r="C1" s="126"/>
      <c r="D1" s="126"/>
      <c r="F1" s="126"/>
      <c r="G1" s="126"/>
      <c r="H1" s="126"/>
      <c r="I1" s="126"/>
      <c r="J1" s="126"/>
      <c r="K1" s="126"/>
      <c r="L1" s="126"/>
      <c r="M1" s="126"/>
      <c r="N1" s="126"/>
      <c r="O1" s="126"/>
      <c r="Q1" s="126"/>
      <c r="R1" s="126"/>
    </row>
    <row r="2" spans="1:29" ht="42.6" customHeight="1" x14ac:dyDescent="0.25">
      <c r="B2" s="203" t="s">
        <v>668</v>
      </c>
      <c r="C2" s="126" t="s">
        <v>71</v>
      </c>
      <c r="D2" s="126" t="s">
        <v>71</v>
      </c>
      <c r="E2" s="362"/>
      <c r="F2" s="126" t="s">
        <v>71</v>
      </c>
      <c r="G2" s="126" t="s">
        <v>71</v>
      </c>
      <c r="H2" s="126" t="s">
        <v>71</v>
      </c>
      <c r="I2" s="126" t="s">
        <v>71</v>
      </c>
      <c r="J2" s="126"/>
      <c r="K2" s="126"/>
      <c r="L2" s="126"/>
      <c r="M2" s="126"/>
      <c r="N2" s="126"/>
      <c r="O2" s="126"/>
      <c r="P2" s="126"/>
      <c r="Q2" s="126"/>
      <c r="R2" s="126"/>
    </row>
    <row r="3" spans="1:29" ht="14.85" customHeight="1" x14ac:dyDescent="0.25">
      <c r="B3" s="129" t="s">
        <v>71</v>
      </c>
      <c r="C3" s="132" t="s">
        <v>71</v>
      </c>
      <c r="D3" s="132" t="s">
        <v>71</v>
      </c>
      <c r="F3" s="132" t="s">
        <v>71</v>
      </c>
      <c r="G3" s="132" t="s">
        <v>71</v>
      </c>
      <c r="H3" s="132" t="s">
        <v>71</v>
      </c>
      <c r="I3" s="132" t="s">
        <v>71</v>
      </c>
      <c r="J3" s="126"/>
      <c r="K3" s="126"/>
      <c r="L3" s="126"/>
      <c r="M3" s="126"/>
      <c r="N3" s="126"/>
      <c r="O3" s="126"/>
      <c r="P3" s="132"/>
      <c r="Q3" s="132"/>
      <c r="R3" s="132"/>
    </row>
    <row r="4" spans="1:29" ht="14.85" customHeight="1" x14ac:dyDescent="0.25">
      <c r="B4" t="s">
        <v>669</v>
      </c>
      <c r="C4" s="132"/>
      <c r="D4" s="132"/>
      <c r="F4" s="132"/>
      <c r="G4" s="132"/>
      <c r="H4" s="132"/>
      <c r="I4" s="132"/>
      <c r="J4" s="132"/>
      <c r="K4" s="132"/>
      <c r="L4" s="132"/>
      <c r="M4" s="132"/>
      <c r="N4" s="132"/>
      <c r="O4" s="132"/>
      <c r="P4" s="132"/>
      <c r="Q4" s="132"/>
      <c r="R4" s="132"/>
    </row>
    <row r="5" spans="1:29" ht="14.85" customHeight="1" x14ac:dyDescent="0.25">
      <c r="B5" s="5"/>
      <c r="F5" s="132"/>
      <c r="G5" s="132"/>
      <c r="H5" s="132"/>
      <c r="I5" s="132"/>
      <c r="J5" s="132"/>
      <c r="K5" s="132"/>
      <c r="L5" s="126"/>
      <c r="M5" s="126"/>
      <c r="N5" s="126"/>
      <c r="O5" s="126"/>
      <c r="P5" s="132"/>
      <c r="Q5" s="132"/>
      <c r="R5" s="132"/>
    </row>
    <row r="6" spans="1:29" ht="45" x14ac:dyDescent="0.25">
      <c r="B6" s="242" t="s">
        <v>100</v>
      </c>
      <c r="C6" s="201"/>
      <c r="D6" s="330" t="s">
        <v>660</v>
      </c>
      <c r="E6" s="240" t="s">
        <v>47</v>
      </c>
      <c r="F6" s="240" t="s">
        <v>48</v>
      </c>
      <c r="G6" s="164" t="s">
        <v>661</v>
      </c>
      <c r="H6" s="164" t="s">
        <v>662</v>
      </c>
      <c r="I6" s="240" t="s">
        <v>663</v>
      </c>
      <c r="L6" s="132"/>
      <c r="M6" s="132"/>
      <c r="N6" s="132"/>
      <c r="O6" s="132"/>
      <c r="P6" s="132"/>
      <c r="Q6" s="132"/>
      <c r="R6" s="132"/>
      <c r="Y6" s="266"/>
      <c r="Z6" s="266"/>
      <c r="AA6" s="266"/>
      <c r="AB6" s="266"/>
      <c r="AC6" s="266"/>
    </row>
    <row r="7" spans="1:29" x14ac:dyDescent="0.25">
      <c r="B7" s="165" t="str">
        <f>'Inputs and eligible population'!D52</f>
        <v>People with VMS</v>
      </c>
      <c r="C7" s="166"/>
      <c r="D7" s="371">
        <f>'Inputs and eligible population'!L52</f>
        <v>1295318.8651964571</v>
      </c>
      <c r="E7" s="371">
        <f>'Inputs and eligible population'!M52</f>
        <v>1313099.9736043517</v>
      </c>
      <c r="F7" s="371">
        <f>'Inputs and eligible population'!N52</f>
        <v>1331125.1669435389</v>
      </c>
      <c r="G7" s="371">
        <f>'Inputs and eligible population'!O52</f>
        <v>1349397.7958180592</v>
      </c>
      <c r="H7" s="371">
        <f>'Inputs and eligible population'!P52</f>
        <v>1367921.2568263849</v>
      </c>
      <c r="I7" s="371">
        <f>'Inputs and eligible population'!Q52</f>
        <v>1386698.9931927926</v>
      </c>
      <c r="L7" s="132"/>
      <c r="M7" s="132"/>
      <c r="N7" s="132"/>
      <c r="O7" s="132"/>
      <c r="P7" s="132"/>
      <c r="Q7" s="132"/>
      <c r="R7" s="132"/>
      <c r="Y7" s="266"/>
      <c r="Z7" s="266"/>
      <c r="AA7" s="266"/>
      <c r="AB7" s="266"/>
      <c r="AC7" s="266"/>
    </row>
    <row r="8" spans="1:29" x14ac:dyDescent="0.25">
      <c r="B8"/>
      <c r="P8" s="132"/>
      <c r="Q8" s="132"/>
      <c r="R8" s="132"/>
      <c r="Y8" s="266"/>
      <c r="Z8" s="266"/>
      <c r="AA8" s="266"/>
      <c r="AB8" s="266"/>
      <c r="AC8" s="266"/>
    </row>
    <row r="9" spans="1:29" ht="60" x14ac:dyDescent="0.25">
      <c r="B9" s="259" t="s">
        <v>670</v>
      </c>
      <c r="C9" s="551"/>
      <c r="D9" s="330" t="s">
        <v>660</v>
      </c>
      <c r="E9" s="240" t="s">
        <v>47</v>
      </c>
      <c r="F9" s="240" t="s">
        <v>48</v>
      </c>
      <c r="G9" s="164" t="s">
        <v>661</v>
      </c>
      <c r="H9" s="164" t="s">
        <v>662</v>
      </c>
      <c r="I9" s="240" t="s">
        <v>663</v>
      </c>
      <c r="J9" s="409"/>
      <c r="L9" s="217" t="s">
        <v>877</v>
      </c>
      <c r="M9" s="240" t="s">
        <v>878</v>
      </c>
      <c r="N9" s="240" t="s">
        <v>879</v>
      </c>
      <c r="O9" s="240" t="s">
        <v>880</v>
      </c>
      <c r="P9" s="240" t="s">
        <v>881</v>
      </c>
      <c r="Q9" s="240" t="s">
        <v>882</v>
      </c>
      <c r="R9" s="132"/>
      <c r="Y9" s="266"/>
      <c r="Z9" s="266"/>
      <c r="AA9" s="266"/>
      <c r="AB9" s="266"/>
      <c r="AC9" s="266"/>
    </row>
    <row r="10" spans="1:29" x14ac:dyDescent="0.25">
      <c r="A10" s="271"/>
      <c r="B10" s="552" t="s">
        <v>1000</v>
      </c>
      <c r="C10" s="332"/>
      <c r="D10" s="329">
        <f>D26</f>
        <v>0</v>
      </c>
      <c r="E10" s="329">
        <f t="shared" ref="E10:I10" si="0">E26</f>
        <v>0</v>
      </c>
      <c r="F10" s="329">
        <f t="shared" si="0"/>
        <v>0</v>
      </c>
      <c r="G10" s="329">
        <f t="shared" si="0"/>
        <v>0</v>
      </c>
      <c r="H10" s="329">
        <f t="shared" si="0"/>
        <v>0</v>
      </c>
      <c r="I10" s="329">
        <f t="shared" si="0"/>
        <v>0</v>
      </c>
      <c r="L10" s="268">
        <f>L26</f>
        <v>0</v>
      </c>
      <c r="M10" s="268">
        <f t="shared" ref="M10:Q10" si="1">M26</f>
        <v>0</v>
      </c>
      <c r="N10" s="268">
        <f t="shared" si="1"/>
        <v>0</v>
      </c>
      <c r="O10" s="268">
        <f t="shared" si="1"/>
        <v>0</v>
      </c>
      <c r="P10" s="268">
        <f t="shared" si="1"/>
        <v>0</v>
      </c>
      <c r="Q10" s="268">
        <f t="shared" si="1"/>
        <v>0</v>
      </c>
      <c r="R10" s="132"/>
      <c r="Y10" s="266"/>
      <c r="Z10" s="266"/>
      <c r="AA10" s="266"/>
      <c r="AB10" s="266"/>
      <c r="AC10" s="266"/>
    </row>
    <row r="11" spans="1:29" x14ac:dyDescent="0.25">
      <c r="A11" s="271"/>
      <c r="B11" s="552" t="s">
        <v>1001</v>
      </c>
      <c r="C11" s="332"/>
      <c r="D11" s="329">
        <f>D32</f>
        <v>0</v>
      </c>
      <c r="E11" s="329">
        <f t="shared" ref="E11:I11" si="2">E32</f>
        <v>0</v>
      </c>
      <c r="F11" s="329">
        <f t="shared" si="2"/>
        <v>0</v>
      </c>
      <c r="G11" s="329">
        <f t="shared" si="2"/>
        <v>0</v>
      </c>
      <c r="H11" s="329">
        <f t="shared" si="2"/>
        <v>0</v>
      </c>
      <c r="I11" s="329">
        <f t="shared" si="2"/>
        <v>0</v>
      </c>
      <c r="L11" s="268">
        <f>L32</f>
        <v>0</v>
      </c>
      <c r="M11" s="268">
        <f t="shared" ref="M11:Q11" si="3">M32</f>
        <v>0</v>
      </c>
      <c r="N11" s="268">
        <f t="shared" si="3"/>
        <v>0</v>
      </c>
      <c r="O11" s="268">
        <f t="shared" si="3"/>
        <v>0</v>
      </c>
      <c r="P11" s="268">
        <f t="shared" si="3"/>
        <v>0</v>
      </c>
      <c r="Q11" s="268">
        <f t="shared" si="3"/>
        <v>0</v>
      </c>
      <c r="R11" s="132"/>
      <c r="Y11" s="266"/>
      <c r="Z11" s="266"/>
      <c r="AA11" s="266"/>
      <c r="AB11" s="266"/>
      <c r="AC11" s="266"/>
    </row>
    <row r="12" spans="1:29" x14ac:dyDescent="0.25">
      <c r="A12" s="575"/>
      <c r="B12" s="764" t="s">
        <v>972</v>
      </c>
      <c r="C12" s="765"/>
      <c r="D12" s="766">
        <f>D43</f>
        <v>0</v>
      </c>
      <c r="E12" s="766">
        <f t="shared" ref="E12:I12" si="4">E43</f>
        <v>0</v>
      </c>
      <c r="F12" s="766">
        <f t="shared" si="4"/>
        <v>0</v>
      </c>
      <c r="G12" s="766">
        <f t="shared" si="4"/>
        <v>0</v>
      </c>
      <c r="H12" s="766">
        <f t="shared" si="4"/>
        <v>0</v>
      </c>
      <c r="I12" s="766">
        <f t="shared" si="4"/>
        <v>0</v>
      </c>
      <c r="L12" s="268">
        <f>L43</f>
        <v>0</v>
      </c>
      <c r="M12" s="268">
        <f t="shared" ref="M12:Q12" si="5">M43</f>
        <v>0</v>
      </c>
      <c r="N12" s="268">
        <f t="shared" si="5"/>
        <v>0</v>
      </c>
      <c r="O12" s="268">
        <f t="shared" si="5"/>
        <v>0</v>
      </c>
      <c r="P12" s="268">
        <f t="shared" si="5"/>
        <v>0</v>
      </c>
      <c r="Q12" s="268">
        <f t="shared" si="5"/>
        <v>0</v>
      </c>
      <c r="R12" s="132"/>
      <c r="Y12" s="266"/>
      <c r="Z12" s="266"/>
      <c r="AA12" s="266"/>
      <c r="AB12" s="266"/>
      <c r="AC12" s="266"/>
    </row>
    <row r="13" spans="1:29" x14ac:dyDescent="0.25">
      <c r="A13" s="267"/>
      <c r="B13" s="767" t="s">
        <v>973</v>
      </c>
      <c r="C13" s="768"/>
      <c r="D13" s="769">
        <f>D60</f>
        <v>0</v>
      </c>
      <c r="E13" s="769">
        <f t="shared" ref="E13:I13" si="6">E60</f>
        <v>0</v>
      </c>
      <c r="F13" s="769">
        <f t="shared" si="6"/>
        <v>0</v>
      </c>
      <c r="G13" s="769">
        <f t="shared" si="6"/>
        <v>0</v>
      </c>
      <c r="H13" s="769">
        <f t="shared" si="6"/>
        <v>0</v>
      </c>
      <c r="I13" s="769">
        <f t="shared" si="6"/>
        <v>0</v>
      </c>
      <c r="L13" s="268">
        <f>L60</f>
        <v>0</v>
      </c>
      <c r="M13" s="268">
        <f t="shared" ref="M13:Q13" si="7">M60</f>
        <v>0</v>
      </c>
      <c r="N13" s="268">
        <f t="shared" si="7"/>
        <v>0</v>
      </c>
      <c r="O13" s="268">
        <f t="shared" si="7"/>
        <v>0</v>
      </c>
      <c r="P13" s="268">
        <f t="shared" si="7"/>
        <v>0</v>
      </c>
      <c r="Q13" s="268">
        <f t="shared" si="7"/>
        <v>0</v>
      </c>
      <c r="R13" s="132"/>
      <c r="Y13" s="266"/>
      <c r="Z13" s="266"/>
      <c r="AA13" s="266"/>
      <c r="AB13" s="266"/>
      <c r="AC13" s="266"/>
    </row>
    <row r="14" spans="1:29" x14ac:dyDescent="0.25">
      <c r="A14" s="267"/>
      <c r="B14" s="767" t="s">
        <v>974</v>
      </c>
      <c r="C14" s="768"/>
      <c r="D14" s="769">
        <f>D66</f>
        <v>0</v>
      </c>
      <c r="E14" s="769">
        <f t="shared" ref="E14:I14" si="8">E66</f>
        <v>0</v>
      </c>
      <c r="F14" s="769">
        <f t="shared" si="8"/>
        <v>0</v>
      </c>
      <c r="G14" s="769">
        <f t="shared" si="8"/>
        <v>0</v>
      </c>
      <c r="H14" s="769">
        <f t="shared" si="8"/>
        <v>0</v>
      </c>
      <c r="I14" s="769">
        <f t="shared" si="8"/>
        <v>0</v>
      </c>
      <c r="L14" s="268">
        <f>L66</f>
        <v>0</v>
      </c>
      <c r="M14" s="268">
        <f t="shared" ref="M14:Q14" si="9">M66</f>
        <v>0</v>
      </c>
      <c r="N14" s="268">
        <f t="shared" si="9"/>
        <v>0</v>
      </c>
      <c r="O14" s="268">
        <f t="shared" si="9"/>
        <v>0</v>
      </c>
      <c r="P14" s="268">
        <f t="shared" si="9"/>
        <v>0</v>
      </c>
      <c r="Q14" s="268">
        <f t="shared" si="9"/>
        <v>0</v>
      </c>
      <c r="R14" s="132"/>
      <c r="Y14" s="266"/>
      <c r="Z14" s="266"/>
      <c r="AA14" s="266"/>
      <c r="AB14" s="266"/>
      <c r="AC14" s="266"/>
    </row>
    <row r="15" spans="1:29" x14ac:dyDescent="0.25">
      <c r="A15" s="267"/>
      <c r="B15" s="767" t="s">
        <v>990</v>
      </c>
      <c r="C15" s="768"/>
      <c r="D15" s="769">
        <f>D72</f>
        <v>0</v>
      </c>
      <c r="E15" s="769">
        <f t="shared" ref="E15:I15" si="10">E72</f>
        <v>0</v>
      </c>
      <c r="F15" s="769">
        <f t="shared" si="10"/>
        <v>0</v>
      </c>
      <c r="G15" s="769">
        <f t="shared" si="10"/>
        <v>0</v>
      </c>
      <c r="H15" s="769">
        <f t="shared" si="10"/>
        <v>0</v>
      </c>
      <c r="I15" s="769">
        <f t="shared" si="10"/>
        <v>0</v>
      </c>
      <c r="L15" s="268">
        <f>L72</f>
        <v>0</v>
      </c>
      <c r="M15" s="268">
        <f t="shared" ref="M15:Q15" si="11">M72</f>
        <v>0</v>
      </c>
      <c r="N15" s="268">
        <f t="shared" si="11"/>
        <v>0</v>
      </c>
      <c r="O15" s="268">
        <f t="shared" si="11"/>
        <v>0</v>
      </c>
      <c r="P15" s="268">
        <f t="shared" si="11"/>
        <v>0</v>
      </c>
      <c r="Q15" s="268">
        <f t="shared" si="11"/>
        <v>0</v>
      </c>
      <c r="R15" s="132"/>
      <c r="Y15" s="266"/>
      <c r="Z15" s="266"/>
      <c r="AA15" s="266"/>
      <c r="AB15" s="266"/>
      <c r="AC15" s="266"/>
    </row>
    <row r="16" spans="1:29" x14ac:dyDescent="0.25">
      <c r="A16" s="267"/>
      <c r="B16" s="767" t="s">
        <v>991</v>
      </c>
      <c r="C16" s="768"/>
      <c r="D16" s="769">
        <f>D78</f>
        <v>0</v>
      </c>
      <c r="E16" s="769">
        <f t="shared" ref="E16:I16" si="12">E78</f>
        <v>0</v>
      </c>
      <c r="F16" s="769">
        <f t="shared" si="12"/>
        <v>0</v>
      </c>
      <c r="G16" s="769">
        <f t="shared" si="12"/>
        <v>0</v>
      </c>
      <c r="H16" s="769">
        <f t="shared" si="12"/>
        <v>0</v>
      </c>
      <c r="I16" s="769">
        <f t="shared" si="12"/>
        <v>0</v>
      </c>
      <c r="L16" s="268">
        <f>L78</f>
        <v>0</v>
      </c>
      <c r="M16" s="268">
        <f t="shared" ref="M16:Q16" si="13">M78</f>
        <v>0</v>
      </c>
      <c r="N16" s="268">
        <f t="shared" si="13"/>
        <v>0</v>
      </c>
      <c r="O16" s="268">
        <f t="shared" si="13"/>
        <v>0</v>
      </c>
      <c r="P16" s="268">
        <f t="shared" si="13"/>
        <v>0</v>
      </c>
      <c r="Q16" s="268">
        <f t="shared" si="13"/>
        <v>0</v>
      </c>
      <c r="R16" s="132"/>
      <c r="Y16" s="266"/>
      <c r="Z16" s="266"/>
      <c r="AA16" s="266"/>
      <c r="AB16" s="266"/>
      <c r="AC16" s="266"/>
    </row>
    <row r="17" spans="1:29" x14ac:dyDescent="0.25">
      <c r="A17" s="737"/>
      <c r="B17" s="770" t="s">
        <v>992</v>
      </c>
      <c r="C17" s="771"/>
      <c r="D17" s="772">
        <f>D85</f>
        <v>0</v>
      </c>
      <c r="E17" s="772">
        <f t="shared" ref="E17:I17" si="14">E85</f>
        <v>0</v>
      </c>
      <c r="F17" s="772">
        <f t="shared" si="14"/>
        <v>0</v>
      </c>
      <c r="G17" s="772">
        <f t="shared" si="14"/>
        <v>0</v>
      </c>
      <c r="H17" s="772">
        <f t="shared" si="14"/>
        <v>0</v>
      </c>
      <c r="I17" s="772">
        <f t="shared" si="14"/>
        <v>0</v>
      </c>
      <c r="L17" s="268">
        <f>L85</f>
        <v>0</v>
      </c>
      <c r="M17" s="268">
        <f t="shared" ref="M17:Q17" si="15">M85</f>
        <v>0</v>
      </c>
      <c r="N17" s="268">
        <f t="shared" si="15"/>
        <v>0</v>
      </c>
      <c r="O17" s="268">
        <f t="shared" si="15"/>
        <v>0</v>
      </c>
      <c r="P17" s="268">
        <f t="shared" si="15"/>
        <v>0</v>
      </c>
      <c r="Q17" s="268">
        <f t="shared" si="15"/>
        <v>0</v>
      </c>
      <c r="R17" s="132"/>
      <c r="Y17" s="266"/>
      <c r="Z17" s="266"/>
      <c r="AA17" s="266"/>
      <c r="AB17" s="266"/>
      <c r="AC17" s="266"/>
    </row>
    <row r="18" spans="1:29" x14ac:dyDescent="0.25">
      <c r="A18" s="737"/>
      <c r="B18" s="770" t="s">
        <v>1041</v>
      </c>
      <c r="C18" s="771"/>
      <c r="D18" s="772">
        <f>D91</f>
        <v>0</v>
      </c>
      <c r="E18" s="772">
        <f t="shared" ref="E18:I18" si="16">E91</f>
        <v>0</v>
      </c>
      <c r="F18" s="772">
        <f t="shared" si="16"/>
        <v>0</v>
      </c>
      <c r="G18" s="772">
        <f t="shared" si="16"/>
        <v>0</v>
      </c>
      <c r="H18" s="772">
        <f t="shared" si="16"/>
        <v>0</v>
      </c>
      <c r="I18" s="772">
        <f t="shared" si="16"/>
        <v>0</v>
      </c>
      <c r="L18" s="268">
        <f>L91</f>
        <v>0</v>
      </c>
      <c r="M18" s="268">
        <f t="shared" ref="M18:Q18" si="17">M91</f>
        <v>0</v>
      </c>
      <c r="N18" s="268">
        <f t="shared" si="17"/>
        <v>0</v>
      </c>
      <c r="O18" s="268">
        <f t="shared" si="17"/>
        <v>0</v>
      </c>
      <c r="P18" s="268">
        <f t="shared" si="17"/>
        <v>0</v>
      </c>
      <c r="Q18" s="268">
        <f t="shared" si="17"/>
        <v>0</v>
      </c>
      <c r="R18" s="132"/>
      <c r="Y18" s="266"/>
      <c r="Z18" s="266"/>
      <c r="AA18" s="266"/>
      <c r="AB18" s="266"/>
      <c r="AC18" s="266"/>
    </row>
    <row r="19" spans="1:29" x14ac:dyDescent="0.25">
      <c r="B19" s="230"/>
      <c r="D19" s="266"/>
      <c r="F19" s="132"/>
      <c r="G19" s="132"/>
      <c r="H19" s="132"/>
      <c r="I19" s="132"/>
      <c r="J19" s="132"/>
      <c r="L19" s="269">
        <f t="shared" ref="L19:Q19" si="18">SUM(L10:L18)</f>
        <v>0</v>
      </c>
      <c r="M19" s="269">
        <f t="shared" si="18"/>
        <v>0</v>
      </c>
      <c r="N19" s="269">
        <f t="shared" si="18"/>
        <v>0</v>
      </c>
      <c r="O19" s="269">
        <f t="shared" si="18"/>
        <v>0</v>
      </c>
      <c r="P19" s="269">
        <f t="shared" si="18"/>
        <v>0</v>
      </c>
      <c r="Q19" s="269">
        <f t="shared" si="18"/>
        <v>0</v>
      </c>
      <c r="R19" s="132"/>
    </row>
    <row r="20" spans="1:29" x14ac:dyDescent="0.25">
      <c r="B20" s="277"/>
      <c r="C20" s="277"/>
      <c r="D20" s="277"/>
      <c r="E20" s="277"/>
      <c r="F20" s="277"/>
      <c r="G20" s="277"/>
      <c r="H20" s="277"/>
      <c r="I20" s="277"/>
      <c r="J20" s="277"/>
      <c r="K20" s="277"/>
      <c r="O20" s="132"/>
      <c r="P20" s="132"/>
      <c r="Q20" s="132"/>
      <c r="R20" s="132"/>
      <c r="Y20" s="266"/>
      <c r="Z20" s="266"/>
      <c r="AA20" s="266"/>
      <c r="AB20" s="266"/>
      <c r="AC20" s="266"/>
    </row>
    <row r="21" spans="1:29" x14ac:dyDescent="0.25">
      <c r="B21" s="804" t="s">
        <v>671</v>
      </c>
      <c r="C21" s="804"/>
      <c r="D21" s="804"/>
      <c r="E21" s="804"/>
      <c r="F21" s="804"/>
      <c r="G21" s="804"/>
      <c r="H21" s="804"/>
      <c r="I21" s="804"/>
      <c r="J21" s="804"/>
      <c r="K21" s="804"/>
      <c r="L21" s="804"/>
      <c r="M21" s="804"/>
      <c r="N21" s="804"/>
      <c r="O21" s="804"/>
      <c r="P21" s="804"/>
      <c r="Q21" s="804"/>
      <c r="R21" s="132"/>
      <c r="Y21" s="266"/>
      <c r="Z21" s="266"/>
      <c r="AA21" s="266"/>
      <c r="AB21" s="266"/>
      <c r="AC21" s="266"/>
    </row>
    <row r="22" spans="1:29" x14ac:dyDescent="0.25">
      <c r="A22" s="271"/>
      <c r="B22" s="278"/>
      <c r="C22" s="272"/>
      <c r="D22" s="273"/>
      <c r="E22" s="274"/>
      <c r="F22" s="271"/>
      <c r="G22" s="271"/>
      <c r="H22" s="204"/>
      <c r="I22" s="204"/>
      <c r="J22" s="204"/>
      <c r="K22" s="204"/>
      <c r="L22" s="204"/>
      <c r="M22" s="204"/>
      <c r="N22" s="204"/>
      <c r="O22" s="204"/>
      <c r="P22" s="204"/>
      <c r="Q22" s="204"/>
      <c r="R22" s="132"/>
      <c r="Y22" s="266"/>
      <c r="Z22" s="266"/>
      <c r="AA22" s="266"/>
      <c r="AB22" s="266"/>
      <c r="AC22" s="266"/>
    </row>
    <row r="23" spans="1:29" x14ac:dyDescent="0.25">
      <c r="A23" s="275"/>
      <c r="B23" s="317" t="s">
        <v>1000</v>
      </c>
      <c r="C23" s="318"/>
      <c r="D23" s="318"/>
      <c r="E23" s="318"/>
      <c r="F23" s="318"/>
      <c r="G23" s="318"/>
      <c r="H23" s="318"/>
      <c r="I23" s="553"/>
      <c r="J23" s="204"/>
      <c r="K23" s="204"/>
      <c r="L23" s="204"/>
      <c r="M23" s="204"/>
      <c r="N23" s="204"/>
      <c r="O23" s="204"/>
      <c r="P23" s="204"/>
      <c r="Q23" s="204"/>
      <c r="R23" s="132"/>
      <c r="Y23" s="266"/>
      <c r="Z23" s="266"/>
      <c r="AA23" s="266"/>
      <c r="AB23" s="266"/>
      <c r="AC23" s="266"/>
    </row>
    <row r="24" spans="1:29" ht="45" x14ac:dyDescent="0.25">
      <c r="A24" s="275"/>
      <c r="B24" s="259" t="s">
        <v>94</v>
      </c>
      <c r="C24" s="385"/>
      <c r="D24" s="330" t="s">
        <v>660</v>
      </c>
      <c r="E24" s="240" t="s">
        <v>47</v>
      </c>
      <c r="F24" s="240" t="s">
        <v>48</v>
      </c>
      <c r="G24" s="164" t="s">
        <v>661</v>
      </c>
      <c r="H24" s="164" t="s">
        <v>662</v>
      </c>
      <c r="I24" s="240" t="s">
        <v>663</v>
      </c>
      <c r="J24" s="331"/>
      <c r="K24" s="164" t="s">
        <v>884</v>
      </c>
      <c r="L24" s="330" t="s">
        <v>660</v>
      </c>
      <c r="M24" s="240" t="s">
        <v>47</v>
      </c>
      <c r="N24" s="240" t="s">
        <v>48</v>
      </c>
      <c r="O24" s="164" t="s">
        <v>661</v>
      </c>
      <c r="P24" s="164" t="s">
        <v>662</v>
      </c>
      <c r="Q24" s="240" t="s">
        <v>663</v>
      </c>
      <c r="R24" s="132"/>
      <c r="Y24" s="266"/>
      <c r="Z24" s="266"/>
      <c r="AA24" s="266"/>
      <c r="AB24" s="266"/>
      <c r="AC24" s="266"/>
    </row>
    <row r="25" spans="1:29" x14ac:dyDescent="0.25">
      <c r="A25" s="275"/>
      <c r="B25" s="193" t="s">
        <v>1037</v>
      </c>
      <c r="C25" s="554"/>
      <c r="D25" s="555">
        <f>D7*'Inputs and eligible population'!$F$98</f>
        <v>0</v>
      </c>
      <c r="E25" s="555">
        <f>E7*'Inputs and eligible population'!$F$98</f>
        <v>0</v>
      </c>
      <c r="F25" s="555">
        <f>F7*'Inputs and eligible population'!$F$98</f>
        <v>0</v>
      </c>
      <c r="G25" s="555">
        <f>G7*'Inputs and eligible population'!$F$98</f>
        <v>0</v>
      </c>
      <c r="H25" s="555">
        <f>H7*'Inputs and eligible population'!$F$98</f>
        <v>0</v>
      </c>
      <c r="I25" s="555">
        <f>I7*'Inputs and eligible population'!$F$98</f>
        <v>0</v>
      </c>
      <c r="J25" s="331"/>
      <c r="K25" s="556">
        <f>'Inputs and eligible population'!J98</f>
        <v>31.74</v>
      </c>
      <c r="L25" s="268">
        <f>$K$25*D25/1000</f>
        <v>0</v>
      </c>
      <c r="M25" s="268">
        <f t="shared" ref="M25:Q25" si="19">$K$25*E25/1000</f>
        <v>0</v>
      </c>
      <c r="N25" s="268">
        <f t="shared" si="19"/>
        <v>0</v>
      </c>
      <c r="O25" s="268">
        <f t="shared" si="19"/>
        <v>0</v>
      </c>
      <c r="P25" s="268">
        <f t="shared" si="19"/>
        <v>0</v>
      </c>
      <c r="Q25" s="268">
        <f t="shared" si="19"/>
        <v>0</v>
      </c>
      <c r="R25" s="132"/>
      <c r="Y25" s="266"/>
      <c r="Z25" s="266"/>
      <c r="AA25" s="266"/>
      <c r="AB25" s="266"/>
      <c r="AC25" s="266"/>
    </row>
    <row r="26" spans="1:29" x14ac:dyDescent="0.25">
      <c r="A26" s="275"/>
      <c r="B26" s="260"/>
      <c r="C26" s="279"/>
      <c r="D26" s="182">
        <f t="shared" ref="D26:I26" si="20">SUM(D25:D25)</f>
        <v>0</v>
      </c>
      <c r="E26" s="182">
        <f t="shared" si="20"/>
        <v>0</v>
      </c>
      <c r="F26" s="182">
        <f t="shared" si="20"/>
        <v>0</v>
      </c>
      <c r="G26" s="182">
        <f t="shared" si="20"/>
        <v>0</v>
      </c>
      <c r="H26" s="182">
        <f t="shared" si="20"/>
        <v>0</v>
      </c>
      <c r="I26" s="182">
        <f t="shared" si="20"/>
        <v>0</v>
      </c>
      <c r="J26" s="331"/>
      <c r="K26" s="557"/>
      <c r="L26" s="269">
        <f>SUM(L25)</f>
        <v>0</v>
      </c>
      <c r="M26" s="269">
        <f t="shared" ref="M26:Q26" si="21">SUM(M25)</f>
        <v>0</v>
      </c>
      <c r="N26" s="269">
        <f t="shared" si="21"/>
        <v>0</v>
      </c>
      <c r="O26" s="269">
        <f t="shared" si="21"/>
        <v>0</v>
      </c>
      <c r="P26" s="269">
        <f t="shared" si="21"/>
        <v>0</v>
      </c>
      <c r="Q26" s="269">
        <f t="shared" si="21"/>
        <v>0</v>
      </c>
      <c r="R26" s="132"/>
      <c r="Y26" s="266"/>
      <c r="Z26" s="266"/>
      <c r="AA26" s="266"/>
      <c r="AB26" s="266"/>
      <c r="AC26" s="266"/>
    </row>
    <row r="27" spans="1:29" x14ac:dyDescent="0.25">
      <c r="A27" s="275"/>
      <c r="B27" s="211"/>
      <c r="C27" s="211"/>
      <c r="D27" s="265" t="s">
        <v>983</v>
      </c>
      <c r="E27" s="182">
        <f>E26-$D$26</f>
        <v>0</v>
      </c>
      <c r="F27" s="182">
        <f>F26-$D$26</f>
        <v>0</v>
      </c>
      <c r="G27" s="182">
        <f>G26-$D$26</f>
        <v>0</v>
      </c>
      <c r="H27" s="182">
        <f>H26-$D$26</f>
        <v>0</v>
      </c>
      <c r="I27" s="182">
        <f>I26-$D$26</f>
        <v>0</v>
      </c>
      <c r="J27" s="331"/>
      <c r="K27" s="204"/>
      <c r="L27" s="204"/>
      <c r="M27" s="269">
        <f>M26-$L$26</f>
        <v>0</v>
      </c>
      <c r="N27" s="269">
        <f t="shared" ref="N27:Q27" si="22">N26-$L$26</f>
        <v>0</v>
      </c>
      <c r="O27" s="269">
        <f t="shared" si="22"/>
        <v>0</v>
      </c>
      <c r="P27" s="269">
        <f t="shared" si="22"/>
        <v>0</v>
      </c>
      <c r="Q27" s="269">
        <f t="shared" si="22"/>
        <v>0</v>
      </c>
      <c r="R27" s="132"/>
      <c r="Y27" s="266"/>
      <c r="Z27" s="266"/>
      <c r="AA27" s="266"/>
      <c r="AB27" s="266"/>
      <c r="AC27" s="266"/>
    </row>
    <row r="28" spans="1:29" x14ac:dyDescent="0.25">
      <c r="A28" s="271"/>
      <c r="B28" s="278"/>
      <c r="C28" s="272"/>
      <c r="D28" s="273"/>
      <c r="E28" s="274"/>
      <c r="F28" s="271"/>
      <c r="G28" s="271"/>
      <c r="H28" s="204"/>
      <c r="I28" s="204"/>
      <c r="J28" s="204"/>
      <c r="K28" s="204"/>
      <c r="L28" s="204"/>
      <c r="M28" s="204"/>
      <c r="N28" s="204"/>
      <c r="O28" s="204"/>
      <c r="P28" s="204"/>
      <c r="Q28" s="204"/>
      <c r="R28" s="132"/>
      <c r="Y28" s="266"/>
      <c r="Z28" s="266"/>
      <c r="AA28" s="266"/>
      <c r="AB28" s="266"/>
      <c r="AC28" s="266"/>
    </row>
    <row r="29" spans="1:29" x14ac:dyDescent="0.25">
      <c r="A29" s="275"/>
      <c r="B29" s="558" t="s">
        <v>1001</v>
      </c>
      <c r="C29" s="559"/>
      <c r="D29" s="318"/>
      <c r="E29" s="318"/>
      <c r="F29" s="318"/>
      <c r="G29" s="318"/>
      <c r="H29" s="318"/>
      <c r="I29" s="553"/>
      <c r="J29" s="204"/>
      <c r="K29" s="204"/>
      <c r="L29" s="204"/>
      <c r="M29" s="204"/>
      <c r="N29" s="204"/>
      <c r="O29" s="204"/>
      <c r="P29" s="204"/>
      <c r="Q29" s="204"/>
      <c r="R29" s="132"/>
      <c r="Y29" s="266"/>
      <c r="Z29" s="266"/>
      <c r="AA29" s="266"/>
      <c r="AB29" s="266"/>
      <c r="AC29" s="266"/>
    </row>
    <row r="30" spans="1:29" ht="45" x14ac:dyDescent="0.25">
      <c r="A30" s="271"/>
      <c r="B30" s="259" t="s">
        <v>94</v>
      </c>
      <c r="C30" s="385"/>
      <c r="D30" s="330" t="s">
        <v>660</v>
      </c>
      <c r="E30" s="240" t="s">
        <v>47</v>
      </c>
      <c r="F30" s="240" t="s">
        <v>48</v>
      </c>
      <c r="G30" s="164" t="s">
        <v>661</v>
      </c>
      <c r="H30" s="164" t="s">
        <v>662</v>
      </c>
      <c r="I30" s="240" t="s">
        <v>663</v>
      </c>
      <c r="J30" s="331"/>
      <c r="K30" s="164" t="s">
        <v>884</v>
      </c>
      <c r="L30" s="330" t="s">
        <v>660</v>
      </c>
      <c r="M30" s="240" t="s">
        <v>47</v>
      </c>
      <c r="N30" s="240" t="s">
        <v>48</v>
      </c>
      <c r="O30" s="164" t="s">
        <v>661</v>
      </c>
      <c r="P30" s="164" t="s">
        <v>662</v>
      </c>
      <c r="Q30" s="240" t="s">
        <v>663</v>
      </c>
      <c r="R30" s="132"/>
      <c r="Y30" s="266"/>
      <c r="Z30" s="266"/>
      <c r="AA30" s="266"/>
      <c r="AB30" s="266"/>
      <c r="AC30" s="266"/>
    </row>
    <row r="31" spans="1:29" x14ac:dyDescent="0.25">
      <c r="A31" s="271"/>
      <c r="B31" s="193" t="s">
        <v>1037</v>
      </c>
      <c r="C31" s="554"/>
      <c r="D31" s="560">
        <f>'Inputs and eligible population'!L77*'Inputs and eligible population'!$F$99</f>
        <v>0</v>
      </c>
      <c r="E31" s="560">
        <f>'Inputs and eligible population'!M77*'Inputs and eligible population'!$F$99</f>
        <v>0</v>
      </c>
      <c r="F31" s="560">
        <f>'Inputs and eligible population'!N77*'Inputs and eligible population'!$F$99</f>
        <v>0</v>
      </c>
      <c r="G31" s="560">
        <f>'Inputs and eligible population'!O77*'Inputs and eligible population'!$F$99</f>
        <v>0</v>
      </c>
      <c r="H31" s="560">
        <f>'Inputs and eligible population'!P77*'Inputs and eligible population'!$F$99</f>
        <v>0</v>
      </c>
      <c r="I31" s="560">
        <f>'Inputs and eligible population'!Q77*'Inputs and eligible population'!$F$99</f>
        <v>0</v>
      </c>
      <c r="J31" s="331"/>
      <c r="K31" s="556">
        <f>'Inputs and eligible population'!J99</f>
        <v>34.865000000000002</v>
      </c>
      <c r="L31" s="268">
        <f>$K$31*D31/1000</f>
        <v>0</v>
      </c>
      <c r="M31" s="268">
        <f t="shared" ref="M31:Q31" si="23">$K$31*E31/1000</f>
        <v>0</v>
      </c>
      <c r="N31" s="268">
        <f t="shared" si="23"/>
        <v>0</v>
      </c>
      <c r="O31" s="268">
        <f t="shared" si="23"/>
        <v>0</v>
      </c>
      <c r="P31" s="268">
        <f t="shared" si="23"/>
        <v>0</v>
      </c>
      <c r="Q31" s="268">
        <f t="shared" si="23"/>
        <v>0</v>
      </c>
      <c r="R31" s="132"/>
      <c r="Y31" s="266"/>
      <c r="Z31" s="266"/>
      <c r="AA31" s="266"/>
      <c r="AB31" s="266"/>
      <c r="AC31" s="266"/>
    </row>
    <row r="32" spans="1:29" x14ac:dyDescent="0.25">
      <c r="A32" s="271"/>
      <c r="B32" s="260"/>
      <c r="C32" s="279"/>
      <c r="D32" s="561">
        <f t="shared" ref="D32:I32" si="24">SUM(D31:D31)</f>
        <v>0</v>
      </c>
      <c r="E32" s="182">
        <f t="shared" si="24"/>
        <v>0</v>
      </c>
      <c r="F32" s="182">
        <f t="shared" si="24"/>
        <v>0</v>
      </c>
      <c r="G32" s="182">
        <f t="shared" si="24"/>
        <v>0</v>
      </c>
      <c r="H32" s="182">
        <f t="shared" si="24"/>
        <v>0</v>
      </c>
      <c r="I32" s="182">
        <f t="shared" si="24"/>
        <v>0</v>
      </c>
      <c r="J32" s="331"/>
      <c r="K32" s="557"/>
      <c r="L32" s="269">
        <f>SUM(L31)</f>
        <v>0</v>
      </c>
      <c r="M32" s="269">
        <f t="shared" ref="M32:Q32" si="25">SUM(M31)</f>
        <v>0</v>
      </c>
      <c r="N32" s="269">
        <f t="shared" si="25"/>
        <v>0</v>
      </c>
      <c r="O32" s="269">
        <f t="shared" si="25"/>
        <v>0</v>
      </c>
      <c r="P32" s="269">
        <f t="shared" si="25"/>
        <v>0</v>
      </c>
      <c r="Q32" s="269">
        <f t="shared" si="25"/>
        <v>0</v>
      </c>
      <c r="R32" s="132"/>
      <c r="Y32" s="266"/>
      <c r="Z32" s="266"/>
      <c r="AA32" s="266"/>
      <c r="AB32" s="266"/>
      <c r="AC32" s="266"/>
    </row>
    <row r="33" spans="1:29" x14ac:dyDescent="0.25">
      <c r="A33" s="275"/>
      <c r="B33" s="211"/>
      <c r="C33" s="211"/>
      <c r="D33" s="265" t="s">
        <v>983</v>
      </c>
      <c r="E33" s="182">
        <f>E32-$D$32</f>
        <v>0</v>
      </c>
      <c r="F33" s="182">
        <f t="shared" ref="F33:I33" si="26">F32-$D$32</f>
        <v>0</v>
      </c>
      <c r="G33" s="182">
        <f t="shared" si="26"/>
        <v>0</v>
      </c>
      <c r="H33" s="182">
        <f t="shared" si="26"/>
        <v>0</v>
      </c>
      <c r="I33" s="182">
        <f t="shared" si="26"/>
        <v>0</v>
      </c>
      <c r="J33" s="331"/>
      <c r="K33" s="204"/>
      <c r="L33" s="204"/>
      <c r="M33" s="269">
        <f>M32-$L$32</f>
        <v>0</v>
      </c>
      <c r="N33" s="269">
        <f t="shared" ref="N33:Q33" si="27">N32-$L$32</f>
        <v>0</v>
      </c>
      <c r="O33" s="269">
        <f t="shared" si="27"/>
        <v>0</v>
      </c>
      <c r="P33" s="269">
        <f t="shared" si="27"/>
        <v>0</v>
      </c>
      <c r="Q33" s="269">
        <f t="shared" si="27"/>
        <v>0</v>
      </c>
      <c r="R33" s="132"/>
      <c r="Y33" s="266"/>
      <c r="Z33" s="266"/>
      <c r="AA33" s="266"/>
      <c r="AB33" s="266"/>
      <c r="AC33" s="266"/>
    </row>
    <row r="34" spans="1:29" x14ac:dyDescent="0.25">
      <c r="A34" s="204"/>
      <c r="B34" s="204"/>
      <c r="C34" s="204"/>
      <c r="D34" s="204"/>
      <c r="E34" s="204"/>
      <c r="F34" s="204"/>
      <c r="G34" s="204"/>
      <c r="H34" s="204"/>
      <c r="I34" s="204"/>
      <c r="J34" s="204"/>
      <c r="K34" s="204"/>
      <c r="L34" s="204"/>
      <c r="M34" s="204"/>
      <c r="N34" s="204"/>
      <c r="O34" s="204"/>
      <c r="P34" s="204"/>
      <c r="Q34" s="204"/>
      <c r="R34" s="132"/>
      <c r="Y34" s="266"/>
      <c r="Z34" s="266"/>
      <c r="AA34" s="266"/>
      <c r="AB34" s="266"/>
      <c r="AC34" s="266"/>
    </row>
    <row r="35" spans="1:29" x14ac:dyDescent="0.25">
      <c r="A35" s="562"/>
      <c r="B35" s="562"/>
      <c r="C35" s="562"/>
      <c r="D35" s="562"/>
      <c r="E35" s="562"/>
      <c r="F35" s="562"/>
      <c r="G35" s="562"/>
      <c r="H35" s="562"/>
      <c r="I35" s="562"/>
      <c r="J35" s="562"/>
      <c r="K35" s="562"/>
      <c r="L35" s="562"/>
      <c r="M35" s="562"/>
      <c r="N35" s="562"/>
      <c r="O35" s="562"/>
      <c r="P35" s="562"/>
      <c r="Q35" s="562"/>
      <c r="R35" s="132"/>
      <c r="Y35" s="266"/>
      <c r="Z35" s="266"/>
      <c r="AA35" s="266"/>
      <c r="AB35" s="266"/>
      <c r="AC35" s="266"/>
    </row>
    <row r="36" spans="1:29" x14ac:dyDescent="0.25">
      <c r="A36" s="563"/>
      <c r="B36" s="564" t="s">
        <v>1038</v>
      </c>
      <c r="C36" s="565"/>
      <c r="D36" s="566"/>
      <c r="E36" s="566"/>
      <c r="F36" s="566"/>
      <c r="G36" s="566"/>
      <c r="H36" s="566"/>
      <c r="I36" s="567"/>
      <c r="J36" s="562"/>
      <c r="K36" s="568"/>
      <c r="L36" s="568"/>
      <c r="M36" s="568"/>
      <c r="N36" s="568"/>
      <c r="O36" s="568"/>
      <c r="P36" s="568"/>
      <c r="Q36" s="568"/>
      <c r="R36" s="132"/>
      <c r="Y36" s="266"/>
      <c r="Z36" s="266"/>
      <c r="AA36" s="266"/>
      <c r="AB36" s="266"/>
      <c r="AC36" s="266"/>
    </row>
    <row r="37" spans="1:29" ht="45" x14ac:dyDescent="0.25">
      <c r="A37" s="563"/>
      <c r="B37" s="259" t="s">
        <v>94</v>
      </c>
      <c r="C37" s="385"/>
      <c r="D37" s="330" t="s">
        <v>660</v>
      </c>
      <c r="E37" s="240" t="s">
        <v>47</v>
      </c>
      <c r="F37" s="240" t="s">
        <v>48</v>
      </c>
      <c r="G37" s="164" t="s">
        <v>661</v>
      </c>
      <c r="H37" s="164" t="s">
        <v>662</v>
      </c>
      <c r="I37" s="240" t="s">
        <v>663</v>
      </c>
      <c r="J37" s="569"/>
      <c r="K37" s="164" t="s">
        <v>884</v>
      </c>
      <c r="L37" s="782" t="s">
        <v>660</v>
      </c>
      <c r="M37" s="240" t="s">
        <v>47</v>
      </c>
      <c r="N37" s="240" t="s">
        <v>48</v>
      </c>
      <c r="O37" s="164" t="s">
        <v>661</v>
      </c>
      <c r="P37" s="164" t="s">
        <v>662</v>
      </c>
      <c r="Q37" s="240" t="s">
        <v>663</v>
      </c>
      <c r="R37" s="132"/>
      <c r="Y37" s="266"/>
      <c r="Z37" s="266"/>
      <c r="AA37" s="266"/>
      <c r="AB37" s="266"/>
      <c r="AC37" s="266"/>
    </row>
    <row r="38" spans="1:29" x14ac:dyDescent="0.25">
      <c r="A38" s="563"/>
      <c r="B38" s="193" t="s">
        <v>975</v>
      </c>
      <c r="C38" s="162"/>
      <c r="D38" s="371">
        <f>'Inputs and eligible population'!L65*'Inputs and eligible population'!$F$101</f>
        <v>0</v>
      </c>
      <c r="E38" s="371">
        <f>'Inputs and eligible population'!M65*'Inputs and eligible population'!$F$101</f>
        <v>0</v>
      </c>
      <c r="F38" s="371">
        <f>'Inputs and eligible population'!N65*'Inputs and eligible population'!$F$101</f>
        <v>0</v>
      </c>
      <c r="G38" s="371">
        <f>'Inputs and eligible population'!O65*'Inputs and eligible population'!$F$101</f>
        <v>0</v>
      </c>
      <c r="H38" s="371">
        <f>'Inputs and eligible population'!P65*'Inputs and eligible population'!$F$101</f>
        <v>0</v>
      </c>
      <c r="I38" s="371">
        <f>'Inputs and eligible population'!Q65*'Inputs and eligible population'!$F$101</f>
        <v>0</v>
      </c>
      <c r="J38" s="569"/>
      <c r="K38" s="570">
        <f>'Inputs and eligible population'!J101</f>
        <v>0</v>
      </c>
      <c r="L38" s="571">
        <f>$K38*D38/1000</f>
        <v>0</v>
      </c>
      <c r="M38" s="571">
        <f t="shared" ref="M38:Q42" si="28">$K38*E38/1000</f>
        <v>0</v>
      </c>
      <c r="N38" s="571">
        <f t="shared" si="28"/>
        <v>0</v>
      </c>
      <c r="O38" s="571">
        <f t="shared" si="28"/>
        <v>0</v>
      </c>
      <c r="P38" s="571">
        <f t="shared" si="28"/>
        <v>0</v>
      </c>
      <c r="Q38" s="571">
        <f t="shared" si="28"/>
        <v>0</v>
      </c>
      <c r="R38" s="132"/>
      <c r="Y38" s="266"/>
      <c r="Z38" s="266"/>
      <c r="AA38" s="266"/>
      <c r="AB38" s="266"/>
      <c r="AC38" s="266"/>
    </row>
    <row r="39" spans="1:29" x14ac:dyDescent="0.25">
      <c r="A39" s="563"/>
      <c r="B39" s="193" t="s">
        <v>976</v>
      </c>
      <c r="C39" s="162"/>
      <c r="D39" s="371">
        <f>'Inputs and eligible population'!L66*'Inputs and eligible population'!$F$102</f>
        <v>0</v>
      </c>
      <c r="E39" s="371">
        <f>'Inputs and eligible population'!M66*'Inputs and eligible population'!$F$102</f>
        <v>0</v>
      </c>
      <c r="F39" s="371">
        <f>'Inputs and eligible population'!N66*'Inputs and eligible population'!$F$102</f>
        <v>0</v>
      </c>
      <c r="G39" s="371">
        <f>'Inputs and eligible population'!O66*'Inputs and eligible population'!$F$102</f>
        <v>0</v>
      </c>
      <c r="H39" s="371">
        <f>'Inputs and eligible population'!P66*'Inputs and eligible population'!$F$102</f>
        <v>0</v>
      </c>
      <c r="I39" s="371">
        <f>'Inputs and eligible population'!Q66*'Inputs and eligible population'!$F$102</f>
        <v>0</v>
      </c>
      <c r="J39" s="569"/>
      <c r="K39" s="570">
        <f>'Inputs and eligible population'!J102</f>
        <v>0</v>
      </c>
      <c r="L39" s="571">
        <f>$K39*D39/1000</f>
        <v>0</v>
      </c>
      <c r="M39" s="571">
        <f t="shared" si="28"/>
        <v>0</v>
      </c>
      <c r="N39" s="571">
        <f t="shared" si="28"/>
        <v>0</v>
      </c>
      <c r="O39" s="571">
        <f t="shared" si="28"/>
        <v>0</v>
      </c>
      <c r="P39" s="571">
        <f t="shared" si="28"/>
        <v>0</v>
      </c>
      <c r="Q39" s="571">
        <f t="shared" si="28"/>
        <v>0</v>
      </c>
      <c r="R39" s="132"/>
      <c r="Y39" s="266"/>
      <c r="Z39" s="266"/>
      <c r="AA39" s="266"/>
      <c r="AB39" s="266"/>
      <c r="AC39" s="266"/>
    </row>
    <row r="40" spans="1:29" x14ac:dyDescent="0.25">
      <c r="A40" s="563"/>
      <c r="B40" s="193" t="s">
        <v>977</v>
      </c>
      <c r="C40" s="162"/>
      <c r="D40" s="371">
        <f>'Inputs and eligible population'!L67*'Inputs and eligible population'!$F$103</f>
        <v>0</v>
      </c>
      <c r="E40" s="371">
        <f>'Inputs and eligible population'!M67*'Inputs and eligible population'!$F$103</f>
        <v>0</v>
      </c>
      <c r="F40" s="371">
        <f>'Inputs and eligible population'!N67*'Inputs and eligible population'!$F$103</f>
        <v>0</v>
      </c>
      <c r="G40" s="371">
        <f>'Inputs and eligible population'!O67*'Inputs and eligible population'!$F$103</f>
        <v>0</v>
      </c>
      <c r="H40" s="371">
        <f>'Inputs and eligible population'!P67*'Inputs and eligible population'!$F$103</f>
        <v>0</v>
      </c>
      <c r="I40" s="371">
        <f>'Inputs and eligible population'!Q67*'Inputs and eligible population'!$F$103</f>
        <v>0</v>
      </c>
      <c r="J40" s="569"/>
      <c r="K40" s="570">
        <f>'Inputs and eligible population'!J103</f>
        <v>0</v>
      </c>
      <c r="L40" s="571">
        <f>$K40*D40/1000</f>
        <v>0</v>
      </c>
      <c r="M40" s="571">
        <f t="shared" si="28"/>
        <v>0</v>
      </c>
      <c r="N40" s="571">
        <f t="shared" si="28"/>
        <v>0</v>
      </c>
      <c r="O40" s="571">
        <f t="shared" si="28"/>
        <v>0</v>
      </c>
      <c r="P40" s="571">
        <f t="shared" si="28"/>
        <v>0</v>
      </c>
      <c r="Q40" s="571">
        <f t="shared" si="28"/>
        <v>0</v>
      </c>
      <c r="R40" s="132"/>
      <c r="Y40" s="266"/>
      <c r="Z40" s="266"/>
      <c r="AA40" s="266"/>
      <c r="AB40" s="266"/>
      <c r="AC40" s="266"/>
    </row>
    <row r="41" spans="1:29" x14ac:dyDescent="0.25">
      <c r="A41" s="563"/>
      <c r="B41" s="193" t="s">
        <v>978</v>
      </c>
      <c r="C41" s="162"/>
      <c r="D41" s="371">
        <f>'Inputs and eligible population'!L68*'Inputs and eligible population'!$F$104</f>
        <v>0</v>
      </c>
      <c r="E41" s="371">
        <f>'Inputs and eligible population'!M68*'Inputs and eligible population'!$F$104</f>
        <v>0</v>
      </c>
      <c r="F41" s="371">
        <f>'Inputs and eligible population'!N68*'Inputs and eligible population'!$F$104</f>
        <v>0</v>
      </c>
      <c r="G41" s="371">
        <f>'Inputs and eligible population'!O68*'Inputs and eligible population'!$F$104</f>
        <v>0</v>
      </c>
      <c r="H41" s="371">
        <f>'Inputs and eligible population'!P68*'Inputs and eligible population'!$F$104</f>
        <v>0</v>
      </c>
      <c r="I41" s="371">
        <f>'Inputs and eligible population'!Q68*'Inputs and eligible population'!$F$104</f>
        <v>0</v>
      </c>
      <c r="J41" s="569"/>
      <c r="K41" s="570">
        <f>'Inputs and eligible population'!J104</f>
        <v>0</v>
      </c>
      <c r="L41" s="571">
        <f>$K41*D41/1000</f>
        <v>0</v>
      </c>
      <c r="M41" s="571">
        <f t="shared" si="28"/>
        <v>0</v>
      </c>
      <c r="N41" s="571">
        <f t="shared" si="28"/>
        <v>0</v>
      </c>
      <c r="O41" s="571">
        <f t="shared" si="28"/>
        <v>0</v>
      </c>
      <c r="P41" s="571">
        <f t="shared" si="28"/>
        <v>0</v>
      </c>
      <c r="Q41" s="571">
        <f t="shared" si="28"/>
        <v>0</v>
      </c>
      <c r="R41" s="132"/>
      <c r="Y41" s="266"/>
      <c r="Z41" s="266"/>
      <c r="AA41" s="266"/>
      <c r="AB41" s="266"/>
      <c r="AC41" s="266"/>
    </row>
    <row r="42" spans="1:29" x14ac:dyDescent="0.25">
      <c r="A42" s="563"/>
      <c r="B42" s="193" t="s">
        <v>1039</v>
      </c>
      <c r="C42" s="162"/>
      <c r="D42" s="371">
        <f>'Inputs and eligible population'!L69*'Inputs and eligible population'!$F$105</f>
        <v>0</v>
      </c>
      <c r="E42" s="371">
        <f>'Inputs and eligible population'!M69*'Inputs and eligible population'!$F$105</f>
        <v>0</v>
      </c>
      <c r="F42" s="371">
        <f>'Inputs and eligible population'!N69*'Inputs and eligible population'!$F$105</f>
        <v>0</v>
      </c>
      <c r="G42" s="371">
        <f>'Inputs and eligible population'!O69*'Inputs and eligible population'!$F$105</f>
        <v>0</v>
      </c>
      <c r="H42" s="371">
        <f>'Inputs and eligible population'!P69*'Inputs and eligible population'!$F$105</f>
        <v>0</v>
      </c>
      <c r="I42" s="371">
        <f>'Inputs and eligible population'!Q69*'Inputs and eligible population'!$F$105</f>
        <v>0</v>
      </c>
      <c r="J42" s="569"/>
      <c r="K42" s="570">
        <f>'Inputs and eligible population'!J105</f>
        <v>0</v>
      </c>
      <c r="L42" s="571">
        <f>$K42*D42/1000</f>
        <v>0</v>
      </c>
      <c r="M42" s="571">
        <f t="shared" si="28"/>
        <v>0</v>
      </c>
      <c r="N42" s="571">
        <f t="shared" si="28"/>
        <v>0</v>
      </c>
      <c r="O42" s="571">
        <f t="shared" si="28"/>
        <v>0</v>
      </c>
      <c r="P42" s="571">
        <f t="shared" si="28"/>
        <v>0</v>
      </c>
      <c r="Q42" s="571">
        <f t="shared" si="28"/>
        <v>0</v>
      </c>
      <c r="R42" s="132"/>
      <c r="Y42" s="266"/>
      <c r="Z42" s="266"/>
      <c r="AA42" s="266"/>
      <c r="AB42" s="266"/>
      <c r="AC42" s="266"/>
    </row>
    <row r="43" spans="1:29" x14ac:dyDescent="0.25">
      <c r="A43" s="563"/>
      <c r="B43" s="572"/>
      <c r="C43" s="573"/>
      <c r="D43" s="561">
        <f>SUM(D38:D42)</f>
        <v>0</v>
      </c>
      <c r="E43" s="561">
        <f t="shared" ref="E43:I43" si="29">SUM(E38:E42)</f>
        <v>0</v>
      </c>
      <c r="F43" s="561">
        <f t="shared" si="29"/>
        <v>0</v>
      </c>
      <c r="G43" s="561">
        <f t="shared" si="29"/>
        <v>0</v>
      </c>
      <c r="H43" s="561">
        <f t="shared" si="29"/>
        <v>0</v>
      </c>
      <c r="I43" s="561">
        <f t="shared" si="29"/>
        <v>0</v>
      </c>
      <c r="J43" s="569"/>
      <c r="K43" s="568"/>
      <c r="L43" s="269">
        <f t="shared" ref="L43:Q43" si="30">SUM(L38:L42)</f>
        <v>0</v>
      </c>
      <c r="M43" s="269">
        <f t="shared" si="30"/>
        <v>0</v>
      </c>
      <c r="N43" s="269">
        <f t="shared" si="30"/>
        <v>0</v>
      </c>
      <c r="O43" s="269">
        <f t="shared" si="30"/>
        <v>0</v>
      </c>
      <c r="P43" s="269">
        <f t="shared" si="30"/>
        <v>0</v>
      </c>
      <c r="Q43" s="269">
        <f t="shared" si="30"/>
        <v>0</v>
      </c>
      <c r="R43" s="132"/>
      <c r="Y43" s="266"/>
      <c r="Z43" s="266"/>
      <c r="AA43" s="266"/>
      <c r="AB43" s="266"/>
      <c r="AC43" s="266"/>
    </row>
    <row r="44" spans="1:29" x14ac:dyDescent="0.25">
      <c r="A44" s="563"/>
      <c r="B44" s="211"/>
      <c r="C44" s="211"/>
      <c r="D44" s="265" t="s">
        <v>886</v>
      </c>
      <c r="E44" s="182">
        <f>E43-$D$43</f>
        <v>0</v>
      </c>
      <c r="F44" s="182">
        <f>F43-$D$43</f>
        <v>0</v>
      </c>
      <c r="G44" s="182">
        <f>G43-$D$43</f>
        <v>0</v>
      </c>
      <c r="H44" s="182">
        <f>H43-$D$43</f>
        <v>0</v>
      </c>
      <c r="I44" s="182">
        <f>I43-$D$43</f>
        <v>0</v>
      </c>
      <c r="J44" s="569"/>
      <c r="K44" s="568"/>
      <c r="L44" s="574"/>
      <c r="M44" s="269">
        <f>M43-$L$43</f>
        <v>0</v>
      </c>
      <c r="N44" s="269">
        <f t="shared" ref="N44:Q44" si="31">N43-$L$43</f>
        <v>0</v>
      </c>
      <c r="O44" s="269">
        <f t="shared" si="31"/>
        <v>0</v>
      </c>
      <c r="P44" s="269">
        <f t="shared" si="31"/>
        <v>0</v>
      </c>
      <c r="Q44" s="269">
        <f t="shared" si="31"/>
        <v>0</v>
      </c>
      <c r="R44" s="132"/>
      <c r="Y44" s="266"/>
      <c r="Z44" s="266"/>
      <c r="AA44" s="266"/>
      <c r="AB44" s="266"/>
      <c r="AC44" s="266"/>
    </row>
    <row r="45" spans="1:29" x14ac:dyDescent="0.25">
      <c r="A45" s="568"/>
      <c r="B45" s="576"/>
      <c r="C45" s="568"/>
      <c r="D45" s="568"/>
      <c r="E45" s="568"/>
      <c r="F45" s="568"/>
      <c r="G45" s="568"/>
      <c r="H45" s="568"/>
      <c r="I45" s="568"/>
      <c r="J45" s="568"/>
      <c r="K45" s="568"/>
      <c r="L45" s="568"/>
      <c r="M45" s="568"/>
      <c r="N45" s="568"/>
      <c r="O45" s="568"/>
      <c r="P45" s="568"/>
      <c r="Q45" s="568"/>
      <c r="R45" s="132"/>
    </row>
    <row r="46" spans="1:29" x14ac:dyDescent="0.25">
      <c r="A46" s="568"/>
      <c r="B46" s="786" t="s">
        <v>989</v>
      </c>
      <c r="C46" s="751"/>
      <c r="D46" s="751"/>
      <c r="E46" s="751"/>
      <c r="F46" s="751"/>
      <c r="G46" s="751"/>
      <c r="H46" s="751"/>
      <c r="I46" s="752"/>
      <c r="J46" s="568"/>
      <c r="K46" s="568"/>
      <c r="L46" s="568"/>
      <c r="M46" s="568"/>
      <c r="N46" s="568"/>
      <c r="O46" s="568"/>
      <c r="P46" s="568"/>
      <c r="Q46" s="568"/>
      <c r="R46" s="132"/>
    </row>
    <row r="47" spans="1:29" ht="45" x14ac:dyDescent="0.25">
      <c r="A47" s="568"/>
      <c r="B47" s="259" t="s">
        <v>94</v>
      </c>
      <c r="C47" s="385"/>
      <c r="D47" s="330" t="s">
        <v>660</v>
      </c>
      <c r="E47" s="240" t="s">
        <v>47</v>
      </c>
      <c r="F47" s="240" t="s">
        <v>48</v>
      </c>
      <c r="G47" s="164" t="s">
        <v>661</v>
      </c>
      <c r="H47" s="164" t="s">
        <v>662</v>
      </c>
      <c r="I47" s="240" t="s">
        <v>663</v>
      </c>
      <c r="J47" s="568"/>
      <c r="K47" s="568"/>
      <c r="L47" s="568"/>
      <c r="M47" s="568"/>
      <c r="N47" s="568"/>
      <c r="O47" s="568"/>
      <c r="P47" s="568"/>
      <c r="Q47" s="568"/>
      <c r="R47" s="132"/>
    </row>
    <row r="48" spans="1:29" x14ac:dyDescent="0.25">
      <c r="A48" s="568"/>
      <c r="B48" s="193" t="s">
        <v>975</v>
      </c>
      <c r="C48" s="162"/>
      <c r="D48" s="371">
        <f>'Inputs and eligible population'!L65*'Inputs and eligible population'!$I$101/60</f>
        <v>0</v>
      </c>
      <c r="E48" s="371">
        <f>'Inputs and eligible population'!M65*'Inputs and eligible population'!$I$101/60</f>
        <v>0</v>
      </c>
      <c r="F48" s="371">
        <f>'Inputs and eligible population'!N65*'Inputs and eligible population'!$I$101/60</f>
        <v>0</v>
      </c>
      <c r="G48" s="371">
        <f>'Inputs and eligible population'!O65*'Inputs and eligible population'!$I$101/60</f>
        <v>0</v>
      </c>
      <c r="H48" s="371">
        <f>'Inputs and eligible population'!P65*'Inputs and eligible population'!$I$101/60</f>
        <v>0</v>
      </c>
      <c r="I48" s="371">
        <f>'Inputs and eligible population'!Q65*'Inputs and eligible population'!$I$101/60</f>
        <v>0</v>
      </c>
      <c r="J48" s="568"/>
      <c r="K48" s="568"/>
      <c r="L48" s="568"/>
      <c r="M48" s="568"/>
      <c r="N48" s="568"/>
      <c r="O48" s="568"/>
      <c r="P48" s="568"/>
      <c r="Q48" s="568"/>
      <c r="R48" s="132"/>
    </row>
    <row r="49" spans="1:29" x14ac:dyDescent="0.25">
      <c r="A49" s="568"/>
      <c r="B49" s="193" t="s">
        <v>976</v>
      </c>
      <c r="C49" s="162"/>
      <c r="D49" s="371">
        <f>'Inputs and eligible population'!L66*'Inputs and eligible population'!$I$102/60</f>
        <v>0</v>
      </c>
      <c r="E49" s="371">
        <f>'Inputs and eligible population'!M66*'Inputs and eligible population'!$I$102/60</f>
        <v>0</v>
      </c>
      <c r="F49" s="371">
        <f>'Inputs and eligible population'!N66*'Inputs and eligible population'!$I$102/60</f>
        <v>0</v>
      </c>
      <c r="G49" s="371">
        <f>'Inputs and eligible population'!O66*'Inputs and eligible population'!$I$102/60</f>
        <v>0</v>
      </c>
      <c r="H49" s="371">
        <f>'Inputs and eligible population'!P66*'Inputs and eligible population'!$I$102/60</f>
        <v>0</v>
      </c>
      <c r="I49" s="371">
        <f>'Inputs and eligible population'!Q66*'Inputs and eligible population'!$I$102/60</f>
        <v>0</v>
      </c>
      <c r="J49" s="568"/>
      <c r="K49" s="568"/>
      <c r="L49" s="568"/>
      <c r="M49" s="568"/>
      <c r="N49" s="568"/>
      <c r="O49" s="568"/>
      <c r="P49" s="568"/>
      <c r="Q49" s="568"/>
      <c r="R49" s="132"/>
    </row>
    <row r="50" spans="1:29" x14ac:dyDescent="0.25">
      <c r="A50" s="568"/>
      <c r="B50" s="193" t="s">
        <v>977</v>
      </c>
      <c r="C50" s="162"/>
      <c r="D50" s="371">
        <f>'Inputs and eligible population'!L67*'Inputs and eligible population'!$I$103/60</f>
        <v>0</v>
      </c>
      <c r="E50" s="371">
        <f>'Inputs and eligible population'!M67*'Inputs and eligible population'!$I$103/60</f>
        <v>0</v>
      </c>
      <c r="F50" s="371">
        <f>'Inputs and eligible population'!N67*'Inputs and eligible population'!$I$103/60</f>
        <v>0</v>
      </c>
      <c r="G50" s="371">
        <f>'Inputs and eligible population'!O67*'Inputs and eligible population'!$I$103/60</f>
        <v>0</v>
      </c>
      <c r="H50" s="371">
        <f>'Inputs and eligible population'!P67*'Inputs and eligible population'!$I$103/60</f>
        <v>0</v>
      </c>
      <c r="I50" s="371">
        <f>'Inputs and eligible population'!Q67*'Inputs and eligible population'!$I$103/60</f>
        <v>0</v>
      </c>
      <c r="J50" s="568"/>
      <c r="K50" s="568"/>
      <c r="L50" s="568"/>
      <c r="M50" s="568"/>
      <c r="N50" s="568"/>
      <c r="O50" s="568"/>
      <c r="P50" s="568"/>
      <c r="Q50" s="568"/>
      <c r="R50" s="132"/>
    </row>
    <row r="51" spans="1:29" x14ac:dyDescent="0.25">
      <c r="A51" s="568"/>
      <c r="B51" s="193" t="s">
        <v>978</v>
      </c>
      <c r="C51" s="162"/>
      <c r="D51" s="371">
        <f>'Inputs and eligible population'!L68*'Inputs and eligible population'!$I$104/60</f>
        <v>0</v>
      </c>
      <c r="E51" s="371">
        <f>'Inputs and eligible population'!M68*'Inputs and eligible population'!$I$104/60</f>
        <v>0</v>
      </c>
      <c r="F51" s="371">
        <f>'Inputs and eligible population'!N68*'Inputs and eligible population'!$I$104/60</f>
        <v>0</v>
      </c>
      <c r="G51" s="371">
        <f>'Inputs and eligible population'!O68*'Inputs and eligible population'!$I$104/60</f>
        <v>0</v>
      </c>
      <c r="H51" s="371">
        <f>'Inputs and eligible population'!P68*'Inputs and eligible population'!$I$104/60</f>
        <v>0</v>
      </c>
      <c r="I51" s="371">
        <f>'Inputs and eligible population'!Q68*'Inputs and eligible population'!$I$104/60</f>
        <v>0</v>
      </c>
      <c r="J51" s="568"/>
      <c r="K51" s="568"/>
      <c r="L51" s="568"/>
      <c r="M51" s="568"/>
      <c r="N51" s="568"/>
      <c r="O51" s="568"/>
      <c r="P51" s="568"/>
      <c r="Q51" s="568"/>
      <c r="R51" s="132"/>
    </row>
    <row r="52" spans="1:29" x14ac:dyDescent="0.25">
      <c r="A52" s="568"/>
      <c r="B52" s="572"/>
      <c r="C52" s="573"/>
      <c r="D52" s="561">
        <f>SUM(D48:D51)</f>
        <v>0</v>
      </c>
      <c r="E52" s="561">
        <f t="shared" ref="E52:I52" si="32">SUM(E48:E51)</f>
        <v>0</v>
      </c>
      <c r="F52" s="561">
        <f t="shared" si="32"/>
        <v>0</v>
      </c>
      <c r="G52" s="561">
        <f t="shared" si="32"/>
        <v>0</v>
      </c>
      <c r="H52" s="561">
        <f t="shared" si="32"/>
        <v>0</v>
      </c>
      <c r="I52" s="561">
        <f t="shared" si="32"/>
        <v>0</v>
      </c>
      <c r="J52" s="568"/>
      <c r="K52" s="568"/>
      <c r="L52" s="568"/>
      <c r="M52" s="568"/>
      <c r="N52" s="568"/>
      <c r="O52" s="568"/>
      <c r="P52" s="568"/>
      <c r="Q52" s="568"/>
      <c r="R52" s="132"/>
    </row>
    <row r="53" spans="1:29" x14ac:dyDescent="0.25">
      <c r="A53" s="568"/>
      <c r="B53" s="276"/>
      <c r="C53" s="211"/>
      <c r="D53" s="265" t="s">
        <v>1042</v>
      </c>
      <c r="E53" s="182">
        <f>E52-$D$52</f>
        <v>0</v>
      </c>
      <c r="F53" s="182">
        <f>F52-$D$52</f>
        <v>0</v>
      </c>
      <c r="G53" s="182">
        <f>G52-$D$52</f>
        <v>0</v>
      </c>
      <c r="H53" s="182">
        <f>H52-$D$52</f>
        <v>0</v>
      </c>
      <c r="I53" s="182">
        <f>I52-$D$52</f>
        <v>0</v>
      </c>
      <c r="J53" s="568"/>
      <c r="K53" s="568"/>
      <c r="L53" s="568"/>
      <c r="M53" s="568"/>
      <c r="N53" s="568"/>
      <c r="O53" s="568"/>
      <c r="P53" s="568"/>
      <c r="Q53" s="568"/>
      <c r="R53" s="132"/>
    </row>
    <row r="54" spans="1:29" x14ac:dyDescent="0.25">
      <c r="A54" s="568"/>
      <c r="B54" s="576"/>
      <c r="C54" s="568"/>
      <c r="D54" s="568"/>
      <c r="E54" s="568"/>
      <c r="F54" s="568"/>
      <c r="G54" s="568"/>
      <c r="H54" s="568"/>
      <c r="I54" s="568"/>
      <c r="J54" s="568"/>
      <c r="K54" s="568"/>
      <c r="L54" s="568"/>
      <c r="M54" s="568"/>
      <c r="N54" s="568"/>
      <c r="O54" s="568"/>
      <c r="P54" s="568"/>
      <c r="Q54" s="568"/>
      <c r="R54" s="132"/>
    </row>
    <row r="55" spans="1:29" x14ac:dyDescent="0.25">
      <c r="A55" s="267"/>
      <c r="B55" s="577"/>
      <c r="C55" s="267"/>
      <c r="D55" s="267"/>
      <c r="E55" s="267"/>
      <c r="F55" s="267"/>
      <c r="G55" s="267"/>
      <c r="H55" s="267"/>
      <c r="I55" s="267"/>
      <c r="J55" s="267"/>
      <c r="K55" s="267"/>
      <c r="L55" s="267"/>
      <c r="M55" s="267"/>
      <c r="N55" s="267"/>
      <c r="O55" s="267"/>
      <c r="P55" s="267"/>
      <c r="Q55" s="267"/>
      <c r="R55" s="132"/>
    </row>
    <row r="56" spans="1:29" x14ac:dyDescent="0.25">
      <c r="A56" s="267"/>
      <c r="B56" s="745" t="s">
        <v>1002</v>
      </c>
      <c r="C56" s="267"/>
      <c r="D56" s="267"/>
      <c r="E56" s="267"/>
      <c r="F56" s="267"/>
      <c r="G56" s="267"/>
      <c r="H56" s="267"/>
      <c r="I56" s="267"/>
      <c r="J56" s="267"/>
      <c r="K56" s="267"/>
      <c r="L56" s="267"/>
      <c r="M56" s="267"/>
      <c r="N56" s="267"/>
      <c r="O56" s="267"/>
      <c r="P56" s="267"/>
      <c r="Q56" s="267"/>
      <c r="R56" s="132"/>
    </row>
    <row r="57" spans="1:29" x14ac:dyDescent="0.25">
      <c r="A57" s="578"/>
      <c r="B57" s="746" t="s">
        <v>968</v>
      </c>
      <c r="C57" s="319"/>
      <c r="D57" s="319"/>
      <c r="E57" s="319"/>
      <c r="F57" s="319"/>
      <c r="G57" s="319"/>
      <c r="H57" s="319"/>
      <c r="I57" s="205"/>
      <c r="J57" s="206"/>
      <c r="K57" s="267"/>
      <c r="L57" s="267"/>
      <c r="M57" s="267"/>
      <c r="N57" s="267"/>
      <c r="O57" s="267"/>
      <c r="P57" s="267"/>
      <c r="Q57" s="267"/>
      <c r="R57" s="132"/>
      <c r="Y57" s="266"/>
      <c r="Z57" s="266"/>
      <c r="AA57" s="266"/>
      <c r="AB57" s="266"/>
      <c r="AC57" s="266"/>
    </row>
    <row r="58" spans="1:29" ht="45" x14ac:dyDescent="0.25">
      <c r="A58" s="578"/>
      <c r="B58" s="259" t="s">
        <v>94</v>
      </c>
      <c r="C58" s="385"/>
      <c r="D58" s="330" t="s">
        <v>660</v>
      </c>
      <c r="E58" s="240" t="s">
        <v>47</v>
      </c>
      <c r="F58" s="240" t="s">
        <v>48</v>
      </c>
      <c r="G58" s="164" t="s">
        <v>661</v>
      </c>
      <c r="H58" s="164" t="s">
        <v>662</v>
      </c>
      <c r="I58" s="240" t="s">
        <v>663</v>
      </c>
      <c r="J58" s="581"/>
      <c r="K58" s="164" t="s">
        <v>884</v>
      </c>
      <c r="L58" s="330" t="s">
        <v>660</v>
      </c>
      <c r="M58" s="240" t="s">
        <v>47</v>
      </c>
      <c r="N58" s="240" t="s">
        <v>48</v>
      </c>
      <c r="O58" s="164" t="s">
        <v>661</v>
      </c>
      <c r="P58" s="164" t="s">
        <v>662</v>
      </c>
      <c r="Q58" s="240" t="s">
        <v>663</v>
      </c>
      <c r="R58" s="132"/>
      <c r="Y58" s="266"/>
      <c r="Z58" s="266"/>
      <c r="AA58" s="266"/>
      <c r="AB58" s="266"/>
      <c r="AC58" s="266"/>
    </row>
    <row r="59" spans="1:29" x14ac:dyDescent="0.25">
      <c r="A59" s="578"/>
      <c r="B59" s="582" t="s">
        <v>832</v>
      </c>
      <c r="C59" s="162"/>
      <c r="D59" s="371">
        <f>'Inputs and eligible population'!L78*'Inputs and eligible population'!$F$107</f>
        <v>0</v>
      </c>
      <c r="E59" s="371">
        <f>'Inputs and eligible population'!M78*'Inputs and eligible population'!$F$107</f>
        <v>0</v>
      </c>
      <c r="F59" s="371">
        <f>'Inputs and eligible population'!N78*'Inputs and eligible population'!$F$107</f>
        <v>0</v>
      </c>
      <c r="G59" s="371">
        <f>'Inputs and eligible population'!O78*'Inputs and eligible population'!$F$107</f>
        <v>0</v>
      </c>
      <c r="H59" s="371">
        <f>'Inputs and eligible population'!P78*'Inputs and eligible population'!$F$107</f>
        <v>0</v>
      </c>
      <c r="I59" s="371">
        <f>'Inputs and eligible population'!Q78*'Inputs and eligible population'!$F$107</f>
        <v>0</v>
      </c>
      <c r="J59" s="581"/>
      <c r="K59" s="556">
        <f>'Unit costs'!L45</f>
        <v>235.6</v>
      </c>
      <c r="L59" s="268">
        <f>$K59*D59/1000</f>
        <v>0</v>
      </c>
      <c r="M59" s="268">
        <f t="shared" ref="M59:Q59" si="33">$K59*E59/1000</f>
        <v>0</v>
      </c>
      <c r="N59" s="268">
        <f t="shared" si="33"/>
        <v>0</v>
      </c>
      <c r="O59" s="268">
        <f t="shared" si="33"/>
        <v>0</v>
      </c>
      <c r="P59" s="268">
        <f t="shared" si="33"/>
        <v>0</v>
      </c>
      <c r="Q59" s="268">
        <f t="shared" si="33"/>
        <v>0</v>
      </c>
      <c r="R59" s="132"/>
      <c r="Y59" s="266"/>
      <c r="Z59" s="266"/>
      <c r="AA59" s="266"/>
      <c r="AB59" s="266"/>
      <c r="AC59" s="266"/>
    </row>
    <row r="60" spans="1:29" x14ac:dyDescent="0.25">
      <c r="A60" s="578"/>
      <c r="B60" s="572"/>
      <c r="C60" s="573"/>
      <c r="D60" s="561">
        <f>SUM(D59:D59)</f>
        <v>0</v>
      </c>
      <c r="E60" s="561">
        <f t="shared" ref="E60:I60" si="34">SUM(E59:E59)</f>
        <v>0</v>
      </c>
      <c r="F60" s="561">
        <f t="shared" si="34"/>
        <v>0</v>
      </c>
      <c r="G60" s="561">
        <f t="shared" si="34"/>
        <v>0</v>
      </c>
      <c r="H60" s="561">
        <f t="shared" si="34"/>
        <v>0</v>
      </c>
      <c r="I60" s="561">
        <f t="shared" si="34"/>
        <v>0</v>
      </c>
      <c r="J60" s="581"/>
      <c r="K60" s="206"/>
      <c r="L60" s="269">
        <f t="shared" ref="L60:Q60" si="35">SUM(L59:L59)</f>
        <v>0</v>
      </c>
      <c r="M60" s="269">
        <f t="shared" si="35"/>
        <v>0</v>
      </c>
      <c r="N60" s="269">
        <f t="shared" si="35"/>
        <v>0</v>
      </c>
      <c r="O60" s="269">
        <f t="shared" si="35"/>
        <v>0</v>
      </c>
      <c r="P60" s="269">
        <f t="shared" si="35"/>
        <v>0</v>
      </c>
      <c r="Q60" s="269">
        <f t="shared" si="35"/>
        <v>0</v>
      </c>
      <c r="R60" s="132"/>
      <c r="Y60" s="266"/>
      <c r="Z60" s="266"/>
      <c r="AA60" s="266"/>
      <c r="AB60" s="266"/>
      <c r="AC60" s="266"/>
    </row>
    <row r="61" spans="1:29" x14ac:dyDescent="0.25">
      <c r="A61" s="578"/>
      <c r="B61" s="276"/>
      <c r="C61" s="241"/>
      <c r="D61" s="265" t="s">
        <v>962</v>
      </c>
      <c r="E61" s="182">
        <f>E60-$D$60</f>
        <v>0</v>
      </c>
      <c r="F61" s="182">
        <f t="shared" ref="F61:I61" si="36">F60-$D$60</f>
        <v>0</v>
      </c>
      <c r="G61" s="182">
        <f t="shared" si="36"/>
        <v>0</v>
      </c>
      <c r="H61" s="182">
        <f t="shared" si="36"/>
        <v>0</v>
      </c>
      <c r="I61" s="182">
        <f t="shared" si="36"/>
        <v>0</v>
      </c>
      <c r="J61" s="581"/>
      <c r="K61" s="267"/>
      <c r="L61" s="267"/>
      <c r="M61" s="269">
        <f>M60-$L$60</f>
        <v>0</v>
      </c>
      <c r="N61" s="269">
        <f t="shared" ref="N61:Q61" si="37">N60-$L$60</f>
        <v>0</v>
      </c>
      <c r="O61" s="269">
        <f t="shared" si="37"/>
        <v>0</v>
      </c>
      <c r="P61" s="269">
        <f t="shared" si="37"/>
        <v>0</v>
      </c>
      <c r="Q61" s="269">
        <f t="shared" si="37"/>
        <v>0</v>
      </c>
      <c r="R61" s="132"/>
      <c r="Y61" s="266"/>
      <c r="Z61" s="266"/>
      <c r="AA61" s="266"/>
      <c r="AB61" s="266"/>
      <c r="AC61" s="266"/>
    </row>
    <row r="62" spans="1:29" x14ac:dyDescent="0.25">
      <c r="A62" s="267"/>
      <c r="B62" s="577"/>
      <c r="C62" s="267"/>
      <c r="D62" s="267"/>
      <c r="E62" s="267"/>
      <c r="F62" s="267"/>
      <c r="G62" s="267"/>
      <c r="H62" s="267"/>
      <c r="I62" s="267"/>
      <c r="J62" s="267"/>
      <c r="K62" s="267"/>
      <c r="L62" s="267"/>
      <c r="M62" s="267"/>
      <c r="N62" s="267"/>
      <c r="O62" s="267"/>
      <c r="P62" s="267"/>
      <c r="Q62" s="267"/>
      <c r="R62" s="132"/>
    </row>
    <row r="63" spans="1:29" x14ac:dyDescent="0.25">
      <c r="A63" s="578"/>
      <c r="B63" s="579" t="s">
        <v>961</v>
      </c>
      <c r="C63" s="580"/>
      <c r="D63" s="319"/>
      <c r="E63" s="319"/>
      <c r="F63" s="319"/>
      <c r="G63" s="319"/>
      <c r="H63" s="319"/>
      <c r="I63" s="205"/>
      <c r="J63" s="206"/>
      <c r="K63" s="267"/>
      <c r="L63" s="267"/>
      <c r="M63" s="267"/>
      <c r="N63" s="267"/>
      <c r="O63" s="267"/>
      <c r="P63" s="267"/>
      <c r="Q63" s="267"/>
      <c r="R63" s="132"/>
      <c r="Y63" s="266"/>
      <c r="Z63" s="266"/>
      <c r="AA63" s="266"/>
      <c r="AB63" s="266"/>
      <c r="AC63" s="266"/>
    </row>
    <row r="64" spans="1:29" ht="45" x14ac:dyDescent="0.25">
      <c r="A64" s="578"/>
      <c r="B64" s="259" t="s">
        <v>94</v>
      </c>
      <c r="C64" s="385"/>
      <c r="D64" s="330" t="s">
        <v>660</v>
      </c>
      <c r="E64" s="240" t="s">
        <v>47</v>
      </c>
      <c r="F64" s="240" t="s">
        <v>48</v>
      </c>
      <c r="G64" s="164" t="s">
        <v>661</v>
      </c>
      <c r="H64" s="164" t="s">
        <v>662</v>
      </c>
      <c r="I64" s="240" t="s">
        <v>663</v>
      </c>
      <c r="J64" s="581"/>
      <c r="K64" s="164" t="s">
        <v>884</v>
      </c>
      <c r="L64" s="330" t="s">
        <v>660</v>
      </c>
      <c r="M64" s="240" t="s">
        <v>47</v>
      </c>
      <c r="N64" s="240" t="s">
        <v>48</v>
      </c>
      <c r="O64" s="164" t="s">
        <v>661</v>
      </c>
      <c r="P64" s="164" t="s">
        <v>662</v>
      </c>
      <c r="Q64" s="240" t="s">
        <v>663</v>
      </c>
      <c r="R64" s="132"/>
      <c r="Y64" s="266"/>
      <c r="Z64" s="266"/>
      <c r="AA64" s="266"/>
      <c r="AB64" s="266"/>
      <c r="AC64" s="266"/>
    </row>
    <row r="65" spans="1:29" x14ac:dyDescent="0.25">
      <c r="A65" s="578"/>
      <c r="B65" s="582" t="s">
        <v>832</v>
      </c>
      <c r="C65" s="162"/>
      <c r="D65" s="371">
        <f>'Inputs and eligible population'!L79*'Inputs and eligible population'!$F$108</f>
        <v>0</v>
      </c>
      <c r="E65" s="371">
        <f>'Inputs and eligible population'!M79*'Inputs and eligible population'!$F$108</f>
        <v>0</v>
      </c>
      <c r="F65" s="371">
        <f>'Inputs and eligible population'!N79*'Inputs and eligible population'!$F$108</f>
        <v>0</v>
      </c>
      <c r="G65" s="371">
        <f>'Inputs and eligible population'!O79*'Inputs and eligible population'!$F$108</f>
        <v>0</v>
      </c>
      <c r="H65" s="371">
        <f>'Inputs and eligible population'!P79*'Inputs and eligible population'!$F$108</f>
        <v>0</v>
      </c>
      <c r="I65" s="371">
        <f>'Inputs and eligible population'!Q79*'Inputs and eligible population'!$F$108</f>
        <v>0</v>
      </c>
      <c r="J65" s="581"/>
      <c r="K65" s="556">
        <f>'Unit costs'!L46</f>
        <v>293.11</v>
      </c>
      <c r="L65" s="268">
        <f>$K65*D65/1000</f>
        <v>0</v>
      </c>
      <c r="M65" s="268">
        <f t="shared" ref="M65:Q65" si="38">$K65*E65/1000</f>
        <v>0</v>
      </c>
      <c r="N65" s="268">
        <f t="shared" si="38"/>
        <v>0</v>
      </c>
      <c r="O65" s="268">
        <f t="shared" si="38"/>
        <v>0</v>
      </c>
      <c r="P65" s="268">
        <f t="shared" si="38"/>
        <v>0</v>
      </c>
      <c r="Q65" s="268">
        <f t="shared" si="38"/>
        <v>0</v>
      </c>
      <c r="R65" s="132"/>
      <c r="Y65" s="266"/>
      <c r="Z65" s="266"/>
      <c r="AA65" s="266"/>
      <c r="AB65" s="266"/>
      <c r="AC65" s="266"/>
    </row>
    <row r="66" spans="1:29" x14ac:dyDescent="0.25">
      <c r="A66" s="578"/>
      <c r="B66" s="572"/>
      <c r="C66" s="573"/>
      <c r="D66" s="561">
        <f>SUM(D65:D65)</f>
        <v>0</v>
      </c>
      <c r="E66" s="561">
        <f t="shared" ref="E66:I66" si="39">SUM(E65:E65)</f>
        <v>0</v>
      </c>
      <c r="F66" s="561">
        <f t="shared" si="39"/>
        <v>0</v>
      </c>
      <c r="G66" s="561">
        <f t="shared" si="39"/>
        <v>0</v>
      </c>
      <c r="H66" s="561">
        <f t="shared" si="39"/>
        <v>0</v>
      </c>
      <c r="I66" s="561">
        <f t="shared" si="39"/>
        <v>0</v>
      </c>
      <c r="J66" s="581"/>
      <c r="K66" s="206"/>
      <c r="L66" s="269">
        <f t="shared" ref="L66:Q66" si="40">SUM(L65:L65)</f>
        <v>0</v>
      </c>
      <c r="M66" s="269">
        <f t="shared" si="40"/>
        <v>0</v>
      </c>
      <c r="N66" s="269">
        <f t="shared" si="40"/>
        <v>0</v>
      </c>
      <c r="O66" s="269">
        <f t="shared" si="40"/>
        <v>0</v>
      </c>
      <c r="P66" s="269">
        <f t="shared" si="40"/>
        <v>0</v>
      </c>
      <c r="Q66" s="269">
        <f t="shared" si="40"/>
        <v>0</v>
      </c>
      <c r="R66" s="132"/>
      <c r="Y66" s="266"/>
      <c r="Z66" s="266"/>
      <c r="AA66" s="266"/>
      <c r="AB66" s="266"/>
      <c r="AC66" s="266"/>
    </row>
    <row r="67" spans="1:29" x14ac:dyDescent="0.25">
      <c r="A67" s="578"/>
      <c r="B67" s="276"/>
      <c r="C67" s="241"/>
      <c r="D67" s="265" t="s">
        <v>985</v>
      </c>
      <c r="E67" s="182">
        <f>E66-$D$66</f>
        <v>0</v>
      </c>
      <c r="F67" s="182">
        <f t="shared" ref="F67:I67" si="41">F66-$D$66</f>
        <v>0</v>
      </c>
      <c r="G67" s="182">
        <f t="shared" si="41"/>
        <v>0</v>
      </c>
      <c r="H67" s="182">
        <f t="shared" si="41"/>
        <v>0</v>
      </c>
      <c r="I67" s="182">
        <f t="shared" si="41"/>
        <v>0</v>
      </c>
      <c r="J67" s="581"/>
      <c r="K67" s="267"/>
      <c r="L67" s="267"/>
      <c r="M67" s="269">
        <f>M66-$L$66</f>
        <v>0</v>
      </c>
      <c r="N67" s="269">
        <f t="shared" ref="N67:Q67" si="42">N66-$L$66</f>
        <v>0</v>
      </c>
      <c r="O67" s="269">
        <f t="shared" si="42"/>
        <v>0</v>
      </c>
      <c r="P67" s="269">
        <f t="shared" si="42"/>
        <v>0</v>
      </c>
      <c r="Q67" s="269">
        <f t="shared" si="42"/>
        <v>0</v>
      </c>
      <c r="R67" s="132"/>
      <c r="Y67" s="266"/>
      <c r="Z67" s="266"/>
      <c r="AA67" s="266"/>
      <c r="AB67" s="266"/>
      <c r="AC67" s="266"/>
    </row>
    <row r="68" spans="1:29" x14ac:dyDescent="0.25">
      <c r="A68" s="267"/>
      <c r="B68" s="577"/>
      <c r="C68" s="267"/>
      <c r="D68" s="267"/>
      <c r="E68" s="267"/>
      <c r="F68" s="267"/>
      <c r="G68" s="267"/>
      <c r="H68" s="267"/>
      <c r="I68" s="267"/>
      <c r="J68" s="267"/>
      <c r="K68" s="267"/>
      <c r="L68" s="267"/>
      <c r="M68" s="267"/>
      <c r="N68" s="267"/>
      <c r="O68" s="267"/>
      <c r="P68" s="267"/>
      <c r="Q68" s="267"/>
      <c r="R68" s="132"/>
    </row>
    <row r="69" spans="1:29" x14ac:dyDescent="0.25">
      <c r="A69" s="578"/>
      <c r="B69" s="579" t="s">
        <v>969</v>
      </c>
      <c r="C69" s="580"/>
      <c r="D69" s="319"/>
      <c r="E69" s="319"/>
      <c r="F69" s="319"/>
      <c r="G69" s="319"/>
      <c r="H69" s="319"/>
      <c r="I69" s="205"/>
      <c r="J69" s="206"/>
      <c r="K69" s="267"/>
      <c r="L69" s="267"/>
      <c r="M69" s="267"/>
      <c r="N69" s="267"/>
      <c r="O69" s="267"/>
      <c r="P69" s="267"/>
      <c r="Q69" s="267"/>
      <c r="R69" s="132"/>
      <c r="Y69" s="266"/>
      <c r="Z69" s="266"/>
      <c r="AA69" s="266"/>
      <c r="AB69" s="266"/>
      <c r="AC69" s="266"/>
    </row>
    <row r="70" spans="1:29" ht="45" x14ac:dyDescent="0.25">
      <c r="A70" s="578"/>
      <c r="B70" s="259" t="s">
        <v>94</v>
      </c>
      <c r="C70" s="385"/>
      <c r="D70" s="330" t="s">
        <v>660</v>
      </c>
      <c r="E70" s="240" t="s">
        <v>47</v>
      </c>
      <c r="F70" s="240" t="s">
        <v>48</v>
      </c>
      <c r="G70" s="164" t="s">
        <v>661</v>
      </c>
      <c r="H70" s="164" t="s">
        <v>662</v>
      </c>
      <c r="I70" s="240" t="s">
        <v>663</v>
      </c>
      <c r="J70" s="581"/>
      <c r="K70" s="164" t="s">
        <v>884</v>
      </c>
      <c r="L70" s="330" t="s">
        <v>660</v>
      </c>
      <c r="M70" s="240" t="s">
        <v>47</v>
      </c>
      <c r="N70" s="240" t="s">
        <v>48</v>
      </c>
      <c r="O70" s="164" t="s">
        <v>661</v>
      </c>
      <c r="P70" s="164" t="s">
        <v>662</v>
      </c>
      <c r="Q70" s="240" t="s">
        <v>663</v>
      </c>
      <c r="R70" s="132"/>
      <c r="Y70" s="266"/>
      <c r="Z70" s="266"/>
      <c r="AA70" s="266"/>
      <c r="AB70" s="266"/>
      <c r="AC70" s="266"/>
    </row>
    <row r="71" spans="1:29" x14ac:dyDescent="0.25">
      <c r="A71" s="578"/>
      <c r="B71" s="582" t="s">
        <v>993</v>
      </c>
      <c r="C71" s="162"/>
      <c r="D71" s="371">
        <f>'Inputs and eligible population'!L80*'Inputs and eligible population'!$F$109</f>
        <v>0</v>
      </c>
      <c r="E71" s="371">
        <f>'Inputs and eligible population'!M80*'Inputs and eligible population'!$F$109</f>
        <v>0</v>
      </c>
      <c r="F71" s="371">
        <f>'Inputs and eligible population'!N80*'Inputs and eligible population'!$F$109</f>
        <v>0</v>
      </c>
      <c r="G71" s="371">
        <f>'Inputs and eligible population'!O80*'Inputs and eligible population'!$F$109</f>
        <v>0</v>
      </c>
      <c r="H71" s="371">
        <f>'Inputs and eligible population'!P80*'Inputs and eligible population'!$F$109</f>
        <v>0</v>
      </c>
      <c r="I71" s="371">
        <f>'Inputs and eligible population'!Q80*'Inputs and eligible population'!$F$109</f>
        <v>0</v>
      </c>
      <c r="J71" s="581"/>
      <c r="K71" s="556">
        <f>'Unit costs'!L47</f>
        <v>286.41000000000003</v>
      </c>
      <c r="L71" s="268">
        <f>$K71*D71/1000</f>
        <v>0</v>
      </c>
      <c r="M71" s="268">
        <f t="shared" ref="M71:Q71" si="43">$K71*E71/1000</f>
        <v>0</v>
      </c>
      <c r="N71" s="268">
        <f t="shared" si="43"/>
        <v>0</v>
      </c>
      <c r="O71" s="268">
        <f t="shared" si="43"/>
        <v>0</v>
      </c>
      <c r="P71" s="268">
        <f t="shared" si="43"/>
        <v>0</v>
      </c>
      <c r="Q71" s="268">
        <f t="shared" si="43"/>
        <v>0</v>
      </c>
      <c r="R71" s="132"/>
      <c r="Y71" s="266"/>
      <c r="Z71" s="266"/>
      <c r="AA71" s="266"/>
      <c r="AB71" s="266"/>
      <c r="AC71" s="266"/>
    </row>
    <row r="72" spans="1:29" x14ac:dyDescent="0.25">
      <c r="A72" s="578"/>
      <c r="B72" s="572"/>
      <c r="C72" s="573"/>
      <c r="D72" s="561">
        <f>SUM(D71:D71)</f>
        <v>0</v>
      </c>
      <c r="E72" s="561">
        <f t="shared" ref="E72:I72" si="44">SUM(E71:E71)</f>
        <v>0</v>
      </c>
      <c r="F72" s="561">
        <f t="shared" si="44"/>
        <v>0</v>
      </c>
      <c r="G72" s="561">
        <f t="shared" si="44"/>
        <v>0</v>
      </c>
      <c r="H72" s="561">
        <f t="shared" si="44"/>
        <v>0</v>
      </c>
      <c r="I72" s="561">
        <f t="shared" si="44"/>
        <v>0</v>
      </c>
      <c r="J72" s="581"/>
      <c r="K72" s="206"/>
      <c r="L72" s="269">
        <f t="shared" ref="L72:Q72" si="45">SUM(L71:L71)</f>
        <v>0</v>
      </c>
      <c r="M72" s="269">
        <f t="shared" si="45"/>
        <v>0</v>
      </c>
      <c r="N72" s="269">
        <f t="shared" si="45"/>
        <v>0</v>
      </c>
      <c r="O72" s="269">
        <f t="shared" si="45"/>
        <v>0</v>
      </c>
      <c r="P72" s="269">
        <f t="shared" si="45"/>
        <v>0</v>
      </c>
      <c r="Q72" s="269">
        <f t="shared" si="45"/>
        <v>0</v>
      </c>
      <c r="R72" s="132"/>
      <c r="Y72" s="266"/>
      <c r="Z72" s="266"/>
      <c r="AA72" s="266"/>
      <c r="AB72" s="266"/>
      <c r="AC72" s="266"/>
    </row>
    <row r="73" spans="1:29" x14ac:dyDescent="0.25">
      <c r="A73" s="578"/>
      <c r="B73" s="276"/>
      <c r="C73" s="241"/>
      <c r="D73" s="265" t="s">
        <v>963</v>
      </c>
      <c r="E73" s="182">
        <f>E72-$D$72</f>
        <v>0</v>
      </c>
      <c r="F73" s="182">
        <f t="shared" ref="F73:I73" si="46">F72-$D$72</f>
        <v>0</v>
      </c>
      <c r="G73" s="182">
        <f t="shared" si="46"/>
        <v>0</v>
      </c>
      <c r="H73" s="182">
        <f t="shared" si="46"/>
        <v>0</v>
      </c>
      <c r="I73" s="182">
        <f t="shared" si="46"/>
        <v>0</v>
      </c>
      <c r="J73" s="581"/>
      <c r="K73" s="267"/>
      <c r="L73" s="267"/>
      <c r="M73" s="269">
        <f>M72-$L$72</f>
        <v>0</v>
      </c>
      <c r="N73" s="269">
        <f t="shared" ref="N73:Q73" si="47">N72-$L$72</f>
        <v>0</v>
      </c>
      <c r="O73" s="269">
        <f t="shared" si="47"/>
        <v>0</v>
      </c>
      <c r="P73" s="269">
        <f t="shared" si="47"/>
        <v>0</v>
      </c>
      <c r="Q73" s="269">
        <f t="shared" si="47"/>
        <v>0</v>
      </c>
      <c r="R73" s="132"/>
      <c r="Y73" s="266"/>
      <c r="Z73" s="266"/>
      <c r="AA73" s="266"/>
      <c r="AB73" s="266"/>
      <c r="AC73" s="266"/>
    </row>
    <row r="74" spans="1:29" x14ac:dyDescent="0.25">
      <c r="A74" s="267"/>
      <c r="B74" s="785"/>
      <c r="C74" s="267"/>
      <c r="D74" s="267"/>
      <c r="E74" s="267"/>
      <c r="F74" s="267"/>
      <c r="G74" s="267"/>
      <c r="H74" s="267"/>
      <c r="I74" s="267"/>
      <c r="J74" s="267"/>
      <c r="K74" s="267"/>
      <c r="L74" s="267"/>
      <c r="M74" s="267"/>
      <c r="N74" s="267"/>
      <c r="O74" s="267"/>
      <c r="P74" s="267"/>
      <c r="Q74" s="267"/>
      <c r="R74" s="132"/>
    </row>
    <row r="75" spans="1:29" x14ac:dyDescent="0.25">
      <c r="A75" s="578"/>
      <c r="B75" s="579" t="s">
        <v>956</v>
      </c>
      <c r="C75" s="580"/>
      <c r="D75" s="319"/>
      <c r="E75" s="319"/>
      <c r="F75" s="319"/>
      <c r="G75" s="319"/>
      <c r="H75" s="319"/>
      <c r="I75" s="205"/>
      <c r="J75" s="206"/>
      <c r="K75" s="267"/>
      <c r="L75" s="267"/>
      <c r="M75" s="267"/>
      <c r="N75" s="267"/>
      <c r="O75" s="267"/>
      <c r="P75" s="267"/>
      <c r="Q75" s="267"/>
      <c r="R75" s="132"/>
      <c r="Y75" s="266"/>
      <c r="Z75" s="266"/>
      <c r="AA75" s="266"/>
      <c r="AB75" s="266"/>
      <c r="AC75" s="266"/>
    </row>
    <row r="76" spans="1:29" ht="45" x14ac:dyDescent="0.25">
      <c r="A76" s="578"/>
      <c r="B76" s="259" t="s">
        <v>94</v>
      </c>
      <c r="C76" s="385"/>
      <c r="D76" s="330" t="s">
        <v>660</v>
      </c>
      <c r="E76" s="240" t="s">
        <v>47</v>
      </c>
      <c r="F76" s="240" t="s">
        <v>48</v>
      </c>
      <c r="G76" s="164" t="s">
        <v>661</v>
      </c>
      <c r="H76" s="164" t="s">
        <v>662</v>
      </c>
      <c r="I76" s="240" t="s">
        <v>663</v>
      </c>
      <c r="J76" s="581"/>
      <c r="K76" s="164" t="s">
        <v>884</v>
      </c>
      <c r="L76" s="330" t="s">
        <v>660</v>
      </c>
      <c r="M76" s="240" t="s">
        <v>47</v>
      </c>
      <c r="N76" s="240" t="s">
        <v>48</v>
      </c>
      <c r="O76" s="164" t="s">
        <v>661</v>
      </c>
      <c r="P76" s="164" t="s">
        <v>662</v>
      </c>
      <c r="Q76" s="240" t="s">
        <v>663</v>
      </c>
      <c r="R76" s="132"/>
      <c r="Y76" s="266"/>
      <c r="Z76" s="266"/>
      <c r="AA76" s="266"/>
      <c r="AB76" s="266"/>
      <c r="AC76" s="266"/>
    </row>
    <row r="77" spans="1:29" x14ac:dyDescent="0.25">
      <c r="A77" s="578"/>
      <c r="B77" s="582" t="s">
        <v>993</v>
      </c>
      <c r="C77" s="162"/>
      <c r="D77" s="371">
        <f>'Inputs and eligible population'!L81*'Inputs and eligible population'!$F$110</f>
        <v>0</v>
      </c>
      <c r="E77" s="371">
        <f>'Inputs and eligible population'!M81*'Inputs and eligible population'!$F$110</f>
        <v>0</v>
      </c>
      <c r="F77" s="371">
        <f>'Inputs and eligible population'!N81*'Inputs and eligible population'!$F$110</f>
        <v>0</v>
      </c>
      <c r="G77" s="371">
        <f>'Inputs and eligible population'!O81*'Inputs and eligible population'!$F$110</f>
        <v>0</v>
      </c>
      <c r="H77" s="371">
        <f>'Inputs and eligible population'!P81*'Inputs and eligible population'!$F$110</f>
        <v>0</v>
      </c>
      <c r="I77" s="371">
        <f>'Inputs and eligible population'!Q81*'Inputs and eligible population'!$F$110</f>
        <v>0</v>
      </c>
      <c r="J77" s="581"/>
      <c r="K77" s="556">
        <f>'Unit costs'!L48</f>
        <v>320.32</v>
      </c>
      <c r="L77" s="268">
        <f>$K77*D77/1000</f>
        <v>0</v>
      </c>
      <c r="M77" s="268">
        <f t="shared" ref="M77:Q77" si="48">$K77*E77/1000</f>
        <v>0</v>
      </c>
      <c r="N77" s="268">
        <f t="shared" si="48"/>
        <v>0</v>
      </c>
      <c r="O77" s="268">
        <f t="shared" si="48"/>
        <v>0</v>
      </c>
      <c r="P77" s="268">
        <f t="shared" si="48"/>
        <v>0</v>
      </c>
      <c r="Q77" s="268">
        <f t="shared" si="48"/>
        <v>0</v>
      </c>
      <c r="R77" s="132"/>
      <c r="Y77" s="266"/>
      <c r="Z77" s="266"/>
      <c r="AA77" s="266"/>
      <c r="AB77" s="266"/>
      <c r="AC77" s="266"/>
    </row>
    <row r="78" spans="1:29" x14ac:dyDescent="0.25">
      <c r="A78" s="578"/>
      <c r="B78" s="572"/>
      <c r="C78" s="573"/>
      <c r="D78" s="561">
        <f>SUM(D77:D77)</f>
        <v>0</v>
      </c>
      <c r="E78" s="561">
        <f t="shared" ref="E78:I78" si="49">SUM(E77:E77)</f>
        <v>0</v>
      </c>
      <c r="F78" s="561">
        <f t="shared" si="49"/>
        <v>0</v>
      </c>
      <c r="G78" s="561">
        <f t="shared" si="49"/>
        <v>0</v>
      </c>
      <c r="H78" s="561">
        <f t="shared" si="49"/>
        <v>0</v>
      </c>
      <c r="I78" s="561">
        <f t="shared" si="49"/>
        <v>0</v>
      </c>
      <c r="J78" s="581"/>
      <c r="K78" s="206"/>
      <c r="L78" s="269">
        <f t="shared" ref="L78:Q78" si="50">SUM(L77:L77)</f>
        <v>0</v>
      </c>
      <c r="M78" s="269">
        <f t="shared" si="50"/>
        <v>0</v>
      </c>
      <c r="N78" s="269">
        <f t="shared" si="50"/>
        <v>0</v>
      </c>
      <c r="O78" s="269">
        <f t="shared" si="50"/>
        <v>0</v>
      </c>
      <c r="P78" s="269">
        <f t="shared" si="50"/>
        <v>0</v>
      </c>
      <c r="Q78" s="269">
        <f t="shared" si="50"/>
        <v>0</v>
      </c>
      <c r="R78" s="132"/>
      <c r="Y78" s="266"/>
      <c r="Z78" s="266"/>
      <c r="AA78" s="266"/>
      <c r="AB78" s="266"/>
      <c r="AC78" s="266"/>
    </row>
    <row r="79" spans="1:29" x14ac:dyDescent="0.25">
      <c r="A79" s="578"/>
      <c r="B79" s="276"/>
      <c r="C79" s="241"/>
      <c r="D79" s="265" t="s">
        <v>994</v>
      </c>
      <c r="E79" s="182">
        <f>E78-$D$78</f>
        <v>0</v>
      </c>
      <c r="F79" s="182">
        <f t="shared" ref="F79:I79" si="51">F78-$D$78</f>
        <v>0</v>
      </c>
      <c r="G79" s="182">
        <f t="shared" si="51"/>
        <v>0</v>
      </c>
      <c r="H79" s="182">
        <f t="shared" si="51"/>
        <v>0</v>
      </c>
      <c r="I79" s="182">
        <f t="shared" si="51"/>
        <v>0</v>
      </c>
      <c r="J79" s="581"/>
      <c r="K79" s="267"/>
      <c r="L79" s="267"/>
      <c r="M79" s="269">
        <f>M78-$L$78</f>
        <v>0</v>
      </c>
      <c r="N79" s="269">
        <f t="shared" ref="N79:Q79" si="52">N78-$L$78</f>
        <v>0</v>
      </c>
      <c r="O79" s="269">
        <f t="shared" si="52"/>
        <v>0</v>
      </c>
      <c r="P79" s="269">
        <f t="shared" si="52"/>
        <v>0</v>
      </c>
      <c r="Q79" s="269">
        <f t="shared" si="52"/>
        <v>0</v>
      </c>
      <c r="R79" s="132"/>
      <c r="Y79" s="266"/>
      <c r="Z79" s="266"/>
      <c r="AA79" s="266"/>
      <c r="AB79" s="266"/>
      <c r="AC79" s="266"/>
    </row>
    <row r="80" spans="1:29" x14ac:dyDescent="0.25">
      <c r="A80" s="267"/>
      <c r="B80" s="577"/>
      <c r="C80" s="267"/>
      <c r="D80" s="267"/>
      <c r="E80" s="267"/>
      <c r="F80" s="267"/>
      <c r="G80" s="267"/>
      <c r="H80" s="267"/>
      <c r="I80" s="267"/>
      <c r="J80" s="267"/>
      <c r="K80" s="267"/>
      <c r="L80" s="267"/>
      <c r="M80" s="267"/>
      <c r="N80" s="267"/>
      <c r="O80" s="267"/>
      <c r="P80" s="267"/>
      <c r="Q80" s="267"/>
      <c r="R80" s="132"/>
    </row>
    <row r="81" spans="1:29" x14ac:dyDescent="0.25">
      <c r="A81" s="737"/>
      <c r="B81" s="783" t="s">
        <v>996</v>
      </c>
      <c r="C81" s="737"/>
      <c r="D81" s="737"/>
      <c r="E81" s="737"/>
      <c r="F81" s="737"/>
      <c r="G81" s="737"/>
      <c r="H81" s="737"/>
      <c r="I81" s="737"/>
      <c r="J81" s="737"/>
      <c r="K81" s="737"/>
      <c r="L81" s="737"/>
      <c r="M81" s="737"/>
      <c r="N81" s="737"/>
      <c r="O81" s="737"/>
      <c r="P81" s="737"/>
      <c r="Q81" s="737"/>
    </row>
    <row r="82" spans="1:29" x14ac:dyDescent="0.25">
      <c r="A82" s="743"/>
      <c r="B82" s="738" t="s">
        <v>885</v>
      </c>
      <c r="C82" s="739"/>
      <c r="D82" s="740"/>
      <c r="E82" s="740"/>
      <c r="F82" s="740"/>
      <c r="G82" s="740"/>
      <c r="H82" s="740"/>
      <c r="I82" s="741"/>
      <c r="J82" s="742"/>
      <c r="K82" s="737"/>
      <c r="L82" s="737"/>
      <c r="M82" s="737"/>
      <c r="N82" s="737"/>
      <c r="O82" s="737"/>
      <c r="P82" s="737"/>
      <c r="Q82" s="737"/>
      <c r="R82" s="132"/>
      <c r="Y82" s="266"/>
      <c r="Z82" s="266"/>
      <c r="AA82" s="266"/>
      <c r="AB82" s="266"/>
      <c r="AC82" s="266"/>
    </row>
    <row r="83" spans="1:29" ht="45" x14ac:dyDescent="0.25">
      <c r="A83" s="743"/>
      <c r="B83" s="259" t="s">
        <v>94</v>
      </c>
      <c r="C83" s="385"/>
      <c r="D83" s="330" t="s">
        <v>660</v>
      </c>
      <c r="E83" s="240" t="s">
        <v>47</v>
      </c>
      <c r="F83" s="240" t="s">
        <v>48</v>
      </c>
      <c r="G83" s="164" t="s">
        <v>661</v>
      </c>
      <c r="H83" s="164" t="s">
        <v>662</v>
      </c>
      <c r="I83" s="240" t="s">
        <v>663</v>
      </c>
      <c r="J83" s="744"/>
      <c r="K83" s="164" t="s">
        <v>884</v>
      </c>
      <c r="L83" s="330" t="s">
        <v>660</v>
      </c>
      <c r="M83" s="240" t="s">
        <v>47</v>
      </c>
      <c r="N83" s="240" t="s">
        <v>48</v>
      </c>
      <c r="O83" s="164" t="s">
        <v>661</v>
      </c>
      <c r="P83" s="164" t="s">
        <v>662</v>
      </c>
      <c r="Q83" s="240" t="s">
        <v>663</v>
      </c>
      <c r="R83" s="132"/>
      <c r="Y83" s="266"/>
      <c r="Z83" s="266"/>
      <c r="AA83" s="266"/>
      <c r="AB83" s="266"/>
      <c r="AC83" s="266"/>
    </row>
    <row r="84" spans="1:29" x14ac:dyDescent="0.25">
      <c r="A84" s="743"/>
      <c r="B84" s="582" t="s">
        <v>827</v>
      </c>
      <c r="C84" s="162"/>
      <c r="D84" s="371">
        <f>'Inputs and eligible population'!L86*'Inputs and eligible population'!$F$112*'Inputs and eligible population'!$F$113</f>
        <v>0</v>
      </c>
      <c r="E84" s="371">
        <f>'Inputs and eligible population'!M86*'Inputs and eligible population'!$F$112*'Inputs and eligible population'!$F$113</f>
        <v>0</v>
      </c>
      <c r="F84" s="371">
        <f>'Inputs and eligible population'!N86*'Inputs and eligible population'!$F$112*'Inputs and eligible population'!$F$113</f>
        <v>0</v>
      </c>
      <c r="G84" s="371">
        <f>'Inputs and eligible population'!O86*'Inputs and eligible population'!$F$112*'Inputs and eligible population'!$F$113</f>
        <v>0</v>
      </c>
      <c r="H84" s="371">
        <f>'Inputs and eligible population'!P86*'Inputs and eligible population'!$F$112*'Inputs and eligible population'!$F$113</f>
        <v>0</v>
      </c>
      <c r="I84" s="371">
        <f>'Inputs and eligible population'!Q86*'Inputs and eligible population'!$F$112*'Inputs and eligible population'!$F$113</f>
        <v>0</v>
      </c>
      <c r="J84" s="744"/>
      <c r="K84" s="556">
        <f>'Inputs and eligible population'!J113</f>
        <v>46.486666666666672</v>
      </c>
      <c r="L84" s="268">
        <f>$K84*D84/1000</f>
        <v>0</v>
      </c>
      <c r="M84" s="268">
        <f t="shared" ref="M84:Q84" si="53">$K84*E84/1000</f>
        <v>0</v>
      </c>
      <c r="N84" s="268">
        <f t="shared" si="53"/>
        <v>0</v>
      </c>
      <c r="O84" s="268">
        <f t="shared" si="53"/>
        <v>0</v>
      </c>
      <c r="P84" s="268">
        <f t="shared" si="53"/>
        <v>0</v>
      </c>
      <c r="Q84" s="268">
        <f t="shared" si="53"/>
        <v>0</v>
      </c>
      <c r="R84" s="132"/>
      <c r="Y84" s="266"/>
      <c r="Z84" s="266"/>
      <c r="AA84" s="266"/>
      <c r="AB84" s="266"/>
      <c r="AC84" s="266"/>
    </row>
    <row r="85" spans="1:29" x14ac:dyDescent="0.25">
      <c r="A85" s="743"/>
      <c r="B85" s="572"/>
      <c r="C85" s="573"/>
      <c r="D85" s="561">
        <f>SUM(D84:D84)</f>
        <v>0</v>
      </c>
      <c r="E85" s="561">
        <f t="shared" ref="E85:I85" si="54">SUM(E84:E84)</f>
        <v>0</v>
      </c>
      <c r="F85" s="561">
        <f t="shared" si="54"/>
        <v>0</v>
      </c>
      <c r="G85" s="561">
        <f t="shared" si="54"/>
        <v>0</v>
      </c>
      <c r="H85" s="561">
        <f t="shared" si="54"/>
        <v>0</v>
      </c>
      <c r="I85" s="561">
        <f t="shared" si="54"/>
        <v>0</v>
      </c>
      <c r="J85" s="744"/>
      <c r="K85" s="742"/>
      <c r="L85" s="269">
        <f t="shared" ref="L85:Q85" si="55">SUM(L84:L84)</f>
        <v>0</v>
      </c>
      <c r="M85" s="269">
        <f t="shared" si="55"/>
        <v>0</v>
      </c>
      <c r="N85" s="269">
        <f t="shared" si="55"/>
        <v>0</v>
      </c>
      <c r="O85" s="269">
        <f t="shared" si="55"/>
        <v>0</v>
      </c>
      <c r="P85" s="269">
        <f t="shared" si="55"/>
        <v>0</v>
      </c>
      <c r="Q85" s="269">
        <f t="shared" si="55"/>
        <v>0</v>
      </c>
      <c r="R85" s="132"/>
      <c r="Y85" s="266"/>
      <c r="Z85" s="266"/>
      <c r="AA85" s="266"/>
      <c r="AB85" s="266"/>
      <c r="AC85" s="266"/>
    </row>
    <row r="86" spans="1:29" x14ac:dyDescent="0.25">
      <c r="A86" s="743"/>
      <c r="B86" s="276"/>
      <c r="C86" s="241"/>
      <c r="D86" s="265" t="s">
        <v>983</v>
      </c>
      <c r="E86" s="182">
        <f>E85-$D$85</f>
        <v>0</v>
      </c>
      <c r="F86" s="182">
        <f t="shared" ref="F86:I86" si="56">F85-$D$85</f>
        <v>0</v>
      </c>
      <c r="G86" s="182">
        <f t="shared" si="56"/>
        <v>0</v>
      </c>
      <c r="H86" s="182">
        <f t="shared" si="56"/>
        <v>0</v>
      </c>
      <c r="I86" s="182">
        <f t="shared" si="56"/>
        <v>0</v>
      </c>
      <c r="J86" s="744"/>
      <c r="K86" s="737"/>
      <c r="L86" s="737"/>
      <c r="M86" s="269">
        <f>M85-$L$85</f>
        <v>0</v>
      </c>
      <c r="N86" s="269">
        <f t="shared" ref="N86:Q86" si="57">N85-$L$85</f>
        <v>0</v>
      </c>
      <c r="O86" s="269">
        <f t="shared" si="57"/>
        <v>0</v>
      </c>
      <c r="P86" s="269">
        <f t="shared" si="57"/>
        <v>0</v>
      </c>
      <c r="Q86" s="269">
        <f t="shared" si="57"/>
        <v>0</v>
      </c>
      <c r="R86" s="132"/>
      <c r="Y86" s="266"/>
      <c r="Z86" s="266"/>
      <c r="AA86" s="266"/>
      <c r="AB86" s="266"/>
      <c r="AC86" s="266"/>
    </row>
    <row r="87" spans="1:29" x14ac:dyDescent="0.25">
      <c r="A87" s="737"/>
      <c r="B87" s="736"/>
      <c r="C87" s="737"/>
      <c r="D87" s="737"/>
      <c r="E87" s="737"/>
      <c r="F87" s="737"/>
      <c r="G87" s="737"/>
      <c r="H87" s="737"/>
      <c r="I87" s="737"/>
      <c r="J87" s="737"/>
      <c r="K87" s="737"/>
      <c r="L87" s="737"/>
      <c r="M87" s="737"/>
      <c r="N87" s="737"/>
      <c r="O87" s="737"/>
      <c r="P87" s="737"/>
      <c r="Q87" s="737"/>
      <c r="R87" s="132"/>
    </row>
    <row r="88" spans="1:29" x14ac:dyDescent="0.25">
      <c r="A88" s="743"/>
      <c r="B88" s="738" t="s">
        <v>883</v>
      </c>
      <c r="C88" s="739"/>
      <c r="D88" s="740"/>
      <c r="E88" s="740"/>
      <c r="F88" s="740"/>
      <c r="G88" s="740"/>
      <c r="H88" s="740"/>
      <c r="I88" s="741"/>
      <c r="J88" s="742"/>
      <c r="K88" s="737"/>
      <c r="L88" s="737"/>
      <c r="M88" s="737"/>
      <c r="N88" s="737"/>
      <c r="O88" s="737"/>
      <c r="P88" s="737"/>
      <c r="Q88" s="737"/>
      <c r="R88" s="132"/>
      <c r="Y88" s="266"/>
      <c r="Z88" s="266"/>
      <c r="AA88" s="266"/>
      <c r="AB88" s="266"/>
      <c r="AC88" s="266"/>
    </row>
    <row r="89" spans="1:29" ht="45" x14ac:dyDescent="0.25">
      <c r="A89" s="743"/>
      <c r="B89" s="259" t="s">
        <v>94</v>
      </c>
      <c r="C89" s="385"/>
      <c r="D89" s="330" t="s">
        <v>660</v>
      </c>
      <c r="E89" s="240" t="s">
        <v>47</v>
      </c>
      <c r="F89" s="240" t="s">
        <v>48</v>
      </c>
      <c r="G89" s="164" t="s">
        <v>661</v>
      </c>
      <c r="H89" s="164" t="s">
        <v>662</v>
      </c>
      <c r="I89" s="240" t="s">
        <v>663</v>
      </c>
      <c r="J89" s="744"/>
      <c r="K89" s="164" t="s">
        <v>884</v>
      </c>
      <c r="L89" s="330" t="s">
        <v>660</v>
      </c>
      <c r="M89" s="240" t="s">
        <v>47</v>
      </c>
      <c r="N89" s="240" t="s">
        <v>48</v>
      </c>
      <c r="O89" s="164" t="s">
        <v>661</v>
      </c>
      <c r="P89" s="164" t="s">
        <v>662</v>
      </c>
      <c r="Q89" s="240" t="s">
        <v>663</v>
      </c>
      <c r="R89" s="132"/>
      <c r="Y89" s="266"/>
      <c r="Z89" s="266"/>
      <c r="AA89" s="266"/>
      <c r="AB89" s="266"/>
      <c r="AC89" s="266"/>
    </row>
    <row r="90" spans="1:29" x14ac:dyDescent="0.25">
      <c r="A90" s="743"/>
      <c r="B90" s="582" t="s">
        <v>827</v>
      </c>
      <c r="C90" s="162"/>
      <c r="D90" s="371">
        <f>IFERROR('Inputs and eligible population'!L86*'Inputs and eligible population'!$F$114*'Inputs and eligible population'!$F$115,0)</f>
        <v>0</v>
      </c>
      <c r="E90" s="371">
        <f>IFERROR('Inputs and eligible population'!M86*'Inputs and eligible population'!$F$114*'Inputs and eligible population'!$F$115,0)</f>
        <v>0</v>
      </c>
      <c r="F90" s="371">
        <f>IFERROR('Inputs and eligible population'!N86*'Inputs and eligible population'!$F$114*'Inputs and eligible population'!$F$115,0)</f>
        <v>0</v>
      </c>
      <c r="G90" s="371">
        <f>IFERROR('Inputs and eligible population'!O86*'Inputs and eligible population'!$F$114*'Inputs and eligible population'!$F$115,0)</f>
        <v>0</v>
      </c>
      <c r="H90" s="371">
        <f>IFERROR('Inputs and eligible population'!P86*'Inputs and eligible population'!$F$114*'Inputs and eligible population'!$F$115,0)</f>
        <v>0</v>
      </c>
      <c r="I90" s="371">
        <f>IFERROR('Inputs and eligible population'!Q86*'Inputs and eligible population'!$F$114*'Inputs and eligible population'!$F$115,0)</f>
        <v>0</v>
      </c>
      <c r="J90" s="744"/>
      <c r="K90" s="556">
        <f>'Inputs and eligible population'!J115</f>
        <v>23.805</v>
      </c>
      <c r="L90" s="148">
        <f>($K90*D90/1000)</f>
        <v>0</v>
      </c>
      <c r="M90" s="148">
        <f t="shared" ref="M90:Q90" si="58">($K90*E90/1000)</f>
        <v>0</v>
      </c>
      <c r="N90" s="148">
        <f t="shared" si="58"/>
        <v>0</v>
      </c>
      <c r="O90" s="148">
        <f t="shared" si="58"/>
        <v>0</v>
      </c>
      <c r="P90" s="148">
        <f t="shared" si="58"/>
        <v>0</v>
      </c>
      <c r="Q90" s="148">
        <f t="shared" si="58"/>
        <v>0</v>
      </c>
      <c r="R90" s="132"/>
      <c r="Y90" s="266"/>
      <c r="Z90" s="266"/>
      <c r="AA90" s="266"/>
      <c r="AB90" s="266"/>
      <c r="AC90" s="266"/>
    </row>
    <row r="91" spans="1:29" x14ac:dyDescent="0.25">
      <c r="A91" s="743"/>
      <c r="B91" s="572"/>
      <c r="C91" s="573"/>
      <c r="D91" s="561">
        <f>SUM(D90:D90)</f>
        <v>0</v>
      </c>
      <c r="E91" s="561">
        <f t="shared" ref="E91:I91" si="59">SUM(E90:E90)</f>
        <v>0</v>
      </c>
      <c r="F91" s="561">
        <f t="shared" si="59"/>
        <v>0</v>
      </c>
      <c r="G91" s="561">
        <f t="shared" si="59"/>
        <v>0</v>
      </c>
      <c r="H91" s="561">
        <f t="shared" si="59"/>
        <v>0</v>
      </c>
      <c r="I91" s="561">
        <f t="shared" si="59"/>
        <v>0</v>
      </c>
      <c r="J91" s="744"/>
      <c r="K91" s="742"/>
      <c r="L91" s="269">
        <f t="shared" ref="L91:Q91" si="60">SUM(L90:L90)</f>
        <v>0</v>
      </c>
      <c r="M91" s="269">
        <f t="shared" si="60"/>
        <v>0</v>
      </c>
      <c r="N91" s="269">
        <f t="shared" si="60"/>
        <v>0</v>
      </c>
      <c r="O91" s="269">
        <f t="shared" si="60"/>
        <v>0</v>
      </c>
      <c r="P91" s="269">
        <f t="shared" si="60"/>
        <v>0</v>
      </c>
      <c r="Q91" s="269">
        <f t="shared" si="60"/>
        <v>0</v>
      </c>
      <c r="R91" s="132"/>
      <c r="Y91" s="266"/>
      <c r="Z91" s="266"/>
      <c r="AA91" s="266"/>
      <c r="AB91" s="266"/>
      <c r="AC91" s="266"/>
    </row>
    <row r="92" spans="1:29" x14ac:dyDescent="0.25">
      <c r="A92" s="743"/>
      <c r="B92" s="276"/>
      <c r="C92" s="241"/>
      <c r="D92" s="265" t="s">
        <v>983</v>
      </c>
      <c r="E92" s="182">
        <f>E91-$D$91</f>
        <v>0</v>
      </c>
      <c r="F92" s="182">
        <f t="shared" ref="F92:I92" si="61">F91-$D$91</f>
        <v>0</v>
      </c>
      <c r="G92" s="182">
        <f t="shared" si="61"/>
        <v>0</v>
      </c>
      <c r="H92" s="182">
        <f t="shared" si="61"/>
        <v>0</v>
      </c>
      <c r="I92" s="182">
        <f t="shared" si="61"/>
        <v>0</v>
      </c>
      <c r="J92" s="744"/>
      <c r="K92" s="737"/>
      <c r="L92" s="737"/>
      <c r="M92" s="269">
        <f>M91-$L$91</f>
        <v>0</v>
      </c>
      <c r="N92" s="269">
        <f t="shared" ref="N92:Q92" si="62">N91-$L$91</f>
        <v>0</v>
      </c>
      <c r="O92" s="269">
        <f t="shared" si="62"/>
        <v>0</v>
      </c>
      <c r="P92" s="269">
        <f t="shared" si="62"/>
        <v>0</v>
      </c>
      <c r="Q92" s="269">
        <f t="shared" si="62"/>
        <v>0</v>
      </c>
      <c r="R92" s="132"/>
      <c r="Y92" s="266"/>
      <c r="Z92" s="266"/>
      <c r="AA92" s="266"/>
      <c r="AB92" s="266"/>
      <c r="AC92" s="266"/>
    </row>
    <row r="93" spans="1:29" x14ac:dyDescent="0.25">
      <c r="A93" s="737"/>
      <c r="B93" s="736"/>
      <c r="C93" s="737"/>
      <c r="D93" s="737"/>
      <c r="E93" s="737"/>
      <c r="F93" s="737"/>
      <c r="G93" s="737"/>
      <c r="H93" s="737"/>
      <c r="I93" s="737"/>
      <c r="J93" s="737"/>
      <c r="K93" s="737"/>
      <c r="L93" s="737"/>
      <c r="M93" s="737"/>
      <c r="N93" s="737"/>
      <c r="O93" s="737"/>
      <c r="P93" s="737"/>
      <c r="Q93" s="737"/>
    </row>
    <row r="95" spans="1:29" x14ac:dyDescent="0.25">
      <c r="B95"/>
      <c r="R95" s="132"/>
      <c r="Y95" s="266"/>
      <c r="Z95" s="266"/>
      <c r="AA95" s="266"/>
      <c r="AB95" s="266"/>
      <c r="AC95" s="266"/>
    </row>
    <row r="96" spans="1:29" x14ac:dyDescent="0.25">
      <c r="A96" s="749"/>
      <c r="B96" s="749"/>
      <c r="C96" s="749"/>
      <c r="D96" s="749"/>
      <c r="E96" s="749"/>
      <c r="F96" s="749"/>
      <c r="G96" s="749"/>
      <c r="H96" s="749"/>
      <c r="I96" s="749"/>
      <c r="J96" s="749"/>
      <c r="K96" s="749"/>
      <c r="L96" s="749"/>
      <c r="M96" s="408"/>
      <c r="N96" s="408"/>
      <c r="O96" s="408"/>
      <c r="P96" s="408"/>
      <c r="Q96" s="408"/>
      <c r="R96" s="132"/>
      <c r="Y96" s="266"/>
      <c r="Z96" s="266"/>
      <c r="AA96" s="266"/>
      <c r="AB96" s="266"/>
      <c r="AC96" s="266"/>
    </row>
    <row r="97" spans="1:29" x14ac:dyDescent="0.25">
      <c r="A97" s="750"/>
      <c r="B97" s="750"/>
      <c r="C97" s="750"/>
      <c r="D97" s="750"/>
      <c r="E97" s="750"/>
      <c r="F97" s="750"/>
      <c r="G97" s="750"/>
      <c r="H97" s="750"/>
      <c r="I97" s="750"/>
      <c r="J97" s="750"/>
      <c r="K97" s="750"/>
      <c r="L97" s="750"/>
      <c r="M97" s="750"/>
      <c r="N97" s="750"/>
      <c r="O97" s="750"/>
      <c r="P97" s="750"/>
      <c r="Q97" s="750"/>
      <c r="R97" s="132"/>
      <c r="Y97" s="266"/>
      <c r="Z97" s="266"/>
      <c r="AA97" s="266"/>
      <c r="AB97" s="266"/>
      <c r="AC97" s="266"/>
    </row>
    <row r="98" spans="1:29" x14ac:dyDescent="0.25">
      <c r="A98" s="750"/>
      <c r="B98" s="750"/>
      <c r="C98" s="750"/>
      <c r="D98" s="750"/>
      <c r="E98" s="750"/>
      <c r="F98" s="750"/>
      <c r="G98" s="750"/>
      <c r="H98" s="750"/>
      <c r="I98" s="750"/>
      <c r="J98" s="750"/>
      <c r="K98" s="750"/>
      <c r="L98" s="750"/>
      <c r="M98" s="750"/>
      <c r="N98" s="750"/>
      <c r="O98" s="750"/>
      <c r="P98" s="750"/>
      <c r="Q98" s="750"/>
      <c r="R98" s="132"/>
      <c r="Y98" s="266"/>
      <c r="Z98" s="266"/>
      <c r="AA98" s="266"/>
      <c r="AB98" s="266"/>
      <c r="AC98" s="266"/>
    </row>
    <row r="99" spans="1:29" x14ac:dyDescent="0.25">
      <c r="A99" s="750"/>
      <c r="B99" s="750"/>
      <c r="C99" s="750"/>
      <c r="D99" s="750"/>
      <c r="E99" s="750"/>
      <c r="F99" s="750"/>
      <c r="G99" s="750"/>
      <c r="H99" s="750"/>
      <c r="I99" s="750"/>
      <c r="J99" s="750"/>
      <c r="K99" s="750"/>
      <c r="L99" s="750"/>
      <c r="M99" s="750"/>
      <c r="N99" s="750"/>
      <c r="O99" s="750"/>
      <c r="P99" s="750"/>
      <c r="Q99" s="750"/>
      <c r="R99" s="132"/>
      <c r="Y99" s="266"/>
      <c r="Z99" s="266"/>
      <c r="AA99" s="266"/>
      <c r="AB99" s="266"/>
      <c r="AC99" s="266"/>
    </row>
    <row r="100" spans="1:29" x14ac:dyDescent="0.25">
      <c r="A100" s="750"/>
      <c r="B100" s="750"/>
      <c r="C100" s="750"/>
      <c r="D100" s="750"/>
      <c r="E100" s="750"/>
      <c r="F100" s="750"/>
      <c r="G100" s="750"/>
      <c r="H100" s="750"/>
      <c r="I100" s="750"/>
      <c r="J100" s="750"/>
      <c r="K100" s="750"/>
      <c r="L100" s="750"/>
      <c r="M100" s="750"/>
      <c r="N100" s="750"/>
      <c r="O100" s="750"/>
      <c r="P100" s="750"/>
      <c r="Q100" s="750"/>
      <c r="R100" s="132"/>
      <c r="Y100" s="266"/>
      <c r="Z100" s="266"/>
      <c r="AA100" s="266"/>
      <c r="AB100" s="266"/>
      <c r="AC100" s="266"/>
    </row>
    <row r="101" spans="1:29" x14ac:dyDescent="0.25">
      <c r="A101" s="549"/>
      <c r="B101" s="549"/>
      <c r="C101" s="549"/>
      <c r="D101" s="549"/>
      <c r="E101" s="549"/>
      <c r="F101" s="549"/>
      <c r="G101" s="549"/>
      <c r="H101" s="549"/>
      <c r="I101" s="549"/>
      <c r="J101" s="549"/>
      <c r="K101" s="549"/>
      <c r="L101" s="549"/>
      <c r="M101" s="549"/>
      <c r="N101" s="549"/>
      <c r="O101" s="549"/>
      <c r="P101" s="549"/>
      <c r="Q101" s="549"/>
      <c r="R101" s="132"/>
      <c r="Y101" s="266"/>
      <c r="Z101" s="266"/>
      <c r="AA101" s="266"/>
      <c r="AB101" s="266"/>
      <c r="AC101" s="266"/>
    </row>
    <row r="102" spans="1:29" x14ac:dyDescent="0.25">
      <c r="A102" s="147"/>
      <c r="B102" s="147"/>
      <c r="C102" s="147"/>
      <c r="D102" s="147"/>
      <c r="E102" s="147"/>
      <c r="F102" s="147"/>
      <c r="G102" s="147"/>
      <c r="H102" s="147"/>
      <c r="I102" s="147"/>
      <c r="J102" s="147"/>
      <c r="K102" s="147"/>
      <c r="L102" s="147"/>
      <c r="M102" s="549"/>
      <c r="N102" s="549"/>
      <c r="O102" s="549"/>
      <c r="P102" s="549"/>
      <c r="Q102" s="549"/>
      <c r="R102" s="132"/>
      <c r="Y102" s="266"/>
      <c r="Z102" s="266"/>
      <c r="AA102" s="266"/>
      <c r="AB102" s="266"/>
      <c r="AC102" s="266"/>
    </row>
    <row r="103" spans="1:29" x14ac:dyDescent="0.25">
      <c r="B103"/>
    </row>
  </sheetData>
  <sheetProtection algorithmName="SHA-512" hashValue="9y4RSNBtBH8HzoDyyagbYFKG9v5dzXIE519QlCA7Aq9mU5uvqXNsybaADH5eXGpVGyZBI/jQz74kxhX9XxR6UQ==" saltValue="t+tqtqOOgbOr3aGl5WTomw==" spinCount="100000" sheet="1" objects="1" scenarios="1"/>
  <mergeCells count="1">
    <mergeCell ref="B21:Q21"/>
  </mergeCells>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9EE95-B035-47E8-A59A-508223147869}">
  <sheetPr>
    <tabColor theme="8" tint="-0.499984740745262"/>
    <pageSetUpPr fitToPage="1"/>
  </sheetPr>
  <dimension ref="A1:AH105"/>
  <sheetViews>
    <sheetView showGridLines="0" zoomScale="80" zoomScaleNormal="80" zoomScaleSheetLayoutView="30" workbookViewId="0"/>
  </sheetViews>
  <sheetFormatPr defaultColWidth="8.5703125" defaultRowHeight="15" x14ac:dyDescent="0.25"/>
  <cols>
    <col min="1" max="1" width="3.5703125" customWidth="1"/>
    <col min="2" max="2" width="64.85546875" style="1" customWidth="1"/>
    <col min="3" max="9" width="12.5703125" customWidth="1"/>
    <col min="10" max="10" width="1.85546875" customWidth="1"/>
    <col min="11" max="17" width="12.5703125" customWidth="1"/>
    <col min="18" max="18" width="11.42578125" customWidth="1"/>
    <col min="19" max="20" width="10.5703125" customWidth="1"/>
    <col min="22" max="35" width="0" hidden="1" customWidth="1"/>
  </cols>
  <sheetData>
    <row r="1" spans="1:34" ht="35.1" customHeight="1" x14ac:dyDescent="0.25">
      <c r="B1" s="583" t="str">
        <f>'Capacity (local prices)'!B1</f>
        <v>Menopause: identification and management (update)</v>
      </c>
      <c r="C1" s="126"/>
      <c r="D1" s="126"/>
      <c r="E1" s="126"/>
      <c r="F1" s="126"/>
      <c r="G1" s="126"/>
      <c r="H1" s="126"/>
      <c r="I1" s="126"/>
      <c r="J1" s="126"/>
      <c r="K1" s="126"/>
      <c r="L1" s="126"/>
      <c r="M1" s="126"/>
      <c r="N1" s="126"/>
      <c r="O1" s="126"/>
      <c r="P1" s="126"/>
      <c r="Q1" s="126"/>
      <c r="R1" s="126"/>
      <c r="S1" s="126"/>
      <c r="T1" s="126"/>
    </row>
    <row r="2" spans="1:34" ht="42.6" customHeight="1" x14ac:dyDescent="0.25">
      <c r="B2" s="203" t="s">
        <v>672</v>
      </c>
      <c r="C2" s="126" t="s">
        <v>71</v>
      </c>
      <c r="D2" s="126" t="s">
        <v>71</v>
      </c>
      <c r="E2" s="126" t="s">
        <v>71</v>
      </c>
      <c r="F2" s="126" t="s">
        <v>71</v>
      </c>
      <c r="G2" s="126" t="s">
        <v>71</v>
      </c>
      <c r="H2" s="126" t="s">
        <v>71</v>
      </c>
      <c r="I2" s="126" t="s">
        <v>71</v>
      </c>
      <c r="J2" s="126" t="s">
        <v>71</v>
      </c>
      <c r="K2" s="126" t="s">
        <v>71</v>
      </c>
      <c r="L2" s="126" t="s">
        <v>71</v>
      </c>
      <c r="M2" s="126" t="s">
        <v>71</v>
      </c>
      <c r="N2" s="126" t="s">
        <v>71</v>
      </c>
      <c r="O2" s="126" t="s">
        <v>71</v>
      </c>
      <c r="P2" s="126"/>
      <c r="Q2" s="126"/>
      <c r="R2" s="126"/>
      <c r="S2" s="126"/>
      <c r="T2" s="126"/>
    </row>
    <row r="3" spans="1:34" ht="14.85" customHeight="1" x14ac:dyDescent="0.25">
      <c r="B3" s="129" t="s">
        <v>71</v>
      </c>
      <c r="C3" s="132" t="s">
        <v>71</v>
      </c>
      <c r="D3" s="132" t="s">
        <v>71</v>
      </c>
      <c r="E3" s="132" t="s">
        <v>71</v>
      </c>
      <c r="F3" s="132" t="s">
        <v>71</v>
      </c>
      <c r="G3" s="132" t="s">
        <v>71</v>
      </c>
      <c r="H3" s="132" t="s">
        <v>71</v>
      </c>
      <c r="I3" s="132" t="s">
        <v>71</v>
      </c>
      <c r="J3" s="132" t="s">
        <v>71</v>
      </c>
      <c r="K3" s="132" t="s">
        <v>71</v>
      </c>
      <c r="L3" s="132" t="s">
        <v>71</v>
      </c>
      <c r="M3" s="132" t="s">
        <v>71</v>
      </c>
      <c r="N3" s="132" t="s">
        <v>71</v>
      </c>
      <c r="O3" s="132" t="s">
        <v>71</v>
      </c>
      <c r="P3" s="132"/>
      <c r="Q3" s="132"/>
      <c r="R3" s="126"/>
      <c r="S3" s="132"/>
      <c r="T3" s="132"/>
    </row>
    <row r="4" spans="1:34" ht="14.85" customHeight="1" x14ac:dyDescent="0.25">
      <c r="B4" t="s">
        <v>669</v>
      </c>
      <c r="C4" s="132"/>
      <c r="D4" s="132"/>
      <c r="E4" s="132"/>
      <c r="F4" s="132"/>
      <c r="G4" s="132"/>
      <c r="H4" s="132"/>
      <c r="I4" s="132"/>
      <c r="J4" s="132"/>
      <c r="K4" s="132"/>
      <c r="L4" s="132"/>
      <c r="M4" s="132"/>
      <c r="N4" s="132"/>
      <c r="O4" s="132"/>
      <c r="P4" s="132"/>
      <c r="Q4" s="132"/>
      <c r="R4" s="132"/>
      <c r="S4" s="132"/>
      <c r="T4" s="132"/>
    </row>
    <row r="5" spans="1:34" ht="14.85" customHeight="1" x14ac:dyDescent="0.25">
      <c r="B5" s="5"/>
      <c r="F5" s="132"/>
      <c r="G5" s="132"/>
      <c r="H5" s="132"/>
      <c r="I5" s="132"/>
      <c r="J5" s="132"/>
      <c r="K5" s="132"/>
      <c r="L5" s="132"/>
      <c r="M5" s="132"/>
      <c r="N5" s="132"/>
      <c r="O5" s="132"/>
      <c r="P5" s="132"/>
      <c r="Q5" s="132"/>
      <c r="R5" s="132"/>
      <c r="S5" s="132"/>
      <c r="T5" s="132"/>
    </row>
    <row r="6" spans="1:34" ht="45" x14ac:dyDescent="0.25">
      <c r="B6" s="242" t="s">
        <v>100</v>
      </c>
      <c r="C6" s="201"/>
      <c r="D6" s="330" t="s">
        <v>660</v>
      </c>
      <c r="E6" s="240" t="s">
        <v>47</v>
      </c>
      <c r="F6" s="240" t="s">
        <v>48</v>
      </c>
      <c r="G6" s="164" t="s">
        <v>661</v>
      </c>
      <c r="H6" s="164" t="s">
        <v>662</v>
      </c>
      <c r="I6" s="240" t="s">
        <v>663</v>
      </c>
      <c r="L6" s="132"/>
      <c r="M6" s="132"/>
      <c r="N6" s="132"/>
      <c r="O6" s="132"/>
      <c r="P6" s="132"/>
      <c r="Q6" s="132"/>
      <c r="R6" s="132"/>
      <c r="S6" s="132"/>
      <c r="T6" s="132"/>
      <c r="AD6" s="266"/>
      <c r="AE6" s="266"/>
      <c r="AF6" s="266"/>
      <c r="AG6" s="266"/>
      <c r="AH6" s="266"/>
    </row>
    <row r="7" spans="1:34" ht="14.85" customHeight="1" x14ac:dyDescent="0.25">
      <c r="B7" s="165" t="str">
        <f>'Capacity (local prices)'!B7</f>
        <v>People with VMS</v>
      </c>
      <c r="C7" s="166"/>
      <c r="D7" s="371">
        <f>'Inputs and eligible population'!L52</f>
        <v>1295318.8651964571</v>
      </c>
      <c r="E7" s="371">
        <f>'Inputs and eligible population'!M52</f>
        <v>1313099.9736043517</v>
      </c>
      <c r="F7" s="371">
        <f>'Inputs and eligible population'!N52</f>
        <v>1331125.1669435389</v>
      </c>
      <c r="G7" s="371">
        <f>'Inputs and eligible population'!O52</f>
        <v>1349397.7958180592</v>
      </c>
      <c r="H7" s="371">
        <f>'Inputs and eligible population'!P52</f>
        <v>1367921.2568263849</v>
      </c>
      <c r="I7" s="371">
        <f>'Inputs and eligible population'!Q52</f>
        <v>1386698.9931927926</v>
      </c>
      <c r="P7" s="132"/>
      <c r="Q7" s="132"/>
      <c r="R7" s="126"/>
      <c r="S7" s="132"/>
      <c r="T7" s="132"/>
      <c r="AD7" s="266"/>
      <c r="AE7" s="266"/>
      <c r="AF7" s="266"/>
      <c r="AG7" s="266"/>
      <c r="AH7" s="266"/>
    </row>
    <row r="8" spans="1:34" ht="14.85" customHeight="1" x14ac:dyDescent="0.25">
      <c r="B8"/>
      <c r="P8" s="132"/>
      <c r="Q8" s="132"/>
      <c r="R8" s="126"/>
      <c r="S8" s="132"/>
      <c r="T8" s="132"/>
      <c r="AD8" s="266"/>
      <c r="AE8" s="266"/>
      <c r="AF8" s="266"/>
      <c r="AG8" s="266"/>
      <c r="AH8" s="266"/>
    </row>
    <row r="9" spans="1:34" ht="60" x14ac:dyDescent="0.25">
      <c r="B9" s="259" t="s">
        <v>670</v>
      </c>
      <c r="C9" s="551"/>
      <c r="D9" s="330" t="s">
        <v>660</v>
      </c>
      <c r="E9" s="240" t="s">
        <v>47</v>
      </c>
      <c r="F9" s="240" t="s">
        <v>48</v>
      </c>
      <c r="G9" s="164" t="s">
        <v>661</v>
      </c>
      <c r="H9" s="164" t="s">
        <v>662</v>
      </c>
      <c r="I9" s="240" t="s">
        <v>663</v>
      </c>
      <c r="J9" s="409"/>
      <c r="L9" s="217" t="s">
        <v>877</v>
      </c>
      <c r="M9" s="240" t="s">
        <v>878</v>
      </c>
      <c r="N9" s="240" t="s">
        <v>879</v>
      </c>
      <c r="O9" s="240" t="s">
        <v>880</v>
      </c>
      <c r="P9" s="240" t="s">
        <v>881</v>
      </c>
      <c r="Q9" s="240" t="s">
        <v>882</v>
      </c>
      <c r="R9" s="126"/>
      <c r="S9" s="132"/>
      <c r="T9" s="132"/>
      <c r="AD9" s="266"/>
      <c r="AE9" s="266"/>
      <c r="AF9" s="266"/>
      <c r="AG9" s="266"/>
      <c r="AH9" s="266"/>
    </row>
    <row r="10" spans="1:34" ht="14.85" customHeight="1" x14ac:dyDescent="0.25">
      <c r="A10" s="271"/>
      <c r="B10" s="552" t="s">
        <v>1000</v>
      </c>
      <c r="C10" s="332"/>
      <c r="D10" s="329">
        <f>D26</f>
        <v>0</v>
      </c>
      <c r="E10" s="329">
        <f t="shared" ref="E10:I10" si="0">E26</f>
        <v>0</v>
      </c>
      <c r="F10" s="329">
        <f t="shared" si="0"/>
        <v>0</v>
      </c>
      <c r="G10" s="329">
        <f t="shared" si="0"/>
        <v>0</v>
      </c>
      <c r="H10" s="329">
        <f t="shared" si="0"/>
        <v>0</v>
      </c>
      <c r="I10" s="329">
        <f t="shared" si="0"/>
        <v>0</v>
      </c>
      <c r="L10" s="584"/>
      <c r="M10" s="584"/>
      <c r="N10" s="584"/>
      <c r="O10" s="584"/>
      <c r="P10" s="584"/>
      <c r="Q10" s="584"/>
      <c r="R10" s="585"/>
      <c r="S10" s="132"/>
      <c r="T10" s="132"/>
      <c r="AD10" s="266"/>
      <c r="AE10" s="266"/>
      <c r="AF10" s="266"/>
      <c r="AG10" s="266"/>
      <c r="AH10" s="266"/>
    </row>
    <row r="11" spans="1:34" ht="14.85" customHeight="1" x14ac:dyDescent="0.25">
      <c r="A11" s="271"/>
      <c r="B11" s="552" t="s">
        <v>1001</v>
      </c>
      <c r="C11" s="332"/>
      <c r="D11" s="329">
        <f>D32</f>
        <v>0</v>
      </c>
      <c r="E11" s="329">
        <f t="shared" ref="E11:I11" si="1">E31</f>
        <v>0</v>
      </c>
      <c r="F11" s="329">
        <f t="shared" si="1"/>
        <v>0</v>
      </c>
      <c r="G11" s="329">
        <f t="shared" si="1"/>
        <v>0</v>
      </c>
      <c r="H11" s="329">
        <f t="shared" si="1"/>
        <v>0</v>
      </c>
      <c r="I11" s="329">
        <f t="shared" si="1"/>
        <v>0</v>
      </c>
      <c r="L11" s="268">
        <f>L32</f>
        <v>0</v>
      </c>
      <c r="M11" s="268">
        <f t="shared" ref="M11:Q11" si="2">M32</f>
        <v>0</v>
      </c>
      <c r="N11" s="268">
        <f t="shared" si="2"/>
        <v>0</v>
      </c>
      <c r="O11" s="268">
        <f t="shared" si="2"/>
        <v>0</v>
      </c>
      <c r="P11" s="268">
        <f t="shared" si="2"/>
        <v>0</v>
      </c>
      <c r="Q11" s="268">
        <f t="shared" si="2"/>
        <v>0</v>
      </c>
      <c r="R11" s="585"/>
      <c r="S11" s="132"/>
      <c r="T11" s="132"/>
      <c r="AD11" s="266"/>
      <c r="AE11" s="266"/>
      <c r="AF11" s="266"/>
      <c r="AG11" s="266"/>
      <c r="AH11" s="266"/>
    </row>
    <row r="12" spans="1:34" ht="14.85" customHeight="1" x14ac:dyDescent="0.25">
      <c r="A12" s="575"/>
      <c r="B12" s="773" t="s">
        <v>972</v>
      </c>
      <c r="C12" s="765"/>
      <c r="D12" s="766">
        <f>D43</f>
        <v>0</v>
      </c>
      <c r="E12" s="766">
        <f t="shared" ref="E12:I12" si="3">E43</f>
        <v>0</v>
      </c>
      <c r="F12" s="766">
        <f t="shared" si="3"/>
        <v>0</v>
      </c>
      <c r="G12" s="766">
        <f t="shared" si="3"/>
        <v>0</v>
      </c>
      <c r="H12" s="766">
        <f t="shared" si="3"/>
        <v>0</v>
      </c>
      <c r="I12" s="766">
        <f t="shared" si="3"/>
        <v>0</v>
      </c>
      <c r="L12" s="268">
        <f>L43</f>
        <v>0</v>
      </c>
      <c r="M12" s="268">
        <f t="shared" ref="M12:Q12" si="4">M43</f>
        <v>0</v>
      </c>
      <c r="N12" s="268">
        <f t="shared" si="4"/>
        <v>0</v>
      </c>
      <c r="O12" s="268">
        <f t="shared" si="4"/>
        <v>0</v>
      </c>
      <c r="P12" s="268">
        <f t="shared" si="4"/>
        <v>0</v>
      </c>
      <c r="Q12" s="268">
        <f t="shared" si="4"/>
        <v>0</v>
      </c>
      <c r="R12" s="585"/>
      <c r="S12" s="132"/>
      <c r="T12" s="132"/>
      <c r="AD12" s="266"/>
      <c r="AE12" s="266"/>
      <c r="AF12" s="266"/>
      <c r="AG12" s="266"/>
      <c r="AH12" s="266"/>
    </row>
    <row r="13" spans="1:34" ht="14.85" customHeight="1" x14ac:dyDescent="0.25">
      <c r="A13" s="267"/>
      <c r="B13" s="774" t="s">
        <v>973</v>
      </c>
      <c r="C13" s="768"/>
      <c r="D13" s="769">
        <f>D60</f>
        <v>0</v>
      </c>
      <c r="E13" s="769">
        <f t="shared" ref="E13:I13" si="5">E60</f>
        <v>0</v>
      </c>
      <c r="F13" s="769">
        <f t="shared" si="5"/>
        <v>0</v>
      </c>
      <c r="G13" s="769">
        <f t="shared" si="5"/>
        <v>0</v>
      </c>
      <c r="H13" s="769">
        <f t="shared" si="5"/>
        <v>0</v>
      </c>
      <c r="I13" s="769">
        <f t="shared" si="5"/>
        <v>0</v>
      </c>
      <c r="L13" s="268">
        <f>L60</f>
        <v>0</v>
      </c>
      <c r="M13" s="268">
        <f t="shared" ref="M13:Q13" si="6">M60</f>
        <v>0</v>
      </c>
      <c r="N13" s="268">
        <f t="shared" si="6"/>
        <v>0</v>
      </c>
      <c r="O13" s="268">
        <f t="shared" si="6"/>
        <v>0</v>
      </c>
      <c r="P13" s="268">
        <f t="shared" si="6"/>
        <v>0</v>
      </c>
      <c r="Q13" s="268">
        <f t="shared" si="6"/>
        <v>0</v>
      </c>
      <c r="R13" s="585"/>
      <c r="S13" s="132"/>
      <c r="T13" s="132"/>
      <c r="AD13" s="266"/>
      <c r="AE13" s="266"/>
      <c r="AF13" s="266"/>
      <c r="AG13" s="266"/>
      <c r="AH13" s="266"/>
    </row>
    <row r="14" spans="1:34" ht="14.85" customHeight="1" x14ac:dyDescent="0.25">
      <c r="A14" s="267"/>
      <c r="B14" s="774" t="s">
        <v>974</v>
      </c>
      <c r="C14" s="768"/>
      <c r="D14" s="769">
        <f>D66</f>
        <v>0</v>
      </c>
      <c r="E14" s="769">
        <f t="shared" ref="E14:I14" si="7">E66</f>
        <v>0</v>
      </c>
      <c r="F14" s="769">
        <f t="shared" si="7"/>
        <v>0</v>
      </c>
      <c r="G14" s="769">
        <f t="shared" si="7"/>
        <v>0</v>
      </c>
      <c r="H14" s="769">
        <f t="shared" si="7"/>
        <v>0</v>
      </c>
      <c r="I14" s="769">
        <f t="shared" si="7"/>
        <v>0</v>
      </c>
      <c r="L14" s="268">
        <f>L66</f>
        <v>0</v>
      </c>
      <c r="M14" s="268">
        <f t="shared" ref="M14:Q14" si="8">M66</f>
        <v>0</v>
      </c>
      <c r="N14" s="268">
        <f t="shared" si="8"/>
        <v>0</v>
      </c>
      <c r="O14" s="268">
        <f t="shared" si="8"/>
        <v>0</v>
      </c>
      <c r="P14" s="268">
        <f t="shared" si="8"/>
        <v>0</v>
      </c>
      <c r="Q14" s="268">
        <f t="shared" si="8"/>
        <v>0</v>
      </c>
      <c r="R14" s="585"/>
      <c r="S14" s="132"/>
      <c r="T14" s="132"/>
      <c r="AD14" s="266"/>
      <c r="AE14" s="266"/>
      <c r="AF14" s="266"/>
      <c r="AG14" s="266"/>
      <c r="AH14" s="266"/>
    </row>
    <row r="15" spans="1:34" ht="14.85" customHeight="1" x14ac:dyDescent="0.25">
      <c r="A15" s="267"/>
      <c r="B15" s="774" t="s">
        <v>990</v>
      </c>
      <c r="C15" s="768"/>
      <c r="D15" s="769">
        <f>D72</f>
        <v>0</v>
      </c>
      <c r="E15" s="769">
        <f t="shared" ref="E15:I15" si="9">E72</f>
        <v>0</v>
      </c>
      <c r="F15" s="769">
        <f t="shared" si="9"/>
        <v>0</v>
      </c>
      <c r="G15" s="769">
        <f t="shared" si="9"/>
        <v>0</v>
      </c>
      <c r="H15" s="769">
        <f t="shared" si="9"/>
        <v>0</v>
      </c>
      <c r="I15" s="769">
        <f t="shared" si="9"/>
        <v>0</v>
      </c>
      <c r="L15" s="268">
        <f>L72</f>
        <v>0</v>
      </c>
      <c r="M15" s="268">
        <f t="shared" ref="M15:Q15" si="10">M72</f>
        <v>0</v>
      </c>
      <c r="N15" s="268">
        <f t="shared" si="10"/>
        <v>0</v>
      </c>
      <c r="O15" s="268">
        <f t="shared" si="10"/>
        <v>0</v>
      </c>
      <c r="P15" s="268">
        <f t="shared" si="10"/>
        <v>0</v>
      </c>
      <c r="Q15" s="268">
        <f t="shared" si="10"/>
        <v>0</v>
      </c>
      <c r="R15" s="585"/>
      <c r="S15" s="132"/>
      <c r="T15" s="132"/>
      <c r="AD15" s="266"/>
      <c r="AE15" s="266"/>
      <c r="AF15" s="266"/>
      <c r="AG15" s="266"/>
      <c r="AH15" s="266"/>
    </row>
    <row r="16" spans="1:34" ht="14.85" customHeight="1" x14ac:dyDescent="0.25">
      <c r="A16" s="267"/>
      <c r="B16" s="774" t="s">
        <v>991</v>
      </c>
      <c r="C16" s="768"/>
      <c r="D16" s="769">
        <f>D78</f>
        <v>0</v>
      </c>
      <c r="E16" s="769">
        <f t="shared" ref="E16:I16" si="11">E78</f>
        <v>0</v>
      </c>
      <c r="F16" s="769">
        <f t="shared" si="11"/>
        <v>0</v>
      </c>
      <c r="G16" s="769">
        <f t="shared" si="11"/>
        <v>0</v>
      </c>
      <c r="H16" s="769">
        <f t="shared" si="11"/>
        <v>0</v>
      </c>
      <c r="I16" s="769">
        <f t="shared" si="11"/>
        <v>0</v>
      </c>
      <c r="L16" s="268">
        <f>L78</f>
        <v>0</v>
      </c>
      <c r="M16" s="268">
        <f t="shared" ref="M16:Q16" si="12">M78</f>
        <v>0</v>
      </c>
      <c r="N16" s="268">
        <f t="shared" si="12"/>
        <v>0</v>
      </c>
      <c r="O16" s="268">
        <f t="shared" si="12"/>
        <v>0</v>
      </c>
      <c r="P16" s="268">
        <f t="shared" si="12"/>
        <v>0</v>
      </c>
      <c r="Q16" s="268">
        <f t="shared" si="12"/>
        <v>0</v>
      </c>
      <c r="R16" s="585"/>
      <c r="S16" s="132"/>
      <c r="T16" s="132"/>
      <c r="AD16" s="266"/>
      <c r="AE16" s="266"/>
      <c r="AF16" s="266"/>
      <c r="AG16" s="266"/>
      <c r="AH16" s="266"/>
    </row>
    <row r="17" spans="1:34" ht="14.85" customHeight="1" x14ac:dyDescent="0.25">
      <c r="A17" s="737"/>
      <c r="B17" s="770" t="s">
        <v>992</v>
      </c>
      <c r="C17" s="771"/>
      <c r="D17" s="772">
        <f>D85</f>
        <v>0</v>
      </c>
      <c r="E17" s="772">
        <f t="shared" ref="E17:I17" si="13">E85</f>
        <v>0</v>
      </c>
      <c r="F17" s="772">
        <f t="shared" si="13"/>
        <v>0</v>
      </c>
      <c r="G17" s="772">
        <f t="shared" si="13"/>
        <v>0</v>
      </c>
      <c r="H17" s="772">
        <f t="shared" si="13"/>
        <v>0</v>
      </c>
      <c r="I17" s="772">
        <f t="shared" si="13"/>
        <v>0</v>
      </c>
      <c r="L17" s="268">
        <f>L85</f>
        <v>0</v>
      </c>
      <c r="M17" s="268">
        <f t="shared" ref="M17:Q17" si="14">M85</f>
        <v>0</v>
      </c>
      <c r="N17" s="268">
        <f t="shared" si="14"/>
        <v>0</v>
      </c>
      <c r="O17" s="268">
        <f t="shared" si="14"/>
        <v>0</v>
      </c>
      <c r="P17" s="268">
        <f t="shared" si="14"/>
        <v>0</v>
      </c>
      <c r="Q17" s="268">
        <f t="shared" si="14"/>
        <v>0</v>
      </c>
      <c r="R17" s="585"/>
      <c r="S17" s="132"/>
      <c r="T17" s="132"/>
      <c r="AD17" s="266"/>
      <c r="AE17" s="266"/>
      <c r="AF17" s="266"/>
      <c r="AG17" s="266"/>
      <c r="AH17" s="266"/>
    </row>
    <row r="18" spans="1:34" ht="14.85" customHeight="1" x14ac:dyDescent="0.25">
      <c r="A18" s="737"/>
      <c r="B18" s="770" t="s">
        <v>1041</v>
      </c>
      <c r="C18" s="771"/>
      <c r="D18" s="772">
        <f>D91</f>
        <v>0</v>
      </c>
      <c r="E18" s="772">
        <f t="shared" ref="E18:I18" si="15">E91</f>
        <v>0</v>
      </c>
      <c r="F18" s="772">
        <f t="shared" si="15"/>
        <v>0</v>
      </c>
      <c r="G18" s="772">
        <f t="shared" si="15"/>
        <v>0</v>
      </c>
      <c r="H18" s="772">
        <f t="shared" si="15"/>
        <v>0</v>
      </c>
      <c r="I18" s="772">
        <f t="shared" si="15"/>
        <v>0</v>
      </c>
      <c r="L18" s="268">
        <f>L91</f>
        <v>0</v>
      </c>
      <c r="M18" s="268">
        <f t="shared" ref="M18:Q18" si="16">M91</f>
        <v>0</v>
      </c>
      <c r="N18" s="268">
        <f t="shared" si="16"/>
        <v>0</v>
      </c>
      <c r="O18" s="268">
        <f t="shared" si="16"/>
        <v>0</v>
      </c>
      <c r="P18" s="268">
        <f t="shared" si="16"/>
        <v>0</v>
      </c>
      <c r="Q18" s="268">
        <f t="shared" si="16"/>
        <v>0</v>
      </c>
      <c r="R18" s="585"/>
      <c r="S18" s="132"/>
      <c r="T18" s="132"/>
      <c r="AD18" s="266"/>
      <c r="AE18" s="266"/>
      <c r="AF18" s="266"/>
      <c r="AG18" s="266"/>
      <c r="AH18" s="266"/>
    </row>
    <row r="19" spans="1:34" ht="14.85" customHeight="1" x14ac:dyDescent="0.25">
      <c r="B19" s="230"/>
      <c r="D19" s="266"/>
      <c r="F19" s="132"/>
      <c r="G19" s="132"/>
      <c r="H19" s="132"/>
      <c r="I19" s="132"/>
      <c r="J19" s="132"/>
      <c r="L19" s="269">
        <f t="shared" ref="L19:Q19" si="17">SUM(L10:L18)</f>
        <v>0</v>
      </c>
      <c r="M19" s="269">
        <f t="shared" si="17"/>
        <v>0</v>
      </c>
      <c r="N19" s="269">
        <f t="shared" si="17"/>
        <v>0</v>
      </c>
      <c r="O19" s="269">
        <f t="shared" si="17"/>
        <v>0</v>
      </c>
      <c r="P19" s="269">
        <f t="shared" si="17"/>
        <v>0</v>
      </c>
      <c r="Q19" s="269">
        <f t="shared" si="17"/>
        <v>0</v>
      </c>
      <c r="R19" s="585"/>
      <c r="S19" s="132"/>
      <c r="T19" s="132"/>
    </row>
    <row r="20" spans="1:34" x14ac:dyDescent="0.25">
      <c r="B20" s="277"/>
      <c r="C20" s="277"/>
      <c r="D20" s="277"/>
      <c r="E20" s="277"/>
      <c r="F20" s="277"/>
      <c r="G20" s="277"/>
      <c r="H20" s="277"/>
      <c r="I20" s="277"/>
      <c r="J20" s="277"/>
      <c r="K20" s="277"/>
      <c r="O20" s="132"/>
      <c r="P20" s="132"/>
      <c r="Q20" s="132"/>
      <c r="R20" s="585"/>
      <c r="S20" s="132"/>
      <c r="T20" s="132"/>
      <c r="AD20" s="266"/>
      <c r="AE20" s="266"/>
      <c r="AF20" s="266"/>
      <c r="AG20" s="266"/>
      <c r="AH20" s="266"/>
    </row>
    <row r="21" spans="1:34" x14ac:dyDescent="0.25">
      <c r="B21" s="804" t="s">
        <v>671</v>
      </c>
      <c r="C21" s="804"/>
      <c r="D21" s="804"/>
      <c r="E21" s="804"/>
      <c r="F21" s="804"/>
      <c r="G21" s="804"/>
      <c r="H21" s="804"/>
      <c r="I21" s="804"/>
      <c r="J21" s="804"/>
      <c r="K21" s="804"/>
      <c r="L21" s="804"/>
      <c r="M21" s="804"/>
      <c r="N21" s="804"/>
      <c r="O21" s="804"/>
      <c r="P21" s="804"/>
      <c r="Q21" s="804"/>
      <c r="R21" s="585"/>
      <c r="S21" s="132"/>
      <c r="T21" s="132"/>
      <c r="AD21" s="266"/>
      <c r="AE21" s="266"/>
      <c r="AF21" s="266"/>
      <c r="AG21" s="266"/>
      <c r="AH21" s="266"/>
    </row>
    <row r="22" spans="1:34" x14ac:dyDescent="0.25">
      <c r="A22" s="271"/>
      <c r="B22" s="278"/>
      <c r="C22" s="272"/>
      <c r="D22" s="273"/>
      <c r="E22" s="274"/>
      <c r="F22" s="271"/>
      <c r="G22" s="271"/>
      <c r="H22" s="204"/>
      <c r="I22" s="204"/>
      <c r="J22" s="204"/>
      <c r="K22" s="204"/>
      <c r="L22" s="204"/>
      <c r="M22" s="204"/>
      <c r="N22" s="204"/>
      <c r="O22" s="204"/>
      <c r="P22" s="204"/>
      <c r="Q22" s="204"/>
      <c r="R22" s="585"/>
      <c r="S22" s="132"/>
      <c r="T22" s="132"/>
      <c r="AD22" s="266"/>
      <c r="AE22" s="266"/>
      <c r="AF22" s="266"/>
      <c r="AG22" s="266"/>
      <c r="AH22" s="266"/>
    </row>
    <row r="23" spans="1:34" x14ac:dyDescent="0.25">
      <c r="A23" s="275"/>
      <c r="B23" s="317" t="s">
        <v>1000</v>
      </c>
      <c r="C23" s="318"/>
      <c r="D23" s="318"/>
      <c r="E23" s="318"/>
      <c r="F23" s="318"/>
      <c r="G23" s="318"/>
      <c r="H23" s="318"/>
      <c r="I23" s="553"/>
      <c r="J23" s="204"/>
      <c r="K23" s="204"/>
      <c r="L23" s="204"/>
      <c r="M23" s="204"/>
      <c r="N23" s="204"/>
      <c r="O23" s="204"/>
      <c r="P23" s="204"/>
      <c r="Q23" s="204"/>
      <c r="R23" s="585"/>
      <c r="S23" s="132"/>
      <c r="T23" s="132"/>
      <c r="AD23" s="266"/>
      <c r="AE23" s="266"/>
      <c r="AF23" s="266"/>
      <c r="AG23" s="266"/>
      <c r="AH23" s="266"/>
    </row>
    <row r="24" spans="1:34" ht="45" x14ac:dyDescent="0.25">
      <c r="A24" s="275"/>
      <c r="B24" s="259" t="s">
        <v>94</v>
      </c>
      <c r="C24" s="201"/>
      <c r="D24" s="330" t="s">
        <v>660</v>
      </c>
      <c r="E24" s="240" t="s">
        <v>47</v>
      </c>
      <c r="F24" s="240" t="s">
        <v>48</v>
      </c>
      <c r="G24" s="164" t="s">
        <v>661</v>
      </c>
      <c r="H24" s="164" t="s">
        <v>662</v>
      </c>
      <c r="I24" s="240" t="s">
        <v>663</v>
      </c>
      <c r="J24" s="331"/>
      <c r="K24" s="204"/>
      <c r="L24" s="204"/>
      <c r="M24" s="204"/>
      <c r="N24" s="204"/>
      <c r="O24" s="204"/>
      <c r="P24" s="204"/>
      <c r="Q24" s="204"/>
      <c r="R24" s="585"/>
      <c r="S24" s="132"/>
      <c r="T24" s="132"/>
      <c r="AD24" s="266"/>
      <c r="AE24" s="266"/>
      <c r="AF24" s="266"/>
      <c r="AG24" s="266"/>
      <c r="AH24" s="266"/>
    </row>
    <row r="25" spans="1:34" x14ac:dyDescent="0.25">
      <c r="A25" s="275"/>
      <c r="B25" s="193" t="s">
        <v>1037</v>
      </c>
      <c r="C25" s="166"/>
      <c r="D25" s="555">
        <f>D7*'Inputs and eligible population'!$F$98</f>
        <v>0</v>
      </c>
      <c r="E25" s="555">
        <f>E7*'Inputs and eligible population'!$F$98</f>
        <v>0</v>
      </c>
      <c r="F25" s="555">
        <f>F7*'Inputs and eligible population'!$F$98</f>
        <v>0</v>
      </c>
      <c r="G25" s="555">
        <f>G7*'Inputs and eligible population'!$F$98</f>
        <v>0</v>
      </c>
      <c r="H25" s="555">
        <f>H7*'Inputs and eligible population'!$F$98</f>
        <v>0</v>
      </c>
      <c r="I25" s="555">
        <f>I7*'Inputs and eligible population'!$F$98</f>
        <v>0</v>
      </c>
      <c r="J25" s="331"/>
      <c r="K25" s="204"/>
      <c r="L25" s="204">
        <f>$K$25*D25/1000</f>
        <v>0</v>
      </c>
      <c r="M25" s="204">
        <f t="shared" ref="M25:Q25" si="18">$K$25*E25/1000</f>
        <v>0</v>
      </c>
      <c r="N25" s="204">
        <f t="shared" si="18"/>
        <v>0</v>
      </c>
      <c r="O25" s="204">
        <f t="shared" si="18"/>
        <v>0</v>
      </c>
      <c r="P25" s="204">
        <f t="shared" si="18"/>
        <v>0</v>
      </c>
      <c r="Q25" s="204">
        <f t="shared" si="18"/>
        <v>0</v>
      </c>
      <c r="R25" s="132"/>
      <c r="S25" s="132"/>
      <c r="T25" s="132"/>
      <c r="AD25" s="266"/>
      <c r="AE25" s="266"/>
      <c r="AF25" s="266"/>
      <c r="AG25" s="266"/>
      <c r="AH25" s="266"/>
    </row>
    <row r="26" spans="1:34" x14ac:dyDescent="0.25">
      <c r="A26" s="275"/>
      <c r="B26" s="586"/>
      <c r="C26" s="573"/>
      <c r="D26" s="182">
        <f t="shared" ref="D26:I26" si="19">SUM(D25:D25)</f>
        <v>0</v>
      </c>
      <c r="E26" s="182">
        <f t="shared" si="19"/>
        <v>0</v>
      </c>
      <c r="F26" s="182">
        <f t="shared" si="19"/>
        <v>0</v>
      </c>
      <c r="G26" s="182">
        <f t="shared" si="19"/>
        <v>0</v>
      </c>
      <c r="H26" s="182">
        <f t="shared" si="19"/>
        <v>0</v>
      </c>
      <c r="I26" s="182">
        <f t="shared" si="19"/>
        <v>0</v>
      </c>
      <c r="J26" s="331"/>
      <c r="K26" s="204"/>
      <c r="L26" s="204"/>
      <c r="M26" s="204"/>
      <c r="N26" s="204"/>
      <c r="O26" s="204"/>
      <c r="P26" s="204"/>
      <c r="Q26" s="204"/>
      <c r="R26" s="132"/>
      <c r="S26" s="132"/>
      <c r="T26" s="132"/>
      <c r="AD26" s="266"/>
      <c r="AE26" s="266"/>
      <c r="AF26" s="266"/>
      <c r="AG26" s="266"/>
      <c r="AH26" s="266"/>
    </row>
    <row r="27" spans="1:34" x14ac:dyDescent="0.25">
      <c r="A27" s="275"/>
      <c r="B27" s="241"/>
      <c r="C27" s="241"/>
      <c r="D27" s="265" t="s">
        <v>983</v>
      </c>
      <c r="E27" s="182">
        <f>E26-$D$26</f>
        <v>0</v>
      </c>
      <c r="F27" s="182">
        <f>F26-$D$26</f>
        <v>0</v>
      </c>
      <c r="G27" s="182">
        <f>G26-$D$26</f>
        <v>0</v>
      </c>
      <c r="H27" s="182">
        <f>H26-$D$26</f>
        <v>0</v>
      </c>
      <c r="I27" s="182">
        <f>I26-$D$26</f>
        <v>0</v>
      </c>
      <c r="J27" s="331"/>
      <c r="K27" s="204"/>
      <c r="L27" s="204"/>
      <c r="M27" s="204"/>
      <c r="N27" s="204"/>
      <c r="O27" s="204"/>
      <c r="P27" s="204"/>
      <c r="Q27" s="204"/>
      <c r="R27" s="132"/>
      <c r="S27" s="132"/>
      <c r="T27" s="132"/>
      <c r="AD27" s="266"/>
      <c r="AE27" s="266"/>
      <c r="AF27" s="266"/>
      <c r="AG27" s="266"/>
      <c r="AH27" s="266"/>
    </row>
    <row r="28" spans="1:34" x14ac:dyDescent="0.25">
      <c r="A28" s="271"/>
      <c r="B28" s="278"/>
      <c r="C28" s="272"/>
      <c r="D28" s="273"/>
      <c r="E28" s="274"/>
      <c r="F28" s="271"/>
      <c r="G28" s="271"/>
      <c r="H28" s="204"/>
      <c r="I28" s="204"/>
      <c r="J28" s="204"/>
      <c r="K28" s="204"/>
      <c r="L28" s="204"/>
      <c r="M28" s="204"/>
      <c r="N28" s="204"/>
      <c r="O28" s="204"/>
      <c r="P28" s="204"/>
      <c r="Q28" s="204"/>
      <c r="R28" s="132"/>
      <c r="S28" s="132"/>
      <c r="T28" s="132"/>
      <c r="AD28" s="266"/>
      <c r="AE28" s="266"/>
      <c r="AF28" s="266"/>
      <c r="AG28" s="266"/>
      <c r="AH28" s="266"/>
    </row>
    <row r="29" spans="1:34" x14ac:dyDescent="0.25">
      <c r="A29" s="275"/>
      <c r="B29" s="317" t="s">
        <v>1001</v>
      </c>
      <c r="C29" s="318"/>
      <c r="D29" s="318"/>
      <c r="E29" s="318"/>
      <c r="F29" s="318"/>
      <c r="G29" s="318"/>
      <c r="H29" s="318"/>
      <c r="I29" s="553"/>
      <c r="J29" s="204"/>
      <c r="K29" s="204"/>
      <c r="L29" s="204"/>
      <c r="M29" s="204"/>
      <c r="N29" s="204"/>
      <c r="O29" s="204"/>
      <c r="P29" s="204"/>
      <c r="Q29" s="204"/>
      <c r="R29" s="132"/>
      <c r="S29" s="132"/>
      <c r="T29" s="132"/>
      <c r="AD29" s="266"/>
      <c r="AE29" s="266"/>
      <c r="AF29" s="266"/>
      <c r="AG29" s="266"/>
      <c r="AH29" s="266"/>
    </row>
    <row r="30" spans="1:34" ht="45" x14ac:dyDescent="0.25">
      <c r="A30" s="275"/>
      <c r="B30" s="259" t="s">
        <v>94</v>
      </c>
      <c r="C30" s="201"/>
      <c r="D30" s="330" t="s">
        <v>660</v>
      </c>
      <c r="E30" s="240" t="s">
        <v>47</v>
      </c>
      <c r="F30" s="240" t="s">
        <v>48</v>
      </c>
      <c r="G30" s="164" t="s">
        <v>661</v>
      </c>
      <c r="H30" s="164" t="s">
        <v>662</v>
      </c>
      <c r="I30" s="240" t="s">
        <v>663</v>
      </c>
      <c r="J30" s="331"/>
      <c r="K30" s="164" t="s">
        <v>884</v>
      </c>
      <c r="L30" s="330" t="s">
        <v>660</v>
      </c>
      <c r="M30" s="240" t="s">
        <v>47</v>
      </c>
      <c r="N30" s="240" t="s">
        <v>48</v>
      </c>
      <c r="O30" s="164" t="s">
        <v>661</v>
      </c>
      <c r="P30" s="164" t="s">
        <v>662</v>
      </c>
      <c r="Q30" s="240" t="s">
        <v>663</v>
      </c>
      <c r="R30" s="132"/>
      <c r="S30" s="132"/>
      <c r="T30" s="132"/>
      <c r="AD30" s="266"/>
      <c r="AE30" s="266"/>
      <c r="AF30" s="266"/>
      <c r="AG30" s="266"/>
      <c r="AH30" s="266"/>
    </row>
    <row r="31" spans="1:34" x14ac:dyDescent="0.25">
      <c r="A31" s="275"/>
      <c r="B31" s="193" t="s">
        <v>1037</v>
      </c>
      <c r="C31" s="166"/>
      <c r="D31" s="555">
        <f>'Inputs and eligible population'!L77</f>
        <v>0</v>
      </c>
      <c r="E31" s="555">
        <f>'Inputs and eligible population'!M77</f>
        <v>0</v>
      </c>
      <c r="F31" s="555">
        <f>'Inputs and eligible population'!N77</f>
        <v>0</v>
      </c>
      <c r="G31" s="555">
        <f>'Inputs and eligible population'!O77</f>
        <v>0</v>
      </c>
      <c r="H31" s="555">
        <f>'Inputs and eligible population'!P77</f>
        <v>0</v>
      </c>
      <c r="I31" s="555">
        <f>'Inputs and eligible population'!Q77</f>
        <v>0</v>
      </c>
      <c r="J31" s="331"/>
      <c r="K31" s="556">
        <f>'Unit costs'!M41</f>
        <v>206.44294295390824</v>
      </c>
      <c r="L31" s="268">
        <f>$K$31*D31/1000</f>
        <v>0</v>
      </c>
      <c r="M31" s="268">
        <f t="shared" ref="M31:Q31" si="20">$K$31*E31/1000</f>
        <v>0</v>
      </c>
      <c r="N31" s="268">
        <f t="shared" si="20"/>
        <v>0</v>
      </c>
      <c r="O31" s="268">
        <f t="shared" si="20"/>
        <v>0</v>
      </c>
      <c r="P31" s="268">
        <f t="shared" si="20"/>
        <v>0</v>
      </c>
      <c r="Q31" s="268">
        <f t="shared" si="20"/>
        <v>0</v>
      </c>
      <c r="R31" s="132"/>
      <c r="S31" s="132"/>
      <c r="T31" s="132"/>
      <c r="AD31" s="266"/>
      <c r="AE31" s="266"/>
      <c r="AF31" s="266"/>
      <c r="AG31" s="266"/>
      <c r="AH31" s="266"/>
    </row>
    <row r="32" spans="1:34" x14ac:dyDescent="0.25">
      <c r="A32" s="275"/>
      <c r="B32" s="586"/>
      <c r="C32" s="573"/>
      <c r="D32" s="182">
        <f t="shared" ref="D32:I32" si="21">SUM(D31:D31)</f>
        <v>0</v>
      </c>
      <c r="E32" s="182">
        <f t="shared" si="21"/>
        <v>0</v>
      </c>
      <c r="F32" s="182">
        <f t="shared" si="21"/>
        <v>0</v>
      </c>
      <c r="G32" s="182">
        <f t="shared" si="21"/>
        <v>0</v>
      </c>
      <c r="H32" s="182">
        <f t="shared" si="21"/>
        <v>0</v>
      </c>
      <c r="I32" s="182">
        <f t="shared" si="21"/>
        <v>0</v>
      </c>
      <c r="J32" s="331"/>
      <c r="K32" s="557"/>
      <c r="L32" s="269">
        <f>SUM(L31)</f>
        <v>0</v>
      </c>
      <c r="M32" s="269">
        <f t="shared" ref="M32:Q32" si="22">SUM(M31)</f>
        <v>0</v>
      </c>
      <c r="N32" s="269">
        <f t="shared" si="22"/>
        <v>0</v>
      </c>
      <c r="O32" s="269">
        <f t="shared" si="22"/>
        <v>0</v>
      </c>
      <c r="P32" s="269">
        <f t="shared" si="22"/>
        <v>0</v>
      </c>
      <c r="Q32" s="269">
        <f t="shared" si="22"/>
        <v>0</v>
      </c>
      <c r="R32" s="132"/>
      <c r="S32" s="132"/>
      <c r="T32" s="132"/>
      <c r="AD32" s="266"/>
      <c r="AE32" s="266"/>
      <c r="AF32" s="266"/>
      <c r="AG32" s="266"/>
      <c r="AH32" s="266"/>
    </row>
    <row r="33" spans="1:34" x14ac:dyDescent="0.25">
      <c r="A33" s="275"/>
      <c r="B33" s="241"/>
      <c r="C33" s="241"/>
      <c r="D33" s="265" t="s">
        <v>983</v>
      </c>
      <c r="E33" s="182">
        <f>E32-$D$32</f>
        <v>0</v>
      </c>
      <c r="F33" s="182">
        <f t="shared" ref="F33:I33" si="23">F32-$D$32</f>
        <v>0</v>
      </c>
      <c r="G33" s="182">
        <f t="shared" si="23"/>
        <v>0</v>
      </c>
      <c r="H33" s="182">
        <f t="shared" si="23"/>
        <v>0</v>
      </c>
      <c r="I33" s="182">
        <f t="shared" si="23"/>
        <v>0</v>
      </c>
      <c r="J33" s="331"/>
      <c r="K33" s="204"/>
      <c r="L33" s="204"/>
      <c r="M33" s="269">
        <f>M32-$L$32</f>
        <v>0</v>
      </c>
      <c r="N33" s="269">
        <f t="shared" ref="N33:Q33" si="24">N32-$L$32</f>
        <v>0</v>
      </c>
      <c r="O33" s="269">
        <f t="shared" si="24"/>
        <v>0</v>
      </c>
      <c r="P33" s="269">
        <f t="shared" si="24"/>
        <v>0</v>
      </c>
      <c r="Q33" s="269">
        <f t="shared" si="24"/>
        <v>0</v>
      </c>
      <c r="R33" s="132"/>
      <c r="S33" s="132"/>
      <c r="T33" s="132"/>
      <c r="AD33" s="266"/>
      <c r="AE33" s="266"/>
      <c r="AF33" s="266"/>
      <c r="AG33" s="266"/>
      <c r="AH33" s="266"/>
    </row>
    <row r="34" spans="1:34" x14ac:dyDescent="0.25">
      <c r="A34" s="204"/>
      <c r="B34" s="204"/>
      <c r="C34" s="204"/>
      <c r="D34" s="204"/>
      <c r="E34" s="204"/>
      <c r="F34" s="204"/>
      <c r="G34" s="204"/>
      <c r="H34" s="204"/>
      <c r="I34" s="204"/>
      <c r="J34" s="204"/>
      <c r="K34" s="204"/>
      <c r="L34" s="204"/>
      <c r="M34" s="204"/>
      <c r="N34" s="204"/>
      <c r="O34" s="204"/>
      <c r="P34" s="204"/>
      <c r="Q34" s="204"/>
      <c r="S34" s="132"/>
      <c r="T34" s="132"/>
      <c r="AD34" s="266"/>
      <c r="AE34" s="266"/>
      <c r="AF34" s="266"/>
      <c r="AG34" s="266"/>
      <c r="AH34" s="266"/>
    </row>
    <row r="35" spans="1:34" x14ac:dyDescent="0.25">
      <c r="A35" s="562"/>
      <c r="B35" s="562"/>
      <c r="C35" s="562"/>
      <c r="D35" s="562"/>
      <c r="E35" s="562"/>
      <c r="F35" s="562"/>
      <c r="G35" s="562"/>
      <c r="H35" s="562"/>
      <c r="I35" s="562"/>
      <c r="J35" s="562"/>
      <c r="K35" s="562"/>
      <c r="L35" s="562"/>
      <c r="M35" s="562"/>
      <c r="N35" s="562"/>
      <c r="O35" s="562"/>
      <c r="P35" s="562"/>
      <c r="Q35" s="562"/>
      <c r="S35" s="132"/>
      <c r="T35" s="132"/>
      <c r="AD35" s="266"/>
      <c r="AE35" s="266"/>
      <c r="AF35" s="266"/>
      <c r="AG35" s="266"/>
      <c r="AH35" s="266"/>
    </row>
    <row r="36" spans="1:34" x14ac:dyDescent="0.25">
      <c r="A36" s="563"/>
      <c r="B36" s="587" t="s">
        <v>1038</v>
      </c>
      <c r="C36" s="566"/>
      <c r="D36" s="566"/>
      <c r="E36" s="566"/>
      <c r="F36" s="566"/>
      <c r="G36" s="566"/>
      <c r="H36" s="566"/>
      <c r="I36" s="567"/>
      <c r="J36" s="562"/>
      <c r="K36" s="568"/>
      <c r="L36" s="568"/>
      <c r="M36" s="568"/>
      <c r="N36" s="568"/>
      <c r="O36" s="568"/>
      <c r="P36" s="568"/>
      <c r="Q36" s="568"/>
      <c r="S36" s="132"/>
      <c r="T36" s="132"/>
      <c r="AD36" s="266"/>
      <c r="AE36" s="266"/>
      <c r="AF36" s="266"/>
      <c r="AG36" s="266"/>
      <c r="AH36" s="266"/>
    </row>
    <row r="37" spans="1:34" ht="45" x14ac:dyDescent="0.25">
      <c r="A37" s="563"/>
      <c r="B37" s="259" t="s">
        <v>94</v>
      </c>
      <c r="C37" s="201"/>
      <c r="D37" s="330" t="s">
        <v>660</v>
      </c>
      <c r="E37" s="240" t="s">
        <v>47</v>
      </c>
      <c r="F37" s="240" t="s">
        <v>48</v>
      </c>
      <c r="G37" s="164" t="s">
        <v>661</v>
      </c>
      <c r="H37" s="164" t="s">
        <v>662</v>
      </c>
      <c r="I37" s="240" t="s">
        <v>663</v>
      </c>
      <c r="J37" s="569"/>
      <c r="K37" s="164" t="s">
        <v>884</v>
      </c>
      <c r="L37" s="330" t="s">
        <v>660</v>
      </c>
      <c r="M37" s="240" t="s">
        <v>47</v>
      </c>
      <c r="N37" s="240" t="s">
        <v>48</v>
      </c>
      <c r="O37" s="164" t="s">
        <v>661</v>
      </c>
      <c r="P37" s="164" t="s">
        <v>662</v>
      </c>
      <c r="Q37" s="240" t="s">
        <v>663</v>
      </c>
      <c r="S37" s="132"/>
      <c r="T37" s="132"/>
      <c r="AD37" s="266"/>
      <c r="AE37" s="266"/>
      <c r="AF37" s="266"/>
      <c r="AG37" s="266"/>
      <c r="AH37" s="266"/>
    </row>
    <row r="38" spans="1:34" x14ac:dyDescent="0.25">
      <c r="A38" s="563"/>
      <c r="B38" s="193" t="s">
        <v>975</v>
      </c>
      <c r="C38" s="166"/>
      <c r="D38" s="127">
        <f>'Inputs and eligible population'!L65*'Inputs and eligible population'!$F$101</f>
        <v>0</v>
      </c>
      <c r="E38" s="127">
        <f>'Inputs and eligible population'!M65*'Inputs and eligible population'!$F$101</f>
        <v>0</v>
      </c>
      <c r="F38" s="127">
        <f>'Inputs and eligible population'!N65*'Inputs and eligible population'!$F$101</f>
        <v>0</v>
      </c>
      <c r="G38" s="127">
        <f>'Inputs and eligible population'!O65*'Inputs and eligible population'!$F$101</f>
        <v>0</v>
      </c>
      <c r="H38" s="127">
        <f>'Inputs and eligible population'!P65*'Inputs and eligible population'!$F$101</f>
        <v>0</v>
      </c>
      <c r="I38" s="127">
        <f>'Inputs and eligible population'!Q65*'Inputs and eligible population'!$F$101</f>
        <v>0</v>
      </c>
      <c r="J38" s="569"/>
      <c r="K38" s="556">
        <f>'Unit costs'!C56</f>
        <v>0</v>
      </c>
      <c r="L38" s="268">
        <f>$K38*D38/1000</f>
        <v>0</v>
      </c>
      <c r="M38" s="268">
        <f t="shared" ref="M38:Q42" si="25">$K38*E38/1000</f>
        <v>0</v>
      </c>
      <c r="N38" s="268">
        <f t="shared" si="25"/>
        <v>0</v>
      </c>
      <c r="O38" s="268">
        <f t="shared" si="25"/>
        <v>0</v>
      </c>
      <c r="P38" s="268">
        <f t="shared" si="25"/>
        <v>0</v>
      </c>
      <c r="Q38" s="268">
        <f t="shared" si="25"/>
        <v>0</v>
      </c>
      <c r="S38" s="132"/>
      <c r="T38" s="132"/>
      <c r="AD38" s="266"/>
      <c r="AE38" s="266"/>
      <c r="AF38" s="266"/>
      <c r="AG38" s="266"/>
      <c r="AH38" s="266"/>
    </row>
    <row r="39" spans="1:34" x14ac:dyDescent="0.25">
      <c r="A39" s="563"/>
      <c r="B39" s="193" t="s">
        <v>976</v>
      </c>
      <c r="C39" s="162"/>
      <c r="D39" s="127">
        <f>'Inputs and eligible population'!L66*'Inputs and eligible population'!$F$102</f>
        <v>0</v>
      </c>
      <c r="E39" s="127">
        <f>'Inputs and eligible population'!M66*'Inputs and eligible population'!$F$102</f>
        <v>0</v>
      </c>
      <c r="F39" s="127">
        <f>'Inputs and eligible population'!N66*'Inputs and eligible population'!$F$102</f>
        <v>0</v>
      </c>
      <c r="G39" s="127">
        <f>'Inputs and eligible population'!O66*'Inputs and eligible population'!$F$102</f>
        <v>0</v>
      </c>
      <c r="H39" s="127">
        <f>'Inputs and eligible population'!P66*'Inputs and eligible population'!$F$102</f>
        <v>0</v>
      </c>
      <c r="I39" s="127">
        <f>'Inputs and eligible population'!Q66*'Inputs and eligible population'!$F$102</f>
        <v>0</v>
      </c>
      <c r="J39" s="562"/>
      <c r="K39" s="556">
        <f>'Unit costs'!C57</f>
        <v>0</v>
      </c>
      <c r="L39" s="268">
        <f>$K39*D39/1000</f>
        <v>0</v>
      </c>
      <c r="M39" s="268">
        <f t="shared" si="25"/>
        <v>0</v>
      </c>
      <c r="N39" s="268">
        <f t="shared" si="25"/>
        <v>0</v>
      </c>
      <c r="O39" s="268">
        <f t="shared" si="25"/>
        <v>0</v>
      </c>
      <c r="P39" s="268">
        <f t="shared" si="25"/>
        <v>0</v>
      </c>
      <c r="Q39" s="268">
        <f t="shared" si="25"/>
        <v>0</v>
      </c>
      <c r="S39" s="132"/>
      <c r="T39" s="132"/>
      <c r="AD39" s="266"/>
      <c r="AE39" s="266"/>
      <c r="AF39" s="266"/>
      <c r="AG39" s="266"/>
      <c r="AH39" s="266"/>
    </row>
    <row r="40" spans="1:34" x14ac:dyDescent="0.25">
      <c r="A40" s="563"/>
      <c r="B40" s="193" t="s">
        <v>977</v>
      </c>
      <c r="C40" s="162"/>
      <c r="D40" s="127">
        <f>'Inputs and eligible population'!L67*'Inputs and eligible population'!$F$103</f>
        <v>0</v>
      </c>
      <c r="E40" s="127">
        <f>'Inputs and eligible population'!M67*'Inputs and eligible population'!$F$103</f>
        <v>0</v>
      </c>
      <c r="F40" s="127">
        <f>'Inputs and eligible population'!N67*'Inputs and eligible population'!$F$103</f>
        <v>0</v>
      </c>
      <c r="G40" s="127">
        <f>'Inputs and eligible population'!O67*'Inputs and eligible population'!$F$103</f>
        <v>0</v>
      </c>
      <c r="H40" s="127">
        <f>'Inputs and eligible population'!P67*'Inputs and eligible population'!$F$103</f>
        <v>0</v>
      </c>
      <c r="I40" s="127">
        <f>'Inputs and eligible population'!Q67*'Inputs and eligible population'!$F$103</f>
        <v>0</v>
      </c>
      <c r="J40" s="562"/>
      <c r="K40" s="556">
        <f>'Unit costs'!C58</f>
        <v>0</v>
      </c>
      <c r="L40" s="268">
        <f>$K40*D40/1000</f>
        <v>0</v>
      </c>
      <c r="M40" s="268">
        <f t="shared" si="25"/>
        <v>0</v>
      </c>
      <c r="N40" s="268">
        <f t="shared" si="25"/>
        <v>0</v>
      </c>
      <c r="O40" s="268">
        <f t="shared" si="25"/>
        <v>0</v>
      </c>
      <c r="P40" s="268">
        <f t="shared" si="25"/>
        <v>0</v>
      </c>
      <c r="Q40" s="268">
        <f t="shared" si="25"/>
        <v>0</v>
      </c>
      <c r="S40" s="132"/>
      <c r="T40" s="132"/>
      <c r="AD40" s="266"/>
      <c r="AE40" s="266"/>
      <c r="AF40" s="266"/>
      <c r="AG40" s="266"/>
      <c r="AH40" s="266"/>
    </row>
    <row r="41" spans="1:34" x14ac:dyDescent="0.25">
      <c r="A41" s="563"/>
      <c r="B41" s="193" t="s">
        <v>978</v>
      </c>
      <c r="C41" s="162"/>
      <c r="D41" s="127">
        <f>'Inputs and eligible population'!L68*'Inputs and eligible population'!$F$104</f>
        <v>0</v>
      </c>
      <c r="E41" s="127">
        <f>'Inputs and eligible population'!M68*'Inputs and eligible population'!$F$104</f>
        <v>0</v>
      </c>
      <c r="F41" s="127">
        <f>'Inputs and eligible population'!N68*'Inputs and eligible population'!$F$104</f>
        <v>0</v>
      </c>
      <c r="G41" s="127">
        <f>'Inputs and eligible population'!O68*'Inputs and eligible population'!$F$104</f>
        <v>0</v>
      </c>
      <c r="H41" s="127">
        <f>'Inputs and eligible population'!P68*'Inputs and eligible population'!$F$104</f>
        <v>0</v>
      </c>
      <c r="I41" s="127">
        <f>'Inputs and eligible population'!Q68*'Inputs and eligible population'!$F$104</f>
        <v>0</v>
      </c>
      <c r="J41" s="562"/>
      <c r="K41" s="556">
        <f>'Unit costs'!C59</f>
        <v>0</v>
      </c>
      <c r="L41" s="268">
        <f>$K41*D41/1000</f>
        <v>0</v>
      </c>
      <c r="M41" s="268">
        <f t="shared" si="25"/>
        <v>0</v>
      </c>
      <c r="N41" s="268">
        <f t="shared" si="25"/>
        <v>0</v>
      </c>
      <c r="O41" s="268">
        <f t="shared" si="25"/>
        <v>0</v>
      </c>
      <c r="P41" s="268">
        <f t="shared" si="25"/>
        <v>0</v>
      </c>
      <c r="Q41" s="268">
        <f t="shared" si="25"/>
        <v>0</v>
      </c>
      <c r="S41" s="132"/>
      <c r="T41" s="132"/>
      <c r="AD41" s="266"/>
      <c r="AE41" s="266"/>
      <c r="AF41" s="266"/>
      <c r="AG41" s="266"/>
      <c r="AH41" s="266"/>
    </row>
    <row r="42" spans="1:34" x14ac:dyDescent="0.25">
      <c r="A42" s="563"/>
      <c r="B42" s="193" t="s">
        <v>1039</v>
      </c>
      <c r="C42" s="162"/>
      <c r="D42" s="127">
        <f>'Inputs and eligible population'!L69*'Inputs and eligible population'!$F$105</f>
        <v>0</v>
      </c>
      <c r="E42" s="127">
        <f>'Inputs and eligible population'!M69*'Inputs and eligible population'!$F$105</f>
        <v>0</v>
      </c>
      <c r="F42" s="127">
        <f>'Inputs and eligible population'!N69*'Inputs and eligible population'!$F$105</f>
        <v>0</v>
      </c>
      <c r="G42" s="127">
        <f>'Inputs and eligible population'!O69*'Inputs and eligible population'!$F$105</f>
        <v>0</v>
      </c>
      <c r="H42" s="127">
        <f>'Inputs and eligible population'!P69*'Inputs and eligible population'!$F$105</f>
        <v>0</v>
      </c>
      <c r="I42" s="127">
        <f>'Inputs and eligible population'!Q69*'Inputs and eligible population'!$F$105</f>
        <v>0</v>
      </c>
      <c r="J42" s="569"/>
      <c r="K42" s="556">
        <f>'Unit costs'!C60</f>
        <v>0</v>
      </c>
      <c r="L42" s="268">
        <f>$K42*D42/1000</f>
        <v>0</v>
      </c>
      <c r="M42" s="268">
        <f t="shared" si="25"/>
        <v>0</v>
      </c>
      <c r="N42" s="268">
        <f t="shared" si="25"/>
        <v>0</v>
      </c>
      <c r="O42" s="268">
        <f t="shared" si="25"/>
        <v>0</v>
      </c>
      <c r="P42" s="268">
        <f t="shared" si="25"/>
        <v>0</v>
      </c>
      <c r="Q42" s="268">
        <f t="shared" si="25"/>
        <v>0</v>
      </c>
      <c r="S42" s="132"/>
      <c r="T42" s="132"/>
      <c r="AD42" s="266"/>
      <c r="AE42" s="266"/>
      <c r="AF42" s="266"/>
      <c r="AG42" s="266"/>
      <c r="AH42" s="266"/>
    </row>
    <row r="43" spans="1:34" ht="15" customHeight="1" x14ac:dyDescent="0.25">
      <c r="A43" s="563"/>
      <c r="B43" s="572"/>
      <c r="C43" s="573"/>
      <c r="D43" s="561">
        <f>SUM(D38:D42)</f>
        <v>0</v>
      </c>
      <c r="E43" s="561">
        <f t="shared" ref="E43:I43" si="26">SUM(E38:E42)</f>
        <v>0</v>
      </c>
      <c r="F43" s="561">
        <f t="shared" si="26"/>
        <v>0</v>
      </c>
      <c r="G43" s="561">
        <f t="shared" si="26"/>
        <v>0</v>
      </c>
      <c r="H43" s="561">
        <f t="shared" si="26"/>
        <v>0</v>
      </c>
      <c r="I43" s="561">
        <f t="shared" si="26"/>
        <v>0</v>
      </c>
      <c r="J43" s="569"/>
      <c r="K43" s="568"/>
      <c r="L43" s="269">
        <f t="shared" ref="L43:Q43" si="27">SUM(L38:L42)</f>
        <v>0</v>
      </c>
      <c r="M43" s="269">
        <f t="shared" si="27"/>
        <v>0</v>
      </c>
      <c r="N43" s="269">
        <f t="shared" si="27"/>
        <v>0</v>
      </c>
      <c r="O43" s="269">
        <f t="shared" si="27"/>
        <v>0</v>
      </c>
      <c r="P43" s="269">
        <f t="shared" si="27"/>
        <v>0</v>
      </c>
      <c r="Q43" s="269">
        <f t="shared" si="27"/>
        <v>0</v>
      </c>
      <c r="S43" s="132"/>
      <c r="T43" s="132"/>
      <c r="AD43" s="266"/>
      <c r="AE43" s="266"/>
      <c r="AF43" s="266"/>
      <c r="AG43" s="266"/>
      <c r="AH43" s="266"/>
    </row>
    <row r="44" spans="1:34" x14ac:dyDescent="0.25">
      <c r="A44" s="575"/>
      <c r="B44" s="276"/>
      <c r="C44" s="211"/>
      <c r="D44" s="265" t="s">
        <v>886</v>
      </c>
      <c r="E44" s="182">
        <f>E43-$D$43</f>
        <v>0</v>
      </c>
      <c r="F44" s="182">
        <f>F43-$D$43</f>
        <v>0</v>
      </c>
      <c r="G44" s="182">
        <f>G43-$D$43</f>
        <v>0</v>
      </c>
      <c r="H44" s="182">
        <f>H43-$D$43</f>
        <v>0</v>
      </c>
      <c r="I44" s="182">
        <f>I43-$D$43</f>
        <v>0</v>
      </c>
      <c r="J44" s="562"/>
      <c r="K44" s="568"/>
      <c r="L44" s="588"/>
      <c r="M44" s="269">
        <f>M43-$L$43</f>
        <v>0</v>
      </c>
      <c r="N44" s="269">
        <f t="shared" ref="N44:Q44" si="28">N43-$L$43</f>
        <v>0</v>
      </c>
      <c r="O44" s="269">
        <f t="shared" si="28"/>
        <v>0</v>
      </c>
      <c r="P44" s="269">
        <f t="shared" si="28"/>
        <v>0</v>
      </c>
      <c r="Q44" s="269">
        <f t="shared" si="28"/>
        <v>0</v>
      </c>
      <c r="S44" s="132"/>
      <c r="T44" s="132"/>
      <c r="AD44" s="266"/>
      <c r="AE44" s="266"/>
      <c r="AF44" s="266"/>
      <c r="AG44" s="266"/>
      <c r="AH44" s="266"/>
    </row>
    <row r="45" spans="1:34" x14ac:dyDescent="0.25">
      <c r="A45" s="575"/>
      <c r="B45" s="576"/>
      <c r="C45" s="568"/>
      <c r="D45" s="568"/>
      <c r="E45" s="568"/>
      <c r="F45" s="568"/>
      <c r="G45" s="568"/>
      <c r="H45" s="568"/>
      <c r="I45" s="568"/>
      <c r="J45" s="568"/>
      <c r="K45" s="568"/>
      <c r="L45" s="568"/>
      <c r="M45" s="568"/>
      <c r="N45" s="568"/>
      <c r="O45" s="568"/>
      <c r="P45" s="568"/>
      <c r="Q45" s="568"/>
      <c r="S45" s="132"/>
      <c r="T45" s="132"/>
      <c r="AD45" s="266"/>
      <c r="AE45" s="266"/>
      <c r="AF45" s="266"/>
      <c r="AG45" s="266"/>
      <c r="AH45" s="266"/>
    </row>
    <row r="46" spans="1:34" x14ac:dyDescent="0.25">
      <c r="A46" s="575"/>
      <c r="B46" s="484" t="s">
        <v>989</v>
      </c>
      <c r="C46" s="751"/>
      <c r="D46" s="751"/>
      <c r="E46" s="751"/>
      <c r="F46" s="751"/>
      <c r="G46" s="751"/>
      <c r="H46" s="751"/>
      <c r="I46" s="752"/>
      <c r="J46" s="568"/>
      <c r="K46" s="568"/>
      <c r="L46" s="568"/>
      <c r="M46" s="568"/>
      <c r="N46" s="568"/>
      <c r="O46" s="568"/>
      <c r="P46" s="568"/>
      <c r="Q46" s="568"/>
      <c r="S46" s="132"/>
      <c r="T46" s="132"/>
      <c r="AD46" s="266"/>
      <c r="AE46" s="266"/>
      <c r="AF46" s="266"/>
      <c r="AG46" s="266"/>
      <c r="AH46" s="266"/>
    </row>
    <row r="47" spans="1:34" ht="45" x14ac:dyDescent="0.25">
      <c r="A47" s="575"/>
      <c r="B47" s="259" t="s">
        <v>94</v>
      </c>
      <c r="C47" s="201"/>
      <c r="D47" s="330" t="s">
        <v>660</v>
      </c>
      <c r="E47" s="240" t="s">
        <v>47</v>
      </c>
      <c r="F47" s="240" t="s">
        <v>48</v>
      </c>
      <c r="G47" s="164" t="s">
        <v>661</v>
      </c>
      <c r="H47" s="164" t="s">
        <v>662</v>
      </c>
      <c r="I47" s="240" t="s">
        <v>663</v>
      </c>
      <c r="J47" s="568"/>
      <c r="K47" s="568"/>
      <c r="L47" s="568"/>
      <c r="M47" s="568"/>
      <c r="N47" s="568"/>
      <c r="O47" s="568"/>
      <c r="P47" s="568"/>
      <c r="Q47" s="568"/>
      <c r="S47" s="132"/>
      <c r="T47" s="132"/>
      <c r="AD47" s="266"/>
      <c r="AE47" s="266"/>
      <c r="AF47" s="266"/>
      <c r="AG47" s="266"/>
      <c r="AH47" s="266"/>
    </row>
    <row r="48" spans="1:34" x14ac:dyDescent="0.25">
      <c r="A48" s="575"/>
      <c r="B48" s="193" t="s">
        <v>975</v>
      </c>
      <c r="C48" s="166"/>
      <c r="D48" s="127">
        <f>'Inputs and eligible population'!L65*'Inputs and eligible population'!$I$101/60</f>
        <v>0</v>
      </c>
      <c r="E48" s="127">
        <f>'Inputs and eligible population'!M65*'Inputs and eligible population'!$I$101/60</f>
        <v>0</v>
      </c>
      <c r="F48" s="127">
        <f>'Inputs and eligible population'!N65*'Inputs and eligible population'!$I$101/60</f>
        <v>0</v>
      </c>
      <c r="G48" s="127">
        <f>'Inputs and eligible population'!O65*'Inputs and eligible population'!$I$101/60</f>
        <v>0</v>
      </c>
      <c r="H48" s="127">
        <f>'Inputs and eligible population'!P65*'Inputs and eligible population'!$I$101/60</f>
        <v>0</v>
      </c>
      <c r="I48" s="127">
        <f>'Inputs and eligible population'!Q65*'Inputs and eligible population'!$I$101/60</f>
        <v>0</v>
      </c>
      <c r="J48" s="568"/>
      <c r="K48" s="568"/>
      <c r="L48" s="568"/>
      <c r="M48" s="568"/>
      <c r="N48" s="568"/>
      <c r="O48" s="568"/>
      <c r="P48" s="568"/>
      <c r="Q48" s="568"/>
      <c r="S48" s="132"/>
      <c r="T48" s="132"/>
      <c r="AD48" s="266"/>
      <c r="AE48" s="266"/>
      <c r="AF48" s="266"/>
      <c r="AG48" s="266"/>
      <c r="AH48" s="266"/>
    </row>
    <row r="49" spans="1:34" x14ac:dyDescent="0.25">
      <c r="A49" s="575"/>
      <c r="B49" s="193" t="s">
        <v>976</v>
      </c>
      <c r="C49" s="162"/>
      <c r="D49" s="127">
        <f>'Inputs and eligible population'!L66*'Inputs and eligible population'!$I$102/60</f>
        <v>0</v>
      </c>
      <c r="E49" s="127">
        <f>'Inputs and eligible population'!M66*'Inputs and eligible population'!$I$102/60</f>
        <v>0</v>
      </c>
      <c r="F49" s="127">
        <f>'Inputs and eligible population'!N66*'Inputs and eligible population'!$I$102/60</f>
        <v>0</v>
      </c>
      <c r="G49" s="127">
        <f>'Inputs and eligible population'!O66*'Inputs and eligible population'!$I$102/60</f>
        <v>0</v>
      </c>
      <c r="H49" s="127">
        <f>'Inputs and eligible population'!P66*'Inputs and eligible population'!$I$102/60</f>
        <v>0</v>
      </c>
      <c r="I49" s="127">
        <f>'Inputs and eligible population'!Q66*'Inputs and eligible population'!$I$102/60</f>
        <v>0</v>
      </c>
      <c r="J49" s="568"/>
      <c r="K49" s="568"/>
      <c r="L49" s="568"/>
      <c r="M49" s="568"/>
      <c r="N49" s="568"/>
      <c r="O49" s="568"/>
      <c r="P49" s="568"/>
      <c r="Q49" s="568"/>
      <c r="S49" s="132"/>
      <c r="T49" s="132"/>
      <c r="AD49" s="266"/>
      <c r="AE49" s="266"/>
      <c r="AF49" s="266"/>
      <c r="AG49" s="266"/>
      <c r="AH49" s="266"/>
    </row>
    <row r="50" spans="1:34" x14ac:dyDescent="0.25">
      <c r="A50" s="575"/>
      <c r="B50" s="193" t="s">
        <v>977</v>
      </c>
      <c r="C50" s="162"/>
      <c r="D50" s="127">
        <f>'Inputs and eligible population'!L67*'Inputs and eligible population'!$I$103/60</f>
        <v>0</v>
      </c>
      <c r="E50" s="127">
        <f>'Inputs and eligible population'!M67*'Inputs and eligible population'!$I$103/60</f>
        <v>0</v>
      </c>
      <c r="F50" s="127">
        <f>'Inputs and eligible population'!N67*'Inputs and eligible population'!$I$103/60</f>
        <v>0</v>
      </c>
      <c r="G50" s="127">
        <f>'Inputs and eligible population'!O67*'Inputs and eligible population'!$I$103/60</f>
        <v>0</v>
      </c>
      <c r="H50" s="127">
        <f>'Inputs and eligible population'!P67*'Inputs and eligible population'!$I$103/60</f>
        <v>0</v>
      </c>
      <c r="I50" s="127">
        <f>'Inputs and eligible population'!Q67*'Inputs and eligible population'!$I$103/60</f>
        <v>0</v>
      </c>
      <c r="J50" s="568"/>
      <c r="K50" s="568"/>
      <c r="L50" s="568"/>
      <c r="M50" s="568"/>
      <c r="N50" s="568"/>
      <c r="O50" s="568"/>
      <c r="P50" s="568"/>
      <c r="Q50" s="568"/>
      <c r="S50" s="132"/>
      <c r="T50" s="132"/>
      <c r="AD50" s="266"/>
      <c r="AE50" s="266"/>
      <c r="AF50" s="266"/>
      <c r="AG50" s="266"/>
      <c r="AH50" s="266"/>
    </row>
    <row r="51" spans="1:34" x14ac:dyDescent="0.25">
      <c r="A51" s="575"/>
      <c r="B51" s="193" t="s">
        <v>978</v>
      </c>
      <c r="C51" s="162"/>
      <c r="D51" s="127">
        <f>'Inputs and eligible population'!L68*'Inputs and eligible population'!$I$104/60</f>
        <v>0</v>
      </c>
      <c r="E51" s="127">
        <f>'Inputs and eligible population'!M68*'Inputs and eligible population'!$I$104/60</f>
        <v>0</v>
      </c>
      <c r="F51" s="127">
        <f>'Inputs and eligible population'!N68*'Inputs and eligible population'!$I$104/60</f>
        <v>0</v>
      </c>
      <c r="G51" s="127">
        <f>'Inputs and eligible population'!O68*'Inputs and eligible population'!$I$104/60</f>
        <v>0</v>
      </c>
      <c r="H51" s="127">
        <f>'Inputs and eligible population'!P68*'Inputs and eligible population'!$I$104/60</f>
        <v>0</v>
      </c>
      <c r="I51" s="127">
        <f>'Inputs and eligible population'!Q68*'Inputs and eligible population'!$I$104/60</f>
        <v>0</v>
      </c>
      <c r="J51" s="568"/>
      <c r="K51" s="568"/>
      <c r="L51" s="568"/>
      <c r="M51" s="568"/>
      <c r="N51" s="568"/>
      <c r="O51" s="568"/>
      <c r="P51" s="568"/>
      <c r="Q51" s="568"/>
      <c r="S51" s="132"/>
      <c r="T51" s="132"/>
      <c r="AD51" s="266"/>
      <c r="AE51" s="266"/>
      <c r="AF51" s="266"/>
      <c r="AG51" s="266"/>
      <c r="AH51" s="266"/>
    </row>
    <row r="52" spans="1:34" x14ac:dyDescent="0.25">
      <c r="A52" s="575"/>
      <c r="B52" s="572"/>
      <c r="C52" s="573"/>
      <c r="D52" s="561">
        <f>SUM(D48:D51)</f>
        <v>0</v>
      </c>
      <c r="E52" s="561">
        <f t="shared" ref="E52:I52" si="29">SUM(E48:E51)</f>
        <v>0</v>
      </c>
      <c r="F52" s="561">
        <f t="shared" si="29"/>
        <v>0</v>
      </c>
      <c r="G52" s="561">
        <f t="shared" si="29"/>
        <v>0</v>
      </c>
      <c r="H52" s="561">
        <f t="shared" si="29"/>
        <v>0</v>
      </c>
      <c r="I52" s="561">
        <f t="shared" si="29"/>
        <v>0</v>
      </c>
      <c r="J52" s="568"/>
      <c r="K52" s="568"/>
      <c r="L52" s="568"/>
      <c r="M52" s="568"/>
      <c r="N52" s="568"/>
      <c r="O52" s="568"/>
      <c r="P52" s="568"/>
      <c r="Q52" s="568"/>
      <c r="S52" s="132"/>
      <c r="T52" s="132"/>
      <c r="AD52" s="266"/>
      <c r="AE52" s="266"/>
      <c r="AF52" s="266"/>
      <c r="AG52" s="266"/>
      <c r="AH52" s="266"/>
    </row>
    <row r="53" spans="1:34" x14ac:dyDescent="0.25">
      <c r="A53" s="575"/>
      <c r="B53" s="276"/>
      <c r="C53" s="211"/>
      <c r="D53" s="265" t="s">
        <v>1042</v>
      </c>
      <c r="E53" s="182">
        <f>E52-$D$52</f>
        <v>0</v>
      </c>
      <c r="F53" s="182">
        <f>F52-$D$52</f>
        <v>0</v>
      </c>
      <c r="G53" s="182">
        <f>G52-$D$52</f>
        <v>0</v>
      </c>
      <c r="H53" s="182">
        <f>H52-$D$52</f>
        <v>0</v>
      </c>
      <c r="I53" s="182">
        <f>I52-$D$52</f>
        <v>0</v>
      </c>
      <c r="J53" s="568"/>
      <c r="K53" s="568"/>
      <c r="L53" s="568"/>
      <c r="M53" s="568"/>
      <c r="N53" s="568"/>
      <c r="O53" s="568"/>
      <c r="P53" s="568"/>
      <c r="Q53" s="568"/>
      <c r="S53" s="132"/>
      <c r="T53" s="132"/>
      <c r="AD53" s="266"/>
      <c r="AE53" s="266"/>
      <c r="AF53" s="266"/>
      <c r="AG53" s="266"/>
      <c r="AH53" s="266"/>
    </row>
    <row r="54" spans="1:34" x14ac:dyDescent="0.25">
      <c r="A54" s="575"/>
      <c r="B54" s="576"/>
      <c r="C54" s="568"/>
      <c r="D54" s="568"/>
      <c r="E54" s="568"/>
      <c r="F54" s="568"/>
      <c r="G54" s="568"/>
      <c r="H54" s="568"/>
      <c r="I54" s="568"/>
      <c r="J54" s="568"/>
      <c r="K54" s="568"/>
      <c r="L54" s="568"/>
      <c r="M54" s="568"/>
      <c r="N54" s="568"/>
      <c r="O54" s="568"/>
      <c r="P54" s="568"/>
      <c r="Q54" s="568"/>
      <c r="S54" s="132"/>
      <c r="T54" s="132"/>
      <c r="AD54" s="266"/>
      <c r="AE54" s="266"/>
      <c r="AF54" s="266"/>
      <c r="AG54" s="266"/>
      <c r="AH54" s="266"/>
    </row>
    <row r="55" spans="1:34" x14ac:dyDescent="0.25">
      <c r="A55" s="267"/>
      <c r="B55" s="577"/>
      <c r="C55" s="267"/>
      <c r="D55" s="267"/>
      <c r="E55" s="267"/>
      <c r="F55" s="267"/>
      <c r="G55" s="267"/>
      <c r="H55" s="267"/>
      <c r="I55" s="267"/>
      <c r="J55" s="267"/>
      <c r="K55" s="267"/>
      <c r="L55" s="267"/>
      <c r="M55" s="267"/>
      <c r="N55" s="267"/>
      <c r="O55" s="267"/>
      <c r="P55" s="267"/>
      <c r="Q55" s="267"/>
      <c r="R55" s="132"/>
      <c r="S55" s="132"/>
    </row>
    <row r="56" spans="1:34" x14ac:dyDescent="0.25">
      <c r="A56" s="267"/>
      <c r="B56" s="745" t="s">
        <v>1002</v>
      </c>
      <c r="C56" s="267"/>
      <c r="D56" s="267"/>
      <c r="E56" s="267"/>
      <c r="F56" s="267"/>
      <c r="G56" s="267"/>
      <c r="H56" s="267"/>
      <c r="I56" s="267"/>
      <c r="J56" s="267"/>
      <c r="K56" s="267"/>
      <c r="L56" s="267"/>
      <c r="M56" s="267"/>
      <c r="N56" s="267"/>
      <c r="O56" s="267"/>
      <c r="P56" s="267"/>
      <c r="Q56" s="267"/>
      <c r="R56" s="132"/>
      <c r="S56" s="132"/>
    </row>
    <row r="57" spans="1:34" x14ac:dyDescent="0.25">
      <c r="A57" s="578"/>
      <c r="B57" s="746" t="s">
        <v>968</v>
      </c>
      <c r="C57" s="319"/>
      <c r="D57" s="319"/>
      <c r="E57" s="319"/>
      <c r="F57" s="319"/>
      <c r="G57" s="319"/>
      <c r="H57" s="319"/>
      <c r="I57" s="205"/>
      <c r="J57" s="206"/>
      <c r="K57" s="267"/>
      <c r="L57" s="267"/>
      <c r="M57" s="267"/>
      <c r="N57" s="267"/>
      <c r="O57" s="267"/>
      <c r="P57" s="267"/>
      <c r="Q57" s="267"/>
      <c r="R57" s="132"/>
      <c r="S57" s="132"/>
      <c r="Y57" s="266"/>
      <c r="Z57" s="266"/>
      <c r="AA57" s="266"/>
      <c r="AB57" s="266"/>
      <c r="AC57" s="266"/>
    </row>
    <row r="58" spans="1:34" ht="45" x14ac:dyDescent="0.25">
      <c r="A58" s="578"/>
      <c r="B58" s="259" t="s">
        <v>94</v>
      </c>
      <c r="C58" s="385"/>
      <c r="D58" s="330" t="s">
        <v>660</v>
      </c>
      <c r="E58" s="240" t="s">
        <v>47</v>
      </c>
      <c r="F58" s="240" t="s">
        <v>48</v>
      </c>
      <c r="G58" s="164" t="s">
        <v>661</v>
      </c>
      <c r="H58" s="164" t="s">
        <v>662</v>
      </c>
      <c r="I58" s="240" t="s">
        <v>663</v>
      </c>
      <c r="J58" s="581"/>
      <c r="K58" s="164" t="s">
        <v>884</v>
      </c>
      <c r="L58" s="330" t="s">
        <v>660</v>
      </c>
      <c r="M58" s="240" t="s">
        <v>47</v>
      </c>
      <c r="N58" s="240" t="s">
        <v>48</v>
      </c>
      <c r="O58" s="164" t="s">
        <v>661</v>
      </c>
      <c r="P58" s="164" t="s">
        <v>662</v>
      </c>
      <c r="Q58" s="240" t="s">
        <v>663</v>
      </c>
      <c r="R58" s="132"/>
      <c r="S58" s="132"/>
      <c r="Y58" s="266"/>
      <c r="Z58" s="266"/>
      <c r="AA58" s="266"/>
      <c r="AB58" s="266"/>
      <c r="AC58" s="266"/>
    </row>
    <row r="59" spans="1:34" x14ac:dyDescent="0.25">
      <c r="A59" s="578"/>
      <c r="B59" s="582" t="s">
        <v>832</v>
      </c>
      <c r="C59" s="162"/>
      <c r="D59" s="371">
        <f>'Inputs and eligible population'!L78*'Inputs and eligible population'!$F$107</f>
        <v>0</v>
      </c>
      <c r="E59" s="371">
        <f>'Inputs and eligible population'!M78*'Inputs and eligible population'!$F$107</f>
        <v>0</v>
      </c>
      <c r="F59" s="371">
        <f>'Inputs and eligible population'!N78*'Inputs and eligible population'!$F$107</f>
        <v>0</v>
      </c>
      <c r="G59" s="371">
        <f>'Inputs and eligible population'!O78*'Inputs and eligible population'!$F$107</f>
        <v>0</v>
      </c>
      <c r="H59" s="371">
        <f>'Inputs and eligible population'!P78*'Inputs and eligible population'!$F$107</f>
        <v>0</v>
      </c>
      <c r="I59" s="371">
        <f>'Inputs and eligible population'!Q78*'Inputs and eligible population'!$F$107</f>
        <v>0</v>
      </c>
      <c r="J59" s="581"/>
      <c r="K59" s="556">
        <f>'Unit costs'!L45</f>
        <v>235.6</v>
      </c>
      <c r="L59" s="268">
        <f>$K59*D59/1000</f>
        <v>0</v>
      </c>
      <c r="M59" s="268">
        <f t="shared" ref="M59:Q59" si="30">$K59*E59/1000</f>
        <v>0</v>
      </c>
      <c r="N59" s="268">
        <f t="shared" si="30"/>
        <v>0</v>
      </c>
      <c r="O59" s="268">
        <f t="shared" si="30"/>
        <v>0</v>
      </c>
      <c r="P59" s="268">
        <f t="shared" si="30"/>
        <v>0</v>
      </c>
      <c r="Q59" s="268">
        <f t="shared" si="30"/>
        <v>0</v>
      </c>
      <c r="R59" s="132"/>
      <c r="S59" s="132"/>
      <c r="Y59" s="266"/>
      <c r="Z59" s="266"/>
      <c r="AA59" s="266"/>
      <c r="AB59" s="266"/>
      <c r="AC59" s="266"/>
    </row>
    <row r="60" spans="1:34" x14ac:dyDescent="0.25">
      <c r="A60" s="578"/>
      <c r="B60" s="572"/>
      <c r="C60" s="573"/>
      <c r="D60" s="561">
        <f>SUM(D59:D59)</f>
        <v>0</v>
      </c>
      <c r="E60" s="561">
        <f t="shared" ref="E60:I60" si="31">SUM(E59:E59)</f>
        <v>0</v>
      </c>
      <c r="F60" s="561">
        <f t="shared" si="31"/>
        <v>0</v>
      </c>
      <c r="G60" s="561">
        <f t="shared" si="31"/>
        <v>0</v>
      </c>
      <c r="H60" s="561">
        <f t="shared" si="31"/>
        <v>0</v>
      </c>
      <c r="I60" s="561">
        <f t="shared" si="31"/>
        <v>0</v>
      </c>
      <c r="J60" s="581"/>
      <c r="K60" s="206"/>
      <c r="L60" s="269">
        <f t="shared" ref="L60:Q60" si="32">SUM(L59:L59)</f>
        <v>0</v>
      </c>
      <c r="M60" s="269">
        <f t="shared" si="32"/>
        <v>0</v>
      </c>
      <c r="N60" s="269">
        <f t="shared" si="32"/>
        <v>0</v>
      </c>
      <c r="O60" s="269">
        <f t="shared" si="32"/>
        <v>0</v>
      </c>
      <c r="P60" s="269">
        <f t="shared" si="32"/>
        <v>0</v>
      </c>
      <c r="Q60" s="269">
        <f t="shared" si="32"/>
        <v>0</v>
      </c>
      <c r="R60" s="132"/>
      <c r="S60" s="132"/>
      <c r="Y60" s="266"/>
      <c r="Z60" s="266"/>
      <c r="AA60" s="266"/>
      <c r="AB60" s="266"/>
      <c r="AC60" s="266"/>
    </row>
    <row r="61" spans="1:34" x14ac:dyDescent="0.25">
      <c r="A61" s="578"/>
      <c r="B61" s="276"/>
      <c r="C61" s="241"/>
      <c r="D61" s="265" t="s">
        <v>962</v>
      </c>
      <c r="E61" s="182">
        <f>E60-$D$60</f>
        <v>0</v>
      </c>
      <c r="F61" s="182">
        <f t="shared" ref="F61:I61" si="33">F60-$D$60</f>
        <v>0</v>
      </c>
      <c r="G61" s="182">
        <f t="shared" si="33"/>
        <v>0</v>
      </c>
      <c r="H61" s="182">
        <f t="shared" si="33"/>
        <v>0</v>
      </c>
      <c r="I61" s="182">
        <f t="shared" si="33"/>
        <v>0</v>
      </c>
      <c r="J61" s="581"/>
      <c r="K61" s="267"/>
      <c r="L61" s="267"/>
      <c r="M61" s="269">
        <f>M60-$L$60</f>
        <v>0</v>
      </c>
      <c r="N61" s="269">
        <f t="shared" ref="N61:Q61" si="34">N60-$L$60</f>
        <v>0</v>
      </c>
      <c r="O61" s="269">
        <f t="shared" si="34"/>
        <v>0</v>
      </c>
      <c r="P61" s="269">
        <f t="shared" si="34"/>
        <v>0</v>
      </c>
      <c r="Q61" s="269">
        <f t="shared" si="34"/>
        <v>0</v>
      </c>
      <c r="R61" s="132"/>
      <c r="S61" s="132"/>
      <c r="Y61" s="266"/>
      <c r="Z61" s="266"/>
      <c r="AA61" s="266"/>
      <c r="AB61" s="266"/>
      <c r="AC61" s="266"/>
    </row>
    <row r="62" spans="1:34" x14ac:dyDescent="0.25">
      <c r="A62" s="267"/>
      <c r="B62" s="577"/>
      <c r="C62" s="267"/>
      <c r="D62" s="267"/>
      <c r="E62" s="267"/>
      <c r="F62" s="267"/>
      <c r="G62" s="267"/>
      <c r="H62" s="267"/>
      <c r="I62" s="267"/>
      <c r="J62" s="267"/>
      <c r="K62" s="267"/>
      <c r="L62" s="267"/>
      <c r="M62" s="267"/>
      <c r="N62" s="267"/>
      <c r="O62" s="267"/>
      <c r="P62" s="267"/>
      <c r="Q62" s="267"/>
      <c r="R62" s="132"/>
      <c r="S62" s="132"/>
    </row>
    <row r="63" spans="1:34" x14ac:dyDescent="0.25">
      <c r="A63" s="578"/>
      <c r="B63" s="579" t="s">
        <v>961</v>
      </c>
      <c r="C63" s="580"/>
      <c r="D63" s="319"/>
      <c r="E63" s="319"/>
      <c r="F63" s="319"/>
      <c r="G63" s="319"/>
      <c r="H63" s="319"/>
      <c r="I63" s="205"/>
      <c r="J63" s="206"/>
      <c r="K63" s="267"/>
      <c r="L63" s="267"/>
      <c r="M63" s="267"/>
      <c r="N63" s="267"/>
      <c r="O63" s="267"/>
      <c r="P63" s="267"/>
      <c r="Q63" s="267"/>
      <c r="R63" s="132"/>
      <c r="S63" s="132"/>
      <c r="Y63" s="266"/>
      <c r="Z63" s="266"/>
      <c r="AA63" s="266"/>
      <c r="AB63" s="266"/>
      <c r="AC63" s="266"/>
    </row>
    <row r="64" spans="1:34" ht="45" x14ac:dyDescent="0.25">
      <c r="A64" s="578"/>
      <c r="B64" s="259" t="s">
        <v>94</v>
      </c>
      <c r="C64" s="385"/>
      <c r="D64" s="330" t="s">
        <v>660</v>
      </c>
      <c r="E64" s="240" t="s">
        <v>47</v>
      </c>
      <c r="F64" s="240" t="s">
        <v>48</v>
      </c>
      <c r="G64" s="164" t="s">
        <v>661</v>
      </c>
      <c r="H64" s="164" t="s">
        <v>662</v>
      </c>
      <c r="I64" s="240" t="s">
        <v>663</v>
      </c>
      <c r="J64" s="581"/>
      <c r="K64" s="164" t="s">
        <v>884</v>
      </c>
      <c r="L64" s="330" t="s">
        <v>660</v>
      </c>
      <c r="M64" s="240" t="s">
        <v>47</v>
      </c>
      <c r="N64" s="240" t="s">
        <v>48</v>
      </c>
      <c r="O64" s="164" t="s">
        <v>661</v>
      </c>
      <c r="P64" s="164" t="s">
        <v>662</v>
      </c>
      <c r="Q64" s="240" t="s">
        <v>663</v>
      </c>
      <c r="R64" s="132"/>
      <c r="S64" s="132"/>
      <c r="Y64" s="266"/>
      <c r="Z64" s="266"/>
      <c r="AA64" s="266"/>
      <c r="AB64" s="266"/>
      <c r="AC64" s="266"/>
    </row>
    <row r="65" spans="1:29" x14ac:dyDescent="0.25">
      <c r="A65" s="578"/>
      <c r="B65" s="582" t="s">
        <v>832</v>
      </c>
      <c r="C65" s="162"/>
      <c r="D65" s="371">
        <f>'Inputs and eligible population'!L79*'Inputs and eligible population'!$F$108</f>
        <v>0</v>
      </c>
      <c r="E65" s="371">
        <f>'Inputs and eligible population'!M79*'Inputs and eligible population'!$F$108</f>
        <v>0</v>
      </c>
      <c r="F65" s="371">
        <f>'Inputs and eligible population'!N79*'Inputs and eligible population'!$F$108</f>
        <v>0</v>
      </c>
      <c r="G65" s="371">
        <f>'Inputs and eligible population'!O79*'Inputs and eligible population'!$F$108</f>
        <v>0</v>
      </c>
      <c r="H65" s="371">
        <f>'Inputs and eligible population'!P79*'Inputs and eligible population'!$F$108</f>
        <v>0</v>
      </c>
      <c r="I65" s="371">
        <f>'Inputs and eligible population'!Q79*'Inputs and eligible population'!$F$108</f>
        <v>0</v>
      </c>
      <c r="J65" s="581"/>
      <c r="K65" s="556">
        <f>'Unit costs'!L46</f>
        <v>293.11</v>
      </c>
      <c r="L65" s="268">
        <f>$K65*D65/1000</f>
        <v>0</v>
      </c>
      <c r="M65" s="268">
        <f t="shared" ref="M65:Q65" si="35">$K65*E65/1000</f>
        <v>0</v>
      </c>
      <c r="N65" s="268">
        <f t="shared" si="35"/>
        <v>0</v>
      </c>
      <c r="O65" s="268">
        <f t="shared" si="35"/>
        <v>0</v>
      </c>
      <c r="P65" s="268">
        <f t="shared" si="35"/>
        <v>0</v>
      </c>
      <c r="Q65" s="268">
        <f t="shared" si="35"/>
        <v>0</v>
      </c>
      <c r="R65" s="132"/>
      <c r="S65" s="132"/>
      <c r="Y65" s="266"/>
      <c r="Z65" s="266"/>
      <c r="AA65" s="266"/>
      <c r="AB65" s="266"/>
      <c r="AC65" s="266"/>
    </row>
    <row r="66" spans="1:29" x14ac:dyDescent="0.25">
      <c r="A66" s="578"/>
      <c r="B66" s="572"/>
      <c r="C66" s="573"/>
      <c r="D66" s="561">
        <f>SUM(D65:D65)</f>
        <v>0</v>
      </c>
      <c r="E66" s="561">
        <f t="shared" ref="E66:I66" si="36">SUM(E65:E65)</f>
        <v>0</v>
      </c>
      <c r="F66" s="561">
        <f t="shared" si="36"/>
        <v>0</v>
      </c>
      <c r="G66" s="561">
        <f t="shared" si="36"/>
        <v>0</v>
      </c>
      <c r="H66" s="561">
        <f t="shared" si="36"/>
        <v>0</v>
      </c>
      <c r="I66" s="561">
        <f t="shared" si="36"/>
        <v>0</v>
      </c>
      <c r="J66" s="581"/>
      <c r="K66" s="206"/>
      <c r="L66" s="269">
        <f t="shared" ref="L66:Q66" si="37">SUM(L65:L65)</f>
        <v>0</v>
      </c>
      <c r="M66" s="269">
        <f t="shared" si="37"/>
        <v>0</v>
      </c>
      <c r="N66" s="269">
        <f t="shared" si="37"/>
        <v>0</v>
      </c>
      <c r="O66" s="269">
        <f t="shared" si="37"/>
        <v>0</v>
      </c>
      <c r="P66" s="269">
        <f t="shared" si="37"/>
        <v>0</v>
      </c>
      <c r="Q66" s="269">
        <f t="shared" si="37"/>
        <v>0</v>
      </c>
      <c r="R66" s="132"/>
      <c r="S66" s="132"/>
      <c r="Y66" s="266"/>
      <c r="Z66" s="266"/>
      <c r="AA66" s="266"/>
      <c r="AB66" s="266"/>
      <c r="AC66" s="266"/>
    </row>
    <row r="67" spans="1:29" x14ac:dyDescent="0.25">
      <c r="A67" s="578"/>
      <c r="B67" s="276"/>
      <c r="C67" s="241"/>
      <c r="D67" s="265" t="s">
        <v>985</v>
      </c>
      <c r="E67" s="182">
        <f>E66-$D$66</f>
        <v>0</v>
      </c>
      <c r="F67" s="182">
        <f t="shared" ref="F67:I67" si="38">F66-$D$66</f>
        <v>0</v>
      </c>
      <c r="G67" s="182">
        <f t="shared" si="38"/>
        <v>0</v>
      </c>
      <c r="H67" s="182">
        <f t="shared" si="38"/>
        <v>0</v>
      </c>
      <c r="I67" s="182">
        <f t="shared" si="38"/>
        <v>0</v>
      </c>
      <c r="J67" s="581"/>
      <c r="K67" s="267"/>
      <c r="L67" s="267"/>
      <c r="M67" s="269">
        <f>M66-$L$66</f>
        <v>0</v>
      </c>
      <c r="N67" s="269">
        <f t="shared" ref="N67:Q67" si="39">N66-$L$66</f>
        <v>0</v>
      </c>
      <c r="O67" s="269">
        <f t="shared" si="39"/>
        <v>0</v>
      </c>
      <c r="P67" s="269">
        <f t="shared" si="39"/>
        <v>0</v>
      </c>
      <c r="Q67" s="269">
        <f t="shared" si="39"/>
        <v>0</v>
      </c>
      <c r="R67" s="132"/>
      <c r="S67" s="132"/>
      <c r="Y67" s="266"/>
      <c r="Z67" s="266"/>
      <c r="AA67" s="266"/>
      <c r="AB67" s="266"/>
      <c r="AC67" s="266"/>
    </row>
    <row r="68" spans="1:29" x14ac:dyDescent="0.25">
      <c r="A68" s="267"/>
      <c r="B68" s="577"/>
      <c r="C68" s="267"/>
      <c r="D68" s="267"/>
      <c r="E68" s="267"/>
      <c r="F68" s="267"/>
      <c r="G68" s="267"/>
      <c r="H68" s="267"/>
      <c r="I68" s="267"/>
      <c r="J68" s="267"/>
      <c r="K68" s="267"/>
      <c r="L68" s="267"/>
      <c r="M68" s="267"/>
      <c r="N68" s="267"/>
      <c r="O68" s="267"/>
      <c r="P68" s="267"/>
      <c r="Q68" s="267"/>
      <c r="R68" s="132"/>
      <c r="S68" s="132"/>
    </row>
    <row r="69" spans="1:29" x14ac:dyDescent="0.25">
      <c r="A69" s="578"/>
      <c r="B69" s="579" t="s">
        <v>969</v>
      </c>
      <c r="C69" s="580"/>
      <c r="D69" s="319"/>
      <c r="E69" s="319"/>
      <c r="F69" s="319"/>
      <c r="G69" s="319"/>
      <c r="H69" s="319"/>
      <c r="I69" s="205"/>
      <c r="J69" s="206"/>
      <c r="K69" s="267"/>
      <c r="L69" s="267"/>
      <c r="M69" s="267"/>
      <c r="N69" s="267"/>
      <c r="O69" s="267"/>
      <c r="P69" s="267"/>
      <c r="Q69" s="267"/>
      <c r="R69" s="132"/>
      <c r="S69" s="132"/>
      <c r="Y69" s="266"/>
      <c r="Z69" s="266"/>
      <c r="AA69" s="266"/>
      <c r="AB69" s="266"/>
      <c r="AC69" s="266"/>
    </row>
    <row r="70" spans="1:29" ht="45" x14ac:dyDescent="0.25">
      <c r="A70" s="578"/>
      <c r="B70" s="259" t="s">
        <v>94</v>
      </c>
      <c r="C70" s="385"/>
      <c r="D70" s="330" t="s">
        <v>660</v>
      </c>
      <c r="E70" s="240" t="s">
        <v>47</v>
      </c>
      <c r="F70" s="240" t="s">
        <v>48</v>
      </c>
      <c r="G70" s="164" t="s">
        <v>661</v>
      </c>
      <c r="H70" s="164" t="s">
        <v>662</v>
      </c>
      <c r="I70" s="240" t="s">
        <v>663</v>
      </c>
      <c r="J70" s="581"/>
      <c r="K70" s="164" t="s">
        <v>884</v>
      </c>
      <c r="L70" s="330" t="s">
        <v>660</v>
      </c>
      <c r="M70" s="240" t="s">
        <v>47</v>
      </c>
      <c r="N70" s="240" t="s">
        <v>48</v>
      </c>
      <c r="O70" s="164" t="s">
        <v>661</v>
      </c>
      <c r="P70" s="164" t="s">
        <v>662</v>
      </c>
      <c r="Q70" s="240" t="s">
        <v>663</v>
      </c>
      <c r="R70" s="132"/>
      <c r="S70" s="132"/>
      <c r="Y70" s="266"/>
      <c r="Z70" s="266"/>
      <c r="AA70" s="266"/>
      <c r="AB70" s="266"/>
      <c r="AC70" s="266"/>
    </row>
    <row r="71" spans="1:29" x14ac:dyDescent="0.25">
      <c r="A71" s="578"/>
      <c r="B71" s="582" t="s">
        <v>993</v>
      </c>
      <c r="C71" s="162"/>
      <c r="D71" s="371">
        <f>'Inputs and eligible population'!L80*'Inputs and eligible population'!$F$109</f>
        <v>0</v>
      </c>
      <c r="E71" s="371">
        <f>'Inputs and eligible population'!M80*'Inputs and eligible population'!$F$109</f>
        <v>0</v>
      </c>
      <c r="F71" s="371">
        <f>'Inputs and eligible population'!N80*'Inputs and eligible population'!$F$109</f>
        <v>0</v>
      </c>
      <c r="G71" s="371">
        <f>'Inputs and eligible population'!O80*'Inputs and eligible population'!$F$109</f>
        <v>0</v>
      </c>
      <c r="H71" s="371">
        <f>'Inputs and eligible population'!P80*'Inputs and eligible population'!$F$109</f>
        <v>0</v>
      </c>
      <c r="I71" s="371">
        <f>'Inputs and eligible population'!Q80*'Inputs and eligible population'!$F$109</f>
        <v>0</v>
      </c>
      <c r="J71" s="581"/>
      <c r="K71" s="556">
        <f>'Unit costs'!L47</f>
        <v>286.41000000000003</v>
      </c>
      <c r="L71" s="268">
        <f>$K71*D71/1000</f>
        <v>0</v>
      </c>
      <c r="M71" s="268">
        <f t="shared" ref="M71:Q71" si="40">$K71*E71/1000</f>
        <v>0</v>
      </c>
      <c r="N71" s="268">
        <f t="shared" si="40"/>
        <v>0</v>
      </c>
      <c r="O71" s="268">
        <f t="shared" si="40"/>
        <v>0</v>
      </c>
      <c r="P71" s="268">
        <f t="shared" si="40"/>
        <v>0</v>
      </c>
      <c r="Q71" s="268">
        <f t="shared" si="40"/>
        <v>0</v>
      </c>
      <c r="R71" s="132"/>
      <c r="S71" s="132"/>
      <c r="Y71" s="266"/>
      <c r="Z71" s="266"/>
      <c r="AA71" s="266"/>
      <c r="AB71" s="266"/>
      <c r="AC71" s="266"/>
    </row>
    <row r="72" spans="1:29" x14ac:dyDescent="0.25">
      <c r="A72" s="578"/>
      <c r="B72" s="572"/>
      <c r="C72" s="573"/>
      <c r="D72" s="561">
        <f>SUM(D71:D71)</f>
        <v>0</v>
      </c>
      <c r="E72" s="561">
        <f t="shared" ref="E72:I72" si="41">SUM(E71:E71)</f>
        <v>0</v>
      </c>
      <c r="F72" s="561">
        <f t="shared" si="41"/>
        <v>0</v>
      </c>
      <c r="G72" s="561">
        <f t="shared" si="41"/>
        <v>0</v>
      </c>
      <c r="H72" s="561">
        <f t="shared" si="41"/>
        <v>0</v>
      </c>
      <c r="I72" s="561">
        <f t="shared" si="41"/>
        <v>0</v>
      </c>
      <c r="J72" s="581"/>
      <c r="K72" s="206"/>
      <c r="L72" s="269">
        <f t="shared" ref="L72:Q72" si="42">SUM(L71:L71)</f>
        <v>0</v>
      </c>
      <c r="M72" s="269">
        <f t="shared" si="42"/>
        <v>0</v>
      </c>
      <c r="N72" s="269">
        <f t="shared" si="42"/>
        <v>0</v>
      </c>
      <c r="O72" s="269">
        <f t="shared" si="42"/>
        <v>0</v>
      </c>
      <c r="P72" s="269">
        <f t="shared" si="42"/>
        <v>0</v>
      </c>
      <c r="Q72" s="269">
        <f t="shared" si="42"/>
        <v>0</v>
      </c>
      <c r="R72" s="132"/>
      <c r="S72" s="132"/>
      <c r="Y72" s="266"/>
      <c r="Z72" s="266"/>
      <c r="AA72" s="266"/>
      <c r="AB72" s="266"/>
      <c r="AC72" s="266"/>
    </row>
    <row r="73" spans="1:29" x14ac:dyDescent="0.25">
      <c r="A73" s="578"/>
      <c r="B73" s="276"/>
      <c r="C73" s="241"/>
      <c r="D73" s="265" t="s">
        <v>963</v>
      </c>
      <c r="E73" s="182">
        <f>E72-$D$72</f>
        <v>0</v>
      </c>
      <c r="F73" s="182">
        <f t="shared" ref="F73:I73" si="43">F72-$D$72</f>
        <v>0</v>
      </c>
      <c r="G73" s="182">
        <f t="shared" si="43"/>
        <v>0</v>
      </c>
      <c r="H73" s="182">
        <f t="shared" si="43"/>
        <v>0</v>
      </c>
      <c r="I73" s="182">
        <f t="shared" si="43"/>
        <v>0</v>
      </c>
      <c r="J73" s="581"/>
      <c r="K73" s="267"/>
      <c r="L73" s="267"/>
      <c r="M73" s="269">
        <f>M72-$L$72</f>
        <v>0</v>
      </c>
      <c r="N73" s="269">
        <f t="shared" ref="N73:Q73" si="44">N72-$L$72</f>
        <v>0</v>
      </c>
      <c r="O73" s="269">
        <f t="shared" si="44"/>
        <v>0</v>
      </c>
      <c r="P73" s="269">
        <f t="shared" si="44"/>
        <v>0</v>
      </c>
      <c r="Q73" s="269">
        <f t="shared" si="44"/>
        <v>0</v>
      </c>
      <c r="R73" s="132"/>
      <c r="S73" s="132"/>
      <c r="Y73" s="266"/>
      <c r="Z73" s="266"/>
      <c r="AA73" s="266"/>
      <c r="AB73" s="266"/>
      <c r="AC73" s="266"/>
    </row>
    <row r="74" spans="1:29" x14ac:dyDescent="0.25">
      <c r="A74" s="267"/>
      <c r="B74" s="577"/>
      <c r="C74" s="267"/>
      <c r="D74" s="267"/>
      <c r="E74" s="267"/>
      <c r="F74" s="267"/>
      <c r="G74" s="267"/>
      <c r="H74" s="267"/>
      <c r="I74" s="267"/>
      <c r="J74" s="267"/>
      <c r="K74" s="267"/>
      <c r="L74" s="267"/>
      <c r="M74" s="267"/>
      <c r="N74" s="267"/>
      <c r="O74" s="267"/>
      <c r="P74" s="267"/>
      <c r="Q74" s="267"/>
      <c r="R74" s="132"/>
      <c r="S74" s="132"/>
    </row>
    <row r="75" spans="1:29" x14ac:dyDescent="0.25">
      <c r="A75" s="578"/>
      <c r="B75" s="579" t="s">
        <v>956</v>
      </c>
      <c r="C75" s="580"/>
      <c r="D75" s="319"/>
      <c r="E75" s="319"/>
      <c r="F75" s="319"/>
      <c r="G75" s="319"/>
      <c r="H75" s="319"/>
      <c r="I75" s="205"/>
      <c r="J75" s="206"/>
      <c r="K75" s="267"/>
      <c r="L75" s="267"/>
      <c r="M75" s="267"/>
      <c r="N75" s="267"/>
      <c r="O75" s="267"/>
      <c r="P75" s="267"/>
      <c r="Q75" s="267"/>
      <c r="R75" s="132"/>
      <c r="S75" s="132"/>
      <c r="Y75" s="266"/>
      <c r="Z75" s="266"/>
      <c r="AA75" s="266"/>
      <c r="AB75" s="266"/>
      <c r="AC75" s="266"/>
    </row>
    <row r="76" spans="1:29" ht="45" x14ac:dyDescent="0.25">
      <c r="A76" s="578"/>
      <c r="B76" s="259" t="s">
        <v>94</v>
      </c>
      <c r="C76" s="385"/>
      <c r="D76" s="330" t="s">
        <v>660</v>
      </c>
      <c r="E76" s="240" t="s">
        <v>47</v>
      </c>
      <c r="F76" s="240" t="s">
        <v>48</v>
      </c>
      <c r="G76" s="164" t="s">
        <v>661</v>
      </c>
      <c r="H76" s="164" t="s">
        <v>662</v>
      </c>
      <c r="I76" s="240" t="s">
        <v>663</v>
      </c>
      <c r="J76" s="581"/>
      <c r="K76" s="164" t="s">
        <v>884</v>
      </c>
      <c r="L76" s="330" t="s">
        <v>660</v>
      </c>
      <c r="M76" s="240" t="s">
        <v>47</v>
      </c>
      <c r="N76" s="240" t="s">
        <v>48</v>
      </c>
      <c r="O76" s="164" t="s">
        <v>661</v>
      </c>
      <c r="P76" s="164" t="s">
        <v>662</v>
      </c>
      <c r="Q76" s="240" t="s">
        <v>663</v>
      </c>
      <c r="R76" s="132"/>
      <c r="S76" s="132"/>
      <c r="Y76" s="266"/>
      <c r="Z76" s="266"/>
      <c r="AA76" s="266"/>
      <c r="AB76" s="266"/>
      <c r="AC76" s="266"/>
    </row>
    <row r="77" spans="1:29" x14ac:dyDescent="0.25">
      <c r="A77" s="578"/>
      <c r="B77" s="582" t="s">
        <v>993</v>
      </c>
      <c r="C77" s="162"/>
      <c r="D77" s="371">
        <f>'Inputs and eligible population'!L81*'Inputs and eligible population'!$F$110</f>
        <v>0</v>
      </c>
      <c r="E77" s="371">
        <f>'Inputs and eligible population'!M81*'Inputs and eligible population'!$F$110</f>
        <v>0</v>
      </c>
      <c r="F77" s="371">
        <f>'Inputs and eligible population'!N81*'Inputs and eligible population'!$F$110</f>
        <v>0</v>
      </c>
      <c r="G77" s="371">
        <f>'Inputs and eligible population'!O81*'Inputs and eligible population'!$F$110</f>
        <v>0</v>
      </c>
      <c r="H77" s="371">
        <f>'Inputs and eligible population'!P81*'Inputs and eligible population'!$F$110</f>
        <v>0</v>
      </c>
      <c r="I77" s="371">
        <f>'Inputs and eligible population'!Q81*'Inputs and eligible population'!$F$110</f>
        <v>0</v>
      </c>
      <c r="J77" s="581"/>
      <c r="K77" s="556">
        <f>'Unit costs'!L48</f>
        <v>320.32</v>
      </c>
      <c r="L77" s="268">
        <f>$K77*D77/1000</f>
        <v>0</v>
      </c>
      <c r="M77" s="268">
        <f t="shared" ref="M77:Q77" si="45">$K77*E77/1000</f>
        <v>0</v>
      </c>
      <c r="N77" s="268">
        <f t="shared" si="45"/>
        <v>0</v>
      </c>
      <c r="O77" s="268">
        <f t="shared" si="45"/>
        <v>0</v>
      </c>
      <c r="P77" s="268">
        <f t="shared" si="45"/>
        <v>0</v>
      </c>
      <c r="Q77" s="268">
        <f t="shared" si="45"/>
        <v>0</v>
      </c>
      <c r="R77" s="132"/>
      <c r="S77" s="132"/>
      <c r="Y77" s="266"/>
      <c r="Z77" s="266"/>
      <c r="AA77" s="266"/>
      <c r="AB77" s="266"/>
      <c r="AC77" s="266"/>
    </row>
    <row r="78" spans="1:29" x14ac:dyDescent="0.25">
      <c r="A78" s="578"/>
      <c r="B78" s="572"/>
      <c r="C78" s="573"/>
      <c r="D78" s="561">
        <f>SUM(D77:D77)</f>
        <v>0</v>
      </c>
      <c r="E78" s="561">
        <f t="shared" ref="E78:I78" si="46">SUM(E77:E77)</f>
        <v>0</v>
      </c>
      <c r="F78" s="561">
        <f t="shared" si="46"/>
        <v>0</v>
      </c>
      <c r="G78" s="561">
        <f t="shared" si="46"/>
        <v>0</v>
      </c>
      <c r="H78" s="561">
        <f t="shared" si="46"/>
        <v>0</v>
      </c>
      <c r="I78" s="561">
        <f t="shared" si="46"/>
        <v>0</v>
      </c>
      <c r="J78" s="581"/>
      <c r="K78" s="206"/>
      <c r="L78" s="269">
        <f t="shared" ref="L78:Q78" si="47">SUM(L77:L77)</f>
        <v>0</v>
      </c>
      <c r="M78" s="269">
        <f t="shared" si="47"/>
        <v>0</v>
      </c>
      <c r="N78" s="269">
        <f t="shared" si="47"/>
        <v>0</v>
      </c>
      <c r="O78" s="269">
        <f t="shared" si="47"/>
        <v>0</v>
      </c>
      <c r="P78" s="269">
        <f t="shared" si="47"/>
        <v>0</v>
      </c>
      <c r="Q78" s="269">
        <f t="shared" si="47"/>
        <v>0</v>
      </c>
      <c r="R78" s="132"/>
      <c r="S78" s="132"/>
      <c r="Y78" s="266"/>
      <c r="Z78" s="266"/>
      <c r="AA78" s="266"/>
      <c r="AB78" s="266"/>
      <c r="AC78" s="266"/>
    </row>
    <row r="79" spans="1:29" x14ac:dyDescent="0.25">
      <c r="A79" s="578"/>
      <c r="B79" s="276"/>
      <c r="C79" s="241"/>
      <c r="D79" s="265" t="s">
        <v>994</v>
      </c>
      <c r="E79" s="182">
        <f>E78-$D$78</f>
        <v>0</v>
      </c>
      <c r="F79" s="182">
        <f t="shared" ref="F79:I79" si="48">F78-$D$78</f>
        <v>0</v>
      </c>
      <c r="G79" s="182">
        <f t="shared" si="48"/>
        <v>0</v>
      </c>
      <c r="H79" s="182">
        <f t="shared" si="48"/>
        <v>0</v>
      </c>
      <c r="I79" s="182">
        <f t="shared" si="48"/>
        <v>0</v>
      </c>
      <c r="J79" s="581"/>
      <c r="K79" s="267"/>
      <c r="L79" s="267"/>
      <c r="M79" s="269">
        <f>M78-$L$78</f>
        <v>0</v>
      </c>
      <c r="N79" s="269">
        <f t="shared" ref="N79:Q79" si="49">N78-$L$78</f>
        <v>0</v>
      </c>
      <c r="O79" s="269">
        <f t="shared" si="49"/>
        <v>0</v>
      </c>
      <c r="P79" s="269">
        <f t="shared" si="49"/>
        <v>0</v>
      </c>
      <c r="Q79" s="269">
        <f t="shared" si="49"/>
        <v>0</v>
      </c>
      <c r="R79" s="132"/>
      <c r="S79" s="132"/>
      <c r="Y79" s="266"/>
      <c r="Z79" s="266"/>
      <c r="AA79" s="266"/>
      <c r="AB79" s="266"/>
      <c r="AC79" s="266"/>
    </row>
    <row r="80" spans="1:29" x14ac:dyDescent="0.25">
      <c r="A80" s="267"/>
      <c r="B80" s="577"/>
      <c r="C80" s="267"/>
      <c r="D80" s="267"/>
      <c r="E80" s="267"/>
      <c r="F80" s="267"/>
      <c r="G80" s="267"/>
      <c r="H80" s="267"/>
      <c r="I80" s="267"/>
      <c r="J80" s="267"/>
      <c r="K80" s="267"/>
      <c r="L80" s="267"/>
      <c r="M80" s="267"/>
      <c r="N80" s="267"/>
      <c r="O80" s="267"/>
      <c r="P80" s="267"/>
      <c r="Q80" s="267"/>
      <c r="R80" s="132"/>
      <c r="S80" s="132"/>
    </row>
    <row r="81" spans="1:34" x14ac:dyDescent="0.25">
      <c r="A81" s="737"/>
      <c r="B81" s="784" t="s">
        <v>995</v>
      </c>
      <c r="C81" s="737"/>
      <c r="D81" s="737"/>
      <c r="E81" s="737"/>
      <c r="F81" s="737"/>
      <c r="G81" s="737"/>
      <c r="H81" s="737"/>
      <c r="I81" s="737"/>
      <c r="J81" s="737"/>
      <c r="K81" s="737"/>
      <c r="L81" s="737"/>
      <c r="M81" s="737"/>
      <c r="N81" s="737"/>
      <c r="O81" s="737"/>
      <c r="P81" s="737"/>
      <c r="Q81" s="737"/>
      <c r="S81" s="132"/>
    </row>
    <row r="82" spans="1:34" x14ac:dyDescent="0.25">
      <c r="A82" s="743"/>
      <c r="B82" s="738" t="s">
        <v>971</v>
      </c>
      <c r="C82" s="739"/>
      <c r="D82" s="740"/>
      <c r="E82" s="740"/>
      <c r="F82" s="740"/>
      <c r="G82" s="740"/>
      <c r="H82" s="740"/>
      <c r="I82" s="741"/>
      <c r="J82" s="742"/>
      <c r="K82" s="737"/>
      <c r="L82" s="737"/>
      <c r="M82" s="737"/>
      <c r="N82" s="737"/>
      <c r="O82" s="737"/>
      <c r="P82" s="737"/>
      <c r="Q82" s="737"/>
      <c r="R82" s="132"/>
      <c r="S82" s="132"/>
      <c r="Y82" s="266"/>
      <c r="Z82" s="266"/>
      <c r="AA82" s="266"/>
      <c r="AB82" s="266"/>
      <c r="AC82" s="266"/>
    </row>
    <row r="83" spans="1:34" ht="45" x14ac:dyDescent="0.25">
      <c r="A83" s="743"/>
      <c r="B83" s="259" t="s">
        <v>94</v>
      </c>
      <c r="C83" s="385"/>
      <c r="D83" s="330" t="s">
        <v>660</v>
      </c>
      <c r="E83" s="240" t="s">
        <v>47</v>
      </c>
      <c r="F83" s="240" t="s">
        <v>48</v>
      </c>
      <c r="G83" s="164" t="s">
        <v>661</v>
      </c>
      <c r="H83" s="164" t="s">
        <v>662</v>
      </c>
      <c r="I83" s="240" t="s">
        <v>663</v>
      </c>
      <c r="J83" s="744"/>
      <c r="K83" s="164" t="s">
        <v>884</v>
      </c>
      <c r="L83" s="330" t="s">
        <v>660</v>
      </c>
      <c r="M83" s="240" t="s">
        <v>47</v>
      </c>
      <c r="N83" s="240" t="s">
        <v>48</v>
      </c>
      <c r="O83" s="164" t="s">
        <v>661</v>
      </c>
      <c r="P83" s="164" t="s">
        <v>662</v>
      </c>
      <c r="Q83" s="240" t="s">
        <v>663</v>
      </c>
      <c r="R83" s="132"/>
      <c r="S83" s="132"/>
      <c r="Y83" s="266"/>
      <c r="Z83" s="266"/>
      <c r="AA83" s="266"/>
      <c r="AB83" s="266"/>
      <c r="AC83" s="266"/>
    </row>
    <row r="84" spans="1:34" x14ac:dyDescent="0.25">
      <c r="A84" s="743"/>
      <c r="B84" s="582" t="s">
        <v>827</v>
      </c>
      <c r="C84" s="162"/>
      <c r="D84" s="371">
        <f>'Inputs and eligible population'!L86*'Inputs and eligible population'!$F$112*'Inputs and eligible population'!$F$113</f>
        <v>0</v>
      </c>
      <c r="E84" s="371">
        <f>'Inputs and eligible population'!M86*'Inputs and eligible population'!$F$112*'Inputs and eligible population'!$F$113</f>
        <v>0</v>
      </c>
      <c r="F84" s="371">
        <f>'Inputs and eligible population'!N86*'Inputs and eligible population'!$F$112*'Inputs and eligible population'!$F$113</f>
        <v>0</v>
      </c>
      <c r="G84" s="371">
        <f>'Inputs and eligible population'!O86*'Inputs and eligible population'!$F$112*'Inputs and eligible population'!$F$113</f>
        <v>0</v>
      </c>
      <c r="H84" s="371">
        <f>'Inputs and eligible population'!P86*'Inputs and eligible population'!$F$112*'Inputs and eligible population'!$F$113</f>
        <v>0</v>
      </c>
      <c r="I84" s="371">
        <f>'Inputs and eligible population'!Q86*'Inputs and eligible population'!$F$112*'Inputs and eligible population'!$F$113</f>
        <v>0</v>
      </c>
      <c r="J84" s="744"/>
      <c r="K84" s="556">
        <f>'Unit costs'!M41</f>
        <v>206.44294295390824</v>
      </c>
      <c r="L84" s="268">
        <f>$K84*D84/1000</f>
        <v>0</v>
      </c>
      <c r="M84" s="268">
        <f t="shared" ref="M84:Q84" si="50">$K84*E84/1000</f>
        <v>0</v>
      </c>
      <c r="N84" s="268">
        <f t="shared" si="50"/>
        <v>0</v>
      </c>
      <c r="O84" s="268">
        <f t="shared" si="50"/>
        <v>0</v>
      </c>
      <c r="P84" s="268">
        <f t="shared" si="50"/>
        <v>0</v>
      </c>
      <c r="Q84" s="268">
        <f t="shared" si="50"/>
        <v>0</v>
      </c>
      <c r="R84" s="132"/>
      <c r="S84" s="132"/>
      <c r="Y84" s="266"/>
      <c r="Z84" s="266"/>
      <c r="AA84" s="266"/>
      <c r="AB84" s="266"/>
      <c r="AC84" s="266"/>
    </row>
    <row r="85" spans="1:34" x14ac:dyDescent="0.25">
      <c r="A85" s="743"/>
      <c r="B85" s="572"/>
      <c r="C85" s="573"/>
      <c r="D85" s="561">
        <f>SUM(D84:D84)</f>
        <v>0</v>
      </c>
      <c r="E85" s="561">
        <f t="shared" ref="E85:I85" si="51">SUM(E84:E84)</f>
        <v>0</v>
      </c>
      <c r="F85" s="561">
        <f t="shared" si="51"/>
        <v>0</v>
      </c>
      <c r="G85" s="561">
        <f t="shared" si="51"/>
        <v>0</v>
      </c>
      <c r="H85" s="561">
        <f t="shared" si="51"/>
        <v>0</v>
      </c>
      <c r="I85" s="561">
        <f t="shared" si="51"/>
        <v>0</v>
      </c>
      <c r="J85" s="744"/>
      <c r="K85" s="742"/>
      <c r="L85" s="269">
        <f t="shared" ref="L85:Q85" si="52">SUM(L84:L84)</f>
        <v>0</v>
      </c>
      <c r="M85" s="269">
        <f t="shared" si="52"/>
        <v>0</v>
      </c>
      <c r="N85" s="269">
        <f t="shared" si="52"/>
        <v>0</v>
      </c>
      <c r="O85" s="269">
        <f t="shared" si="52"/>
        <v>0</v>
      </c>
      <c r="P85" s="269">
        <f t="shared" si="52"/>
        <v>0</v>
      </c>
      <c r="Q85" s="269">
        <f t="shared" si="52"/>
        <v>0</v>
      </c>
      <c r="R85" s="132"/>
      <c r="S85" s="132"/>
      <c r="Y85" s="266"/>
      <c r="Z85" s="266"/>
      <c r="AA85" s="266"/>
      <c r="AB85" s="266"/>
      <c r="AC85" s="266"/>
    </row>
    <row r="86" spans="1:34" x14ac:dyDescent="0.25">
      <c r="A86" s="743"/>
      <c r="B86" s="276"/>
      <c r="C86" s="241"/>
      <c r="D86" s="265" t="s">
        <v>983</v>
      </c>
      <c r="E86" s="182">
        <f>E85-$D$85</f>
        <v>0</v>
      </c>
      <c r="F86" s="182">
        <f t="shared" ref="F86:I86" si="53">F85-$D$85</f>
        <v>0</v>
      </c>
      <c r="G86" s="182">
        <f t="shared" si="53"/>
        <v>0</v>
      </c>
      <c r="H86" s="182">
        <f t="shared" si="53"/>
        <v>0</v>
      </c>
      <c r="I86" s="182">
        <f t="shared" si="53"/>
        <v>0</v>
      </c>
      <c r="J86" s="744"/>
      <c r="K86" s="737"/>
      <c r="L86" s="737"/>
      <c r="M86" s="269">
        <f>M85-$L$85</f>
        <v>0</v>
      </c>
      <c r="N86" s="269">
        <f t="shared" ref="N86:Q86" si="54">N85-$L$85</f>
        <v>0</v>
      </c>
      <c r="O86" s="269">
        <f t="shared" si="54"/>
        <v>0</v>
      </c>
      <c r="P86" s="269">
        <f t="shared" si="54"/>
        <v>0</v>
      </c>
      <c r="Q86" s="269">
        <f t="shared" si="54"/>
        <v>0</v>
      </c>
      <c r="R86" s="132"/>
      <c r="S86" s="132"/>
      <c r="Y86" s="266"/>
      <c r="Z86" s="266"/>
      <c r="AA86" s="266"/>
      <c r="AB86" s="266"/>
      <c r="AC86" s="266"/>
    </row>
    <row r="87" spans="1:34" x14ac:dyDescent="0.25">
      <c r="A87" s="737"/>
      <c r="B87" s="736"/>
      <c r="C87" s="737"/>
      <c r="D87" s="737"/>
      <c r="E87" s="737"/>
      <c r="F87" s="737"/>
      <c r="G87" s="737"/>
      <c r="H87" s="737"/>
      <c r="I87" s="737"/>
      <c r="J87" s="737"/>
      <c r="K87" s="737"/>
      <c r="L87" s="737"/>
      <c r="M87" s="737"/>
      <c r="N87" s="737"/>
      <c r="O87" s="737"/>
      <c r="P87" s="737"/>
      <c r="Q87" s="737"/>
      <c r="R87" s="132"/>
      <c r="S87" s="132"/>
    </row>
    <row r="88" spans="1:34" x14ac:dyDescent="0.25">
      <c r="A88" s="743"/>
      <c r="B88" s="738" t="s">
        <v>979</v>
      </c>
      <c r="C88" s="739"/>
      <c r="D88" s="740"/>
      <c r="E88" s="740"/>
      <c r="F88" s="740"/>
      <c r="G88" s="740"/>
      <c r="H88" s="740"/>
      <c r="I88" s="741"/>
      <c r="J88" s="742"/>
      <c r="K88" s="737"/>
      <c r="L88" s="737"/>
      <c r="M88" s="737"/>
      <c r="N88" s="737"/>
      <c r="O88" s="737"/>
      <c r="P88" s="737"/>
      <c r="Q88" s="737"/>
      <c r="R88" s="132"/>
      <c r="S88" s="132"/>
      <c r="Y88" s="266"/>
      <c r="Z88" s="266"/>
      <c r="AA88" s="266"/>
      <c r="AB88" s="266"/>
      <c r="AC88" s="266"/>
    </row>
    <row r="89" spans="1:34" ht="45" x14ac:dyDescent="0.25">
      <c r="A89" s="743"/>
      <c r="B89" s="259" t="s">
        <v>94</v>
      </c>
      <c r="C89" s="385"/>
      <c r="D89" s="330" t="s">
        <v>660</v>
      </c>
      <c r="E89" s="240" t="s">
        <v>47</v>
      </c>
      <c r="F89" s="240" t="s">
        <v>48</v>
      </c>
      <c r="G89" s="164" t="s">
        <v>661</v>
      </c>
      <c r="H89" s="164" t="s">
        <v>662</v>
      </c>
      <c r="I89" s="240" t="s">
        <v>663</v>
      </c>
      <c r="J89" s="744"/>
      <c r="K89" s="164" t="s">
        <v>884</v>
      </c>
      <c r="L89" s="330" t="s">
        <v>660</v>
      </c>
      <c r="M89" s="240" t="s">
        <v>47</v>
      </c>
      <c r="N89" s="240" t="s">
        <v>48</v>
      </c>
      <c r="O89" s="164" t="s">
        <v>661</v>
      </c>
      <c r="P89" s="164" t="s">
        <v>662</v>
      </c>
      <c r="Q89" s="240" t="s">
        <v>663</v>
      </c>
      <c r="R89" s="132"/>
      <c r="S89" s="132"/>
      <c r="Y89" s="266"/>
      <c r="Z89" s="266"/>
      <c r="AA89" s="266"/>
      <c r="AB89" s="266"/>
      <c r="AC89" s="266"/>
    </row>
    <row r="90" spans="1:34" x14ac:dyDescent="0.25">
      <c r="A90" s="743"/>
      <c r="B90" s="582" t="s">
        <v>827</v>
      </c>
      <c r="C90" s="162"/>
      <c r="D90" s="371">
        <f>IFERROR('Inputs and eligible population'!L86*'Inputs and eligible population'!$F$114*'Inputs and eligible population'!$F$115,0)</f>
        <v>0</v>
      </c>
      <c r="E90" s="371">
        <f>IFERROR('Inputs and eligible population'!M86*'Inputs and eligible population'!$F$114*'Inputs and eligible population'!$F$115,0)</f>
        <v>0</v>
      </c>
      <c r="F90" s="371">
        <f>IFERROR('Inputs and eligible population'!N86*'Inputs and eligible population'!$F$114*'Inputs and eligible population'!$F$115,0)</f>
        <v>0</v>
      </c>
      <c r="G90" s="371">
        <f>IFERROR('Inputs and eligible population'!O86*'Inputs and eligible population'!$F$114*'Inputs and eligible population'!$F$115,0)</f>
        <v>0</v>
      </c>
      <c r="H90" s="371">
        <f>IFERROR('Inputs and eligible population'!P86*'Inputs and eligible population'!$F$114*'Inputs and eligible population'!$F$115,0)</f>
        <v>0</v>
      </c>
      <c r="I90" s="371">
        <f>IFERROR('Inputs and eligible population'!Q86*'Inputs and eligible population'!$F$114*'Inputs and eligible population'!$F$115,0)</f>
        <v>0</v>
      </c>
      <c r="J90" s="744"/>
      <c r="K90" s="556">
        <f>'Inputs and eligible population'!J115</f>
        <v>23.805</v>
      </c>
      <c r="L90" s="268">
        <f>$K90*D90/1000</f>
        <v>0</v>
      </c>
      <c r="M90" s="268">
        <f t="shared" ref="M90:Q90" si="55">$K90*E90/1000</f>
        <v>0</v>
      </c>
      <c r="N90" s="268">
        <f t="shared" si="55"/>
        <v>0</v>
      </c>
      <c r="O90" s="268">
        <f t="shared" si="55"/>
        <v>0</v>
      </c>
      <c r="P90" s="268">
        <f t="shared" si="55"/>
        <v>0</v>
      </c>
      <c r="Q90" s="268">
        <f t="shared" si="55"/>
        <v>0</v>
      </c>
      <c r="R90" s="132"/>
      <c r="S90" s="132"/>
      <c r="Y90" s="266"/>
      <c r="Z90" s="266"/>
      <c r="AA90" s="266"/>
      <c r="AB90" s="266"/>
      <c r="AC90" s="266"/>
    </row>
    <row r="91" spans="1:34" x14ac:dyDescent="0.25">
      <c r="A91" s="743"/>
      <c r="B91" s="572"/>
      <c r="C91" s="573"/>
      <c r="D91" s="561">
        <f>SUM(D90:D90)</f>
        <v>0</v>
      </c>
      <c r="E91" s="561">
        <f t="shared" ref="E91:I91" si="56">SUM(E90:E90)</f>
        <v>0</v>
      </c>
      <c r="F91" s="561">
        <f t="shared" si="56"/>
        <v>0</v>
      </c>
      <c r="G91" s="561">
        <f t="shared" si="56"/>
        <v>0</v>
      </c>
      <c r="H91" s="561">
        <f t="shared" si="56"/>
        <v>0</v>
      </c>
      <c r="I91" s="561">
        <f t="shared" si="56"/>
        <v>0</v>
      </c>
      <c r="J91" s="744"/>
      <c r="K91" s="742"/>
      <c r="L91" s="269">
        <f t="shared" ref="L91:Q91" si="57">SUM(L90:L90)</f>
        <v>0</v>
      </c>
      <c r="M91" s="269">
        <f t="shared" si="57"/>
        <v>0</v>
      </c>
      <c r="N91" s="269">
        <f t="shared" si="57"/>
        <v>0</v>
      </c>
      <c r="O91" s="269">
        <f t="shared" si="57"/>
        <v>0</v>
      </c>
      <c r="P91" s="269">
        <f t="shared" si="57"/>
        <v>0</v>
      </c>
      <c r="Q91" s="269">
        <f t="shared" si="57"/>
        <v>0</v>
      </c>
      <c r="R91" s="132"/>
      <c r="S91" s="132"/>
      <c r="Y91" s="266"/>
      <c r="Z91" s="266"/>
      <c r="AA91" s="266"/>
      <c r="AB91" s="266"/>
      <c r="AC91" s="266"/>
    </row>
    <row r="92" spans="1:34" x14ac:dyDescent="0.25">
      <c r="A92" s="743"/>
      <c r="B92" s="276"/>
      <c r="C92" s="241"/>
      <c r="D92" s="265" t="s">
        <v>983</v>
      </c>
      <c r="E92" s="182">
        <f>E91-$D$91</f>
        <v>0</v>
      </c>
      <c r="F92" s="182">
        <f t="shared" ref="F92:I92" si="58">F91-$D$91</f>
        <v>0</v>
      </c>
      <c r="G92" s="182">
        <f t="shared" si="58"/>
        <v>0</v>
      </c>
      <c r="H92" s="182">
        <f t="shared" si="58"/>
        <v>0</v>
      </c>
      <c r="I92" s="182">
        <f t="shared" si="58"/>
        <v>0</v>
      </c>
      <c r="J92" s="744"/>
      <c r="K92" s="737"/>
      <c r="L92" s="737"/>
      <c r="M92" s="269">
        <f>M91-$L$91</f>
        <v>0</v>
      </c>
      <c r="N92" s="269">
        <f t="shared" ref="N92:Q92" si="59">N91-$L$91</f>
        <v>0</v>
      </c>
      <c r="O92" s="269">
        <f t="shared" si="59"/>
        <v>0</v>
      </c>
      <c r="P92" s="269">
        <f t="shared" si="59"/>
        <v>0</v>
      </c>
      <c r="Q92" s="269">
        <f t="shared" si="59"/>
        <v>0</v>
      </c>
      <c r="R92" s="132"/>
      <c r="S92" s="132"/>
      <c r="Y92" s="266"/>
      <c r="Z92" s="266"/>
      <c r="AA92" s="266"/>
      <c r="AB92" s="266"/>
      <c r="AC92" s="266"/>
    </row>
    <row r="93" spans="1:34" x14ac:dyDescent="0.25">
      <c r="A93" s="737"/>
      <c r="B93" s="736"/>
      <c r="C93" s="737"/>
      <c r="D93" s="737"/>
      <c r="E93" s="737"/>
      <c r="F93" s="737"/>
      <c r="G93" s="737"/>
      <c r="H93" s="737"/>
      <c r="I93" s="737"/>
      <c r="J93" s="737"/>
      <c r="K93" s="737"/>
      <c r="L93" s="737"/>
      <c r="M93" s="737"/>
      <c r="N93" s="737"/>
      <c r="O93" s="737"/>
      <c r="P93" s="737"/>
      <c r="Q93" s="737"/>
      <c r="S93" s="132"/>
    </row>
    <row r="94" spans="1:34" x14ac:dyDescent="0.25">
      <c r="S94" s="132"/>
    </row>
    <row r="95" spans="1:34" x14ac:dyDescent="0.25">
      <c r="B95"/>
      <c r="S95" s="132"/>
      <c r="T95" s="132"/>
      <c r="AD95" s="266"/>
      <c r="AE95" s="266"/>
      <c r="AF95" s="266"/>
      <c r="AG95" s="266"/>
      <c r="AH95" s="266"/>
    </row>
    <row r="96" spans="1:34" x14ac:dyDescent="0.25">
      <c r="A96" s="408"/>
      <c r="B96" s="408"/>
      <c r="C96" s="408"/>
      <c r="D96" s="408"/>
      <c r="E96" s="408"/>
      <c r="F96" s="408"/>
      <c r="G96" s="408"/>
      <c r="H96" s="408"/>
      <c r="I96" s="408"/>
      <c r="J96" s="408"/>
      <c r="K96" s="408"/>
      <c r="L96" s="408"/>
      <c r="M96" s="408"/>
      <c r="N96" s="408"/>
      <c r="O96" s="408"/>
      <c r="P96" s="408"/>
      <c r="Q96" s="408"/>
      <c r="S96" s="132"/>
      <c r="T96" s="132"/>
      <c r="AD96" s="266"/>
      <c r="AE96" s="266"/>
      <c r="AF96" s="266"/>
      <c r="AG96" s="266"/>
      <c r="AH96" s="266"/>
    </row>
    <row r="97" spans="1:34" x14ac:dyDescent="0.25">
      <c r="A97" s="750"/>
      <c r="B97" s="750"/>
      <c r="C97" s="750"/>
      <c r="D97" s="750"/>
      <c r="E97" s="750"/>
      <c r="F97" s="750"/>
      <c r="G97" s="750"/>
      <c r="H97" s="750"/>
      <c r="I97" s="750"/>
      <c r="J97" s="750"/>
      <c r="K97" s="750"/>
      <c r="L97" s="750"/>
      <c r="M97" s="750"/>
      <c r="N97" s="750"/>
      <c r="O97" s="750"/>
      <c r="P97" s="750"/>
      <c r="Q97" s="750"/>
      <c r="S97" s="132"/>
      <c r="T97" s="132"/>
      <c r="AD97" s="266"/>
      <c r="AE97" s="266"/>
      <c r="AF97" s="266"/>
      <c r="AG97" s="266"/>
      <c r="AH97" s="266"/>
    </row>
    <row r="98" spans="1:34" x14ac:dyDescent="0.25">
      <c r="A98" s="750"/>
      <c r="B98" s="750"/>
      <c r="C98" s="750"/>
      <c r="D98" s="750"/>
      <c r="E98" s="750"/>
      <c r="F98" s="750"/>
      <c r="G98" s="750"/>
      <c r="H98" s="750"/>
      <c r="I98" s="750"/>
      <c r="J98" s="750"/>
      <c r="K98" s="750"/>
      <c r="L98" s="750"/>
      <c r="M98" s="750"/>
      <c r="N98" s="750"/>
      <c r="O98" s="750"/>
      <c r="P98" s="750"/>
      <c r="Q98" s="750"/>
      <c r="S98" s="132"/>
      <c r="T98" s="132"/>
      <c r="AD98" s="266"/>
      <c r="AE98" s="266"/>
      <c r="AF98" s="266"/>
      <c r="AG98" s="266"/>
      <c r="AH98" s="266"/>
    </row>
    <row r="99" spans="1:34" x14ac:dyDescent="0.25">
      <c r="A99" s="750"/>
      <c r="B99" s="750"/>
      <c r="C99" s="750"/>
      <c r="D99" s="750"/>
      <c r="E99" s="750"/>
      <c r="F99" s="750"/>
      <c r="G99" s="750"/>
      <c r="H99" s="750"/>
      <c r="I99" s="750"/>
      <c r="J99" s="750"/>
      <c r="K99" s="750"/>
      <c r="L99" s="750"/>
      <c r="M99" s="750"/>
      <c r="N99" s="750"/>
      <c r="O99" s="750"/>
      <c r="P99" s="750"/>
      <c r="Q99" s="750"/>
      <c r="S99" s="132"/>
      <c r="T99" s="132"/>
      <c r="AD99" s="266"/>
      <c r="AE99" s="266"/>
      <c r="AF99" s="266"/>
      <c r="AG99" s="266"/>
      <c r="AH99" s="266"/>
    </row>
    <row r="100" spans="1:34" x14ac:dyDescent="0.25">
      <c r="A100" s="750"/>
      <c r="B100" s="750"/>
      <c r="C100" s="750"/>
      <c r="D100" s="750"/>
      <c r="E100" s="750"/>
      <c r="F100" s="750"/>
      <c r="G100" s="750"/>
      <c r="H100" s="750"/>
      <c r="I100" s="750"/>
      <c r="J100" s="750"/>
      <c r="K100" s="750"/>
      <c r="L100" s="750"/>
      <c r="M100" s="750"/>
      <c r="N100" s="750"/>
      <c r="O100" s="750"/>
      <c r="P100" s="750"/>
      <c r="Q100" s="750"/>
      <c r="S100" s="132"/>
      <c r="T100" s="132"/>
      <c r="AD100" s="266"/>
      <c r="AE100" s="266"/>
      <c r="AF100" s="266"/>
      <c r="AG100" s="266"/>
      <c r="AH100" s="266"/>
    </row>
    <row r="101" spans="1:34" ht="15" customHeight="1" x14ac:dyDescent="0.25">
      <c r="A101" s="549"/>
      <c r="B101" s="549"/>
      <c r="C101" s="549"/>
      <c r="D101" s="549"/>
      <c r="E101" s="549"/>
      <c r="F101" s="549"/>
      <c r="G101" s="549"/>
      <c r="H101" s="549"/>
      <c r="I101" s="549"/>
      <c r="J101" s="549"/>
      <c r="K101" s="549"/>
      <c r="L101" s="549"/>
      <c r="M101" s="549"/>
      <c r="N101" s="549"/>
      <c r="O101" s="549"/>
      <c r="P101" s="549"/>
      <c r="Q101" s="549"/>
      <c r="S101" s="132"/>
      <c r="T101" s="132"/>
      <c r="AD101" s="266"/>
      <c r="AE101" s="266"/>
      <c r="AF101" s="266"/>
      <c r="AG101" s="266"/>
      <c r="AH101" s="266"/>
    </row>
    <row r="102" spans="1:34" x14ac:dyDescent="0.25">
      <c r="A102" s="549"/>
      <c r="B102" s="549"/>
      <c r="C102" s="549"/>
      <c r="D102" s="549"/>
      <c r="E102" s="549"/>
      <c r="F102" s="549"/>
      <c r="G102" s="549"/>
      <c r="H102" s="549"/>
      <c r="I102" s="549"/>
      <c r="J102" s="549"/>
      <c r="K102" s="549"/>
      <c r="L102" s="549"/>
      <c r="M102" s="549"/>
      <c r="N102" s="549"/>
      <c r="O102" s="549"/>
      <c r="P102" s="549"/>
      <c r="Q102" s="549"/>
      <c r="S102" s="132"/>
      <c r="T102" s="132"/>
      <c r="AD102" s="266"/>
      <c r="AE102" s="266"/>
      <c r="AF102" s="266"/>
      <c r="AG102" s="266"/>
      <c r="AH102" s="266"/>
    </row>
    <row r="103" spans="1:34" x14ac:dyDescent="0.25">
      <c r="B103"/>
    </row>
    <row r="104" spans="1:34" x14ac:dyDescent="0.25">
      <c r="B104"/>
    </row>
    <row r="105" spans="1:34" x14ac:dyDescent="0.25">
      <c r="B105"/>
    </row>
  </sheetData>
  <sheetProtection algorithmName="SHA-512" hashValue="+uT8vkoOBK768E11MrzrDYMfsAyoA2dAIOe+UWnz0YS7wtd4iwyFVkonFERrhJ1mWr6TwfoDQjIzP0yzBts3lw==" saltValue="5VX+FVvIOAF7niU0ZUYIhw==" spinCount="100000" sheet="1" objects="1" scenarios="1"/>
  <mergeCells count="1">
    <mergeCell ref="B21:Q21"/>
  </mergeCell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SharedWithUsers>
    <lcf76f155ced4ddcb4097134ff3c332f xmlns="acaf4567-dc07-471f-892c-2bcb86ef35a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820E61-B1EF-4464-894F-B789B93610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024C17-9003-4474-A67F-56162B9CF558}">
  <ds:schemaRefs>
    <ds:schemaRef ds:uri="0eb656aa-4e79-4e95-9076-bc119a23e0cc"/>
    <ds:schemaRef ds:uri="c1f338ac-e338-414f-952c-f74dcc6d59e1"/>
    <ds:schemaRef ds:uri="http://schemas.microsoft.com/office/2006/documentManagement/types"/>
    <ds:schemaRef ds:uri="http://schemas.microsoft.com/office/2006/metadata/properties"/>
    <ds:schemaRef ds:uri="acaf4567-dc07-471f-892c-2bcb86ef35ae"/>
    <ds:schemaRef ds:uri="http://purl.org/dc/dcmitype/"/>
    <ds:schemaRef ds:uri="http://purl.org/dc/term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24</vt:i4>
      </vt:variant>
    </vt:vector>
  </HeadingPairs>
  <TitlesOfParts>
    <vt:vector size="34" baseType="lpstr">
      <vt:lpstr>Cover</vt:lpstr>
      <vt:lpstr>Contents</vt:lpstr>
      <vt:lpstr>Inputs and eligible population</vt:lpstr>
      <vt:lpstr>Population selection</vt:lpstr>
      <vt:lpstr>Unit costs</vt:lpstr>
      <vt:lpstr>Summary </vt:lpstr>
      <vt:lpstr>Financial impact (cash)</vt:lpstr>
      <vt:lpstr>Capacity (local prices)</vt:lpstr>
      <vt:lpstr>Capacity (national prices)</vt:lpstr>
      <vt:lpstr>payscales</vt:lpstr>
      <vt:lpstr>Bands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 '!Print_Area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 Menopause: identification and management: Resource impact template 07/11/2024</dc:title>
  <dc:subject/>
  <dc:creator/>
  <cp:keywords/>
  <dc:description/>
  <cp:lastModifiedBy/>
  <cp:revision/>
  <dcterms:created xsi:type="dcterms:W3CDTF">2022-07-27T12:38:28Z</dcterms:created>
  <dcterms:modified xsi:type="dcterms:W3CDTF">2024-11-21T18:02:59Z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ies>
</file>