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defaultThemeVersion="124226"/>
  <xr:revisionPtr revIDLastSave="0" documentId="13_ncr:1_{293080D3-EA0E-41B9-8824-68D042F37556}" xr6:coauthVersionLast="47" xr6:coauthVersionMax="47" xr10:uidLastSave="{00000000-0000-0000-0000-000000000000}"/>
  <bookViews>
    <workbookView xWindow="-120" yWindow="-120" windowWidth="24240" windowHeight="13140" tabRatio="929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  <sheet name="QOF DM 5 years" sheetId="58" state="hidden" r:id="rId11"/>
  </sheet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 localSheetId="10">#REF!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numStrats">#REF!</definedName>
    <definedName name="ORGTYPE" localSheetId="7">#REF!</definedName>
    <definedName name="ORGTYPE" localSheetId="8">#REF!</definedName>
    <definedName name="ORGTYPE" localSheetId="0">#REF!</definedName>
    <definedName name="ORGTYPE" localSheetId="6">#REF!</definedName>
    <definedName name="ORGTYPE" localSheetId="10">#REF!</definedName>
    <definedName name="ORGTYPE" localSheetId="5">#REF!</definedName>
    <definedName name="ORGTYPE">'Population selection'!$L$5:$L$14</definedName>
    <definedName name="ORGTYPE2" localSheetId="10">#REF!</definedName>
    <definedName name="ORGTYPE2">#REF!</definedName>
    <definedName name="ORGTYPE3" localSheetId="10">#REF!</definedName>
    <definedName name="ORGTYPE3">#REF!</definedName>
    <definedName name="PER100K">'Population selection'!$B$23</definedName>
    <definedName name="Popindicator" localSheetId="10">#REF!</definedName>
    <definedName name="Popindicator">'Population selection'!$B$549:$B$564</definedName>
    <definedName name="_xlnm.Print_Area" localSheetId="7">'Capacity (local prices)'!$B$1:$S$159</definedName>
    <definedName name="_xlnm.Print_Area" localSheetId="8">'Capacity (national prices)'!$B$1:$S$159</definedName>
    <definedName name="_xlnm.Print_Area" localSheetId="1">Contents!$A$1:$P$29</definedName>
    <definedName name="_xlnm.Print_Area" localSheetId="0">Cover!$A$1:$P$36</definedName>
    <definedName name="_xlnm.Print_Area" localSheetId="6">'Financial impact (cash)'!$B$1:$J$24</definedName>
    <definedName name="_xlnm.Print_Area" localSheetId="3">'Inputs and eligible population'!$A$2:$S$139</definedName>
    <definedName name="_xlnm.Print_Area" localSheetId="2">'Population selection'!$B$11:$J$17</definedName>
    <definedName name="_xlnm.Print_Area" localSheetId="5">Summary!$B$1:$K$78</definedName>
    <definedName name="_xlnm.Print_Area" localSheetId="4">'Unit costs'!$B$1:$T$148</definedName>
    <definedName name="rngStrats">OFFSET(#REF!, 0, 0, numStrats)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1" l="1"/>
  <c r="H107" i="21"/>
  <c r="L22" i="21"/>
  <c r="L19" i="21"/>
  <c r="O9" i="21"/>
  <c r="H86" i="21"/>
  <c r="H110" i="21"/>
  <c r="G75" i="21" l="1"/>
  <c r="C52" i="50" l="1"/>
  <c r="G44" i="50"/>
  <c r="G43" i="50"/>
  <c r="C43" i="50"/>
  <c r="C44" i="50"/>
  <c r="C6" i="58" l="1"/>
  <c r="D6" i="58"/>
  <c r="E6" i="58"/>
  <c r="F6" i="58"/>
  <c r="B6" i="58"/>
  <c r="B5" i="58"/>
  <c r="N3" i="58"/>
  <c r="N6" i="58"/>
  <c r="N7" i="58"/>
  <c r="J3" i="58"/>
  <c r="H3" i="58"/>
  <c r="B7" i="58"/>
  <c r="C51" i="50"/>
  <c r="R9" i="21"/>
  <c r="C101" i="56" l="1"/>
  <c r="C100" i="56"/>
  <c r="C99" i="56"/>
  <c r="C98" i="56"/>
  <c r="C91" i="56"/>
  <c r="C90" i="56"/>
  <c r="C89" i="56"/>
  <c r="C88" i="56"/>
  <c r="C82" i="56"/>
  <c r="C81" i="56"/>
  <c r="C80" i="56"/>
  <c r="C79" i="56"/>
  <c r="C73" i="56"/>
  <c r="C72" i="56"/>
  <c r="C71" i="56"/>
  <c r="C70" i="56"/>
  <c r="K54" i="56"/>
  <c r="K40" i="56"/>
  <c r="K41" i="56"/>
  <c r="K42" i="56"/>
  <c r="K43" i="56"/>
  <c r="K44" i="56"/>
  <c r="K45" i="56"/>
  <c r="K46" i="56"/>
  <c r="K47" i="56"/>
  <c r="K39" i="56"/>
  <c r="C47" i="56"/>
  <c r="C46" i="56"/>
  <c r="C45" i="56"/>
  <c r="C44" i="56"/>
  <c r="C43" i="56"/>
  <c r="C42" i="56"/>
  <c r="C41" i="56"/>
  <c r="C40" i="56"/>
  <c r="C39" i="56"/>
  <c r="C101" i="46"/>
  <c r="C100" i="46"/>
  <c r="C99" i="46"/>
  <c r="C98" i="46"/>
  <c r="C91" i="46"/>
  <c r="C90" i="46"/>
  <c r="C89" i="46"/>
  <c r="C88" i="46"/>
  <c r="C82" i="46"/>
  <c r="C81" i="46"/>
  <c r="C80" i="46"/>
  <c r="C79" i="46"/>
  <c r="C73" i="46"/>
  <c r="C72" i="46"/>
  <c r="C71" i="46"/>
  <c r="C70" i="46"/>
  <c r="C47" i="46"/>
  <c r="C46" i="46"/>
  <c r="C45" i="46"/>
  <c r="C44" i="46"/>
  <c r="C43" i="46"/>
  <c r="C42" i="46"/>
  <c r="L17" i="21"/>
  <c r="I99" i="21"/>
  <c r="I100" i="21"/>
  <c r="I101" i="21"/>
  <c r="I102" i="21"/>
  <c r="I103" i="21"/>
  <c r="I98" i="21"/>
  <c r="G99" i="21"/>
  <c r="G100" i="21"/>
  <c r="G101" i="21"/>
  <c r="G102" i="21"/>
  <c r="G103" i="21"/>
  <c r="G98" i="21"/>
  <c r="I76" i="21"/>
  <c r="I77" i="21"/>
  <c r="I78" i="21"/>
  <c r="I79" i="21"/>
  <c r="I80" i="21"/>
  <c r="I75" i="21"/>
  <c r="G76" i="21"/>
  <c r="G77" i="21"/>
  <c r="G78" i="21"/>
  <c r="G79" i="21"/>
  <c r="G80" i="21"/>
  <c r="I57" i="21"/>
  <c r="I53" i="21"/>
  <c r="I54" i="21"/>
  <c r="I55" i="21"/>
  <c r="I56" i="21"/>
  <c r="I52" i="21"/>
  <c r="G53" i="21"/>
  <c r="G55" i="21"/>
  <c r="G56" i="21"/>
  <c r="G57" i="21"/>
  <c r="G52" i="21"/>
  <c r="I30" i="21"/>
  <c r="I31" i="21"/>
  <c r="I32" i="21"/>
  <c r="I33" i="21"/>
  <c r="I34" i="21"/>
  <c r="I29" i="21"/>
  <c r="G30" i="21"/>
  <c r="G31" i="21"/>
  <c r="G32" i="21"/>
  <c r="G33" i="21"/>
  <c r="G34" i="21"/>
  <c r="G29" i="21"/>
  <c r="H39" i="21"/>
  <c r="J94" i="50" l="1"/>
  <c r="I94" i="50"/>
  <c r="H94" i="50"/>
  <c r="G94" i="50"/>
  <c r="F94" i="50"/>
  <c r="E94" i="50"/>
  <c r="H112" i="21"/>
  <c r="J112" i="21" s="1"/>
  <c r="H111" i="21"/>
  <c r="J111" i="21" s="1"/>
  <c r="J110" i="21"/>
  <c r="J107" i="21"/>
  <c r="H89" i="21"/>
  <c r="J89" i="21" s="1"/>
  <c r="H88" i="21"/>
  <c r="J88" i="21" s="1"/>
  <c r="H87" i="21"/>
  <c r="J87" i="21" s="1"/>
  <c r="J86" i="21"/>
  <c r="H85" i="21"/>
  <c r="J85" i="21" s="1"/>
  <c r="H84" i="21"/>
  <c r="J84" i="21" s="1"/>
  <c r="H65" i="21"/>
  <c r="J65" i="21" s="1"/>
  <c r="F55" i="21"/>
  <c r="H63" i="21"/>
  <c r="J63" i="21" s="1"/>
  <c r="H62" i="21"/>
  <c r="J62" i="21" s="1"/>
  <c r="F52" i="21"/>
  <c r="H61" i="21"/>
  <c r="J61" i="21" s="1"/>
  <c r="H43" i="21"/>
  <c r="J43" i="21" s="1"/>
  <c r="H42" i="21"/>
  <c r="J42" i="21" s="1"/>
  <c r="H41" i="21"/>
  <c r="J41" i="21" s="1"/>
  <c r="F31" i="21"/>
  <c r="H31" i="21" s="1"/>
  <c r="J31" i="21" s="1"/>
  <c r="J39" i="21"/>
  <c r="H38" i="21"/>
  <c r="J38" i="21" s="1"/>
  <c r="F99" i="21" l="1"/>
  <c r="H99" i="21" s="1"/>
  <c r="J99" i="21" s="1"/>
  <c r="H55" i="21"/>
  <c r="J55" i="21" s="1"/>
  <c r="F30" i="21"/>
  <c r="H30" i="21" s="1"/>
  <c r="J30" i="21" s="1"/>
  <c r="F80" i="21"/>
  <c r="H80" i="21" s="1"/>
  <c r="J80" i="21" s="1"/>
  <c r="F54" i="21"/>
  <c r="H54" i="21" s="1"/>
  <c r="J54" i="21" s="1"/>
  <c r="F77" i="21"/>
  <c r="H77" i="21" s="1"/>
  <c r="J77" i="21" s="1"/>
  <c r="F79" i="21"/>
  <c r="H79" i="21" s="1"/>
  <c r="J79" i="21" s="1"/>
  <c r="F100" i="21"/>
  <c r="H100" i="21" s="1"/>
  <c r="J100" i="21" s="1"/>
  <c r="F57" i="21"/>
  <c r="H57" i="21" s="1"/>
  <c r="J57" i="21" s="1"/>
  <c r="H64" i="21"/>
  <c r="J64" i="21" s="1"/>
  <c r="F34" i="21"/>
  <c r="H34" i="21" s="1"/>
  <c r="J34" i="21" s="1"/>
  <c r="F56" i="21"/>
  <c r="H56" i="21" s="1"/>
  <c r="J56" i="21" s="1"/>
  <c r="F75" i="21"/>
  <c r="H75" i="21" s="1"/>
  <c r="J75" i="21" s="1"/>
  <c r="F101" i="21"/>
  <c r="H101" i="21" s="1"/>
  <c r="J101" i="21" s="1"/>
  <c r="F33" i="21"/>
  <c r="H33" i="21" s="1"/>
  <c r="J33" i="21" s="1"/>
  <c r="F98" i="21"/>
  <c r="H98" i="21" s="1"/>
  <c r="J98" i="21" s="1"/>
  <c r="F29" i="21"/>
  <c r="H29" i="21" s="1"/>
  <c r="J29" i="21" s="1"/>
  <c r="F76" i="21"/>
  <c r="H76" i="21" s="1"/>
  <c r="J76" i="21" s="1"/>
  <c r="H108" i="21"/>
  <c r="J108" i="21" s="1"/>
  <c r="F32" i="21"/>
  <c r="H32" i="21" s="1"/>
  <c r="J32" i="21" s="1"/>
  <c r="F53" i="21"/>
  <c r="H53" i="21" s="1"/>
  <c r="J53" i="21" s="1"/>
  <c r="F103" i="21"/>
  <c r="H103" i="21" s="1"/>
  <c r="J103" i="21" s="1"/>
  <c r="H40" i="21"/>
  <c r="J40" i="21" s="1"/>
  <c r="H52" i="21"/>
  <c r="J52" i="21" s="1"/>
  <c r="F102" i="21"/>
  <c r="H102" i="21" s="1"/>
  <c r="J102" i="21" s="1"/>
  <c r="H109" i="21"/>
  <c r="J109" i="21" s="1"/>
  <c r="H66" i="21"/>
  <c r="J66" i="21" s="1"/>
  <c r="F78" i="21"/>
  <c r="H78" i="21" s="1"/>
  <c r="J78" i="21" s="1"/>
  <c r="L21" i="21" l="1"/>
  <c r="L20" i="21"/>
  <c r="L18" i="21"/>
  <c r="J75" i="50"/>
  <c r="I75" i="50"/>
  <c r="H75" i="50"/>
  <c r="G75" i="50"/>
  <c r="F75" i="50"/>
  <c r="E75" i="50"/>
  <c r="C50" i="50"/>
  <c r="F5" i="58"/>
  <c r="E5" i="58"/>
  <c r="D5" i="58"/>
  <c r="C5" i="58"/>
  <c r="I3" i="58"/>
  <c r="K3" i="58" s="1"/>
  <c r="L3" i="58" s="1"/>
  <c r="M3" i="58" s="1"/>
  <c r="Q118" i="50" l="1"/>
  <c r="Q116" i="50"/>
  <c r="Q114" i="50"/>
  <c r="Q112" i="50"/>
  <c r="Q110" i="50"/>
  <c r="K101" i="46" s="1"/>
  <c r="Q109" i="50"/>
  <c r="Q108" i="50"/>
  <c r="K73" i="46" s="1"/>
  <c r="Q107" i="50"/>
  <c r="Q106" i="50"/>
  <c r="Q104" i="50"/>
  <c r="C104" i="57"/>
  <c r="F105" i="57"/>
  <c r="D105" i="57"/>
  <c r="F103" i="57"/>
  <c r="D103" i="57"/>
  <c r="L9" i="21"/>
  <c r="Q9" i="21"/>
  <c r="K82" i="46" l="1"/>
  <c r="K91" i="46"/>
  <c r="K45" i="46"/>
  <c r="K46" i="46"/>
  <c r="K47" i="46"/>
  <c r="K39" i="46"/>
  <c r="K41" i="46"/>
  <c r="K40" i="46"/>
  <c r="K42" i="46"/>
  <c r="K43" i="46"/>
  <c r="K44" i="46"/>
  <c r="D104" i="57"/>
  <c r="G104" i="57" s="1"/>
  <c r="R42" i="57" s="1"/>
  <c r="F104" i="57"/>
  <c r="G103" i="57"/>
  <c r="R41" i="57" s="1"/>
  <c r="G105" i="57"/>
  <c r="R43" i="57" s="1"/>
  <c r="H9" i="21" l="1"/>
  <c r="P9" i="21" s="1"/>
  <c r="S9" i="21" s="1"/>
  <c r="F19" i="50"/>
  <c r="B15" i="46"/>
  <c r="G13" i="50"/>
  <c r="G47" i="50"/>
  <c r="G42" i="50" l="1"/>
  <c r="L50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151" i="46"/>
  <c r="K152" i="46"/>
  <c r="K153" i="46"/>
  <c r="K154" i="46"/>
  <c r="K155" i="46"/>
  <c r="K156" i="46"/>
  <c r="K150" i="46"/>
  <c r="K152" i="56"/>
  <c r="K151" i="56"/>
  <c r="K150" i="56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B1" i="56"/>
  <c r="B1" i="46"/>
  <c r="B1" i="42"/>
  <c r="B1" i="47"/>
  <c r="B1" i="21"/>
  <c r="K153" i="56" l="1"/>
  <c r="K154" i="56" s="1"/>
  <c r="K155" i="56" s="1"/>
  <c r="K156" i="56" s="1"/>
  <c r="S72" i="57"/>
  <c r="S64" i="57"/>
  <c r="S55" i="57"/>
  <c r="S43" i="57" l="1"/>
  <c r="T43" i="57" s="1"/>
  <c r="S42" i="57"/>
  <c r="T42" i="57" s="1"/>
  <c r="S41" i="57"/>
  <c r="F16" i="50"/>
  <c r="F18" i="50"/>
  <c r="C31" i="56"/>
  <c r="C33" i="46"/>
  <c r="C41" i="46"/>
  <c r="C40" i="46"/>
  <c r="B13" i="56"/>
  <c r="B13" i="46" s="1"/>
  <c r="B14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9" i="46" l="1"/>
  <c r="B14" i="56"/>
  <c r="B16" i="46"/>
  <c r="K143" i="56" l="1"/>
  <c r="K142" i="56"/>
  <c r="K141" i="56"/>
  <c r="K110" i="56"/>
  <c r="K109" i="56"/>
  <c r="K108" i="56"/>
  <c r="K144" i="56" l="1"/>
  <c r="K111" i="56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10" i="57" l="1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R5" i="57" s="1"/>
  <c r="T5" i="57" s="1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N69" i="57" s="1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G22" i="57"/>
  <c r="R12" i="57" s="1"/>
  <c r="T12" i="57" s="1"/>
  <c r="L77" i="57"/>
  <c r="G39" i="57"/>
  <c r="G46" i="57"/>
  <c r="G57" i="57"/>
  <c r="R25" i="57" s="1"/>
  <c r="T25" i="57" s="1"/>
  <c r="L64" i="57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M39" i="57"/>
  <c r="T41" i="57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M80" i="57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G80" i="57"/>
  <c r="L19" i="57"/>
  <c r="G32" i="57"/>
  <c r="M75" i="57"/>
  <c r="G10" i="57"/>
  <c r="L15" i="57"/>
  <c r="G20" i="57"/>
  <c r="L23" i="57"/>
  <c r="M33" i="57"/>
  <c r="G35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G65" i="57"/>
  <c r="M67" i="57"/>
  <c r="M79" i="57"/>
  <c r="G87" i="57"/>
  <c r="G92" i="57"/>
  <c r="G95" i="57"/>
  <c r="L56" i="57"/>
  <c r="M21" i="57"/>
  <c r="L27" i="57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L73" i="57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L31" i="57"/>
  <c r="G40" i="57"/>
  <c r="M44" i="57"/>
  <c r="L49" i="57"/>
  <c r="M59" i="57"/>
  <c r="L60" i="57"/>
  <c r="G67" i="57"/>
  <c r="M71" i="57"/>
  <c r="L72" i="57"/>
  <c r="G79" i="57"/>
  <c r="G88" i="57"/>
  <c r="G96" i="57"/>
  <c r="G36" i="57"/>
  <c r="G45" i="57"/>
  <c r="G55" i="57"/>
  <c r="G83" i="57"/>
  <c r="G91" i="57"/>
  <c r="R39" i="57" s="1"/>
  <c r="T39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L14" i="57"/>
  <c r="M13" i="57"/>
  <c r="L7" i="57"/>
  <c r="L41" i="57"/>
  <c r="M6" i="57"/>
  <c r="M9" i="57"/>
  <c r="M25" i="57"/>
  <c r="M29" i="57"/>
  <c r="M7" i="57"/>
  <c r="M41" i="57"/>
  <c r="L39" i="57"/>
  <c r="L42" i="57"/>
  <c r="M5" i="57"/>
  <c r="M8" i="57"/>
  <c r="M12" i="57"/>
  <c r="M16" i="57"/>
  <c r="M20" i="57"/>
  <c r="M24" i="57"/>
  <c r="M28" i="57"/>
  <c r="N28" i="57" s="1"/>
  <c r="M32" i="57"/>
  <c r="M36" i="57"/>
  <c r="L43" i="57"/>
  <c r="M46" i="57"/>
  <c r="M50" i="57"/>
  <c r="M54" i="57"/>
  <c r="M58" i="57"/>
  <c r="M62" i="57"/>
  <c r="M66" i="57"/>
  <c r="N66" i="57" s="1"/>
  <c r="M70" i="57"/>
  <c r="M74" i="57"/>
  <c r="M78" i="57"/>
  <c r="N32" i="57" l="1"/>
  <c r="N46" i="57"/>
  <c r="N10" i="57"/>
  <c r="N77" i="57"/>
  <c r="N45" i="57"/>
  <c r="N17" i="57"/>
  <c r="N14" i="57"/>
  <c r="N19" i="57"/>
  <c r="N63" i="57"/>
  <c r="N26" i="57"/>
  <c r="N73" i="57"/>
  <c r="N24" i="57"/>
  <c r="N55" i="57"/>
  <c r="N11" i="57"/>
  <c r="N16" i="57"/>
  <c r="N35" i="57"/>
  <c r="N47" i="57"/>
  <c r="N36" i="57"/>
  <c r="N58" i="57"/>
  <c r="N22" i="57"/>
  <c r="N61" i="57"/>
  <c r="N25" i="57"/>
  <c r="N72" i="57"/>
  <c r="N38" i="57"/>
  <c r="N52" i="57"/>
  <c r="K127" i="46"/>
  <c r="K126" i="46"/>
  <c r="K125" i="46"/>
  <c r="N48" i="57"/>
  <c r="N54" i="57"/>
  <c r="N9" i="57"/>
  <c r="N76" i="57"/>
  <c r="N51" i="57"/>
  <c r="N34" i="57"/>
  <c r="N39" i="57"/>
  <c r="N18" i="57"/>
  <c r="N81" i="57"/>
  <c r="N40" i="57"/>
  <c r="N71" i="57"/>
  <c r="N33" i="57"/>
  <c r="N79" i="57"/>
  <c r="N74" i="57"/>
  <c r="N20" i="57"/>
  <c r="N53" i="57"/>
  <c r="N27" i="57"/>
  <c r="N15" i="57"/>
  <c r="N64" i="57"/>
  <c r="N80" i="57"/>
  <c r="N13" i="57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N138" i="21"/>
  <c r="O138" i="21"/>
  <c r="N139" i="21"/>
  <c r="O139" i="21"/>
  <c r="N140" i="21"/>
  <c r="O140" i="21"/>
  <c r="N141" i="21"/>
  <c r="O141" i="21"/>
  <c r="N142" i="21"/>
  <c r="O142" i="21"/>
  <c r="N143" i="21"/>
  <c r="O143" i="21"/>
  <c r="N144" i="21"/>
  <c r="O144" i="21"/>
  <c r="M139" i="21"/>
  <c r="M140" i="21"/>
  <c r="M141" i="21"/>
  <c r="M142" i="21"/>
  <c r="M143" i="21"/>
  <c r="M144" i="21"/>
  <c r="M138" i="21"/>
  <c r="K119" i="56"/>
  <c r="K118" i="56"/>
  <c r="K117" i="56"/>
  <c r="B24" i="56"/>
  <c r="B23" i="56"/>
  <c r="B22" i="56"/>
  <c r="B21" i="56"/>
  <c r="B20" i="56"/>
  <c r="B19" i="56"/>
  <c r="B18" i="56"/>
  <c r="B17" i="56"/>
  <c r="B16" i="56"/>
  <c r="B15" i="56"/>
  <c r="B12" i="56"/>
  <c r="B12" i="46" s="1"/>
  <c r="H139" i="21"/>
  <c r="I139" i="21"/>
  <c r="J139" i="21"/>
  <c r="H140" i="21"/>
  <c r="I140" i="21"/>
  <c r="J140" i="21"/>
  <c r="H141" i="21"/>
  <c r="I141" i="21"/>
  <c r="J141" i="21"/>
  <c r="H142" i="21"/>
  <c r="I142" i="21"/>
  <c r="J142" i="21"/>
  <c r="H143" i="21"/>
  <c r="I143" i="21"/>
  <c r="J143" i="21"/>
  <c r="H144" i="21"/>
  <c r="I144" i="21"/>
  <c r="J144" i="21"/>
  <c r="I138" i="21"/>
  <c r="J138" i="21"/>
  <c r="H138" i="21"/>
  <c r="B26" i="46"/>
  <c r="B25" i="46"/>
  <c r="B24" i="46"/>
  <c r="B23" i="46"/>
  <c r="B22" i="46"/>
  <c r="B21" i="46"/>
  <c r="B20" i="46"/>
  <c r="B19" i="46"/>
  <c r="B18" i="46"/>
  <c r="B17" i="46"/>
  <c r="K119" i="46" l="1"/>
  <c r="K118" i="46"/>
  <c r="K117" i="46"/>
  <c r="K99" i="46"/>
  <c r="K100" i="46"/>
  <c r="K98" i="46"/>
  <c r="K88" i="46"/>
  <c r="K90" i="46"/>
  <c r="K89" i="46"/>
  <c r="K72" i="46"/>
  <c r="K70" i="46"/>
  <c r="K71" i="46"/>
  <c r="K142" i="46"/>
  <c r="K141" i="46"/>
  <c r="K143" i="46"/>
  <c r="K110" i="46"/>
  <c r="K109" i="46"/>
  <c r="K108" i="46"/>
  <c r="K80" i="46"/>
  <c r="K81" i="46"/>
  <c r="K79" i="46"/>
  <c r="K33" i="46"/>
  <c r="K120" i="56"/>
  <c r="N145" i="21"/>
  <c r="O145" i="21"/>
  <c r="M145" i="21"/>
  <c r="I145" i="21"/>
  <c r="H145" i="21"/>
  <c r="J145" i="21"/>
  <c r="C49" i="50"/>
  <c r="G45" i="50"/>
  <c r="C42" i="50" l="1"/>
  <c r="F17" i="50"/>
  <c r="C17" i="50"/>
  <c r="F15" i="50"/>
  <c r="E145" i="21"/>
  <c r="F20" i="50" l="1"/>
  <c r="H47" i="50" l="1"/>
  <c r="I47" i="50" s="1"/>
  <c r="J47" i="50" s="1"/>
  <c r="K47" i="50" s="1"/>
  <c r="C145" i="21" l="1"/>
  <c r="D145" i="21"/>
  <c r="G48" i="50" l="1"/>
  <c r="H48" i="50" l="1"/>
  <c r="I48" i="50" s="1"/>
  <c r="J48" i="50" s="1"/>
  <c r="K48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65" i="50"/>
  <c r="I65" i="50"/>
  <c r="H65" i="50"/>
  <c r="G65" i="50"/>
  <c r="F65" i="50"/>
  <c r="E65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S10" i="21" l="1"/>
  <c r="C19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15" i="32" l="1"/>
  <c r="F16" i="32" s="1"/>
  <c r="F49" i="50" s="1"/>
  <c r="G27" i="50" s="1"/>
  <c r="G28" i="50" l="1"/>
  <c r="G29" i="50" s="1"/>
  <c r="G32" i="50"/>
  <c r="G36" i="50" s="1"/>
  <c r="G37" i="50" s="1"/>
  <c r="F25" i="50"/>
  <c r="F27" i="50" s="1"/>
  <c r="F28" i="50" s="1"/>
  <c r="F29" i="50" s="1"/>
  <c r="F30" i="50" s="1"/>
  <c r="G49" i="50"/>
  <c r="F32" i="50" l="1"/>
  <c r="F33" i="50" s="1"/>
  <c r="F34" i="50" s="1"/>
  <c r="G33" i="50"/>
  <c r="G34" i="50" s="1"/>
  <c r="G38" i="50"/>
  <c r="K49" i="50"/>
  <c r="G26" i="50" s="1"/>
  <c r="J49" i="50"/>
  <c r="I49" i="50"/>
  <c r="H49" i="50"/>
  <c r="F51" i="50" l="1"/>
  <c r="F36" i="50"/>
  <c r="F37" i="50" s="1"/>
  <c r="F38" i="50" s="1"/>
  <c r="F50" i="50"/>
  <c r="L64" i="50" s="1"/>
  <c r="L73" i="50" l="1"/>
  <c r="D26" i="42" s="1"/>
  <c r="D9" i="42"/>
  <c r="C9" i="47"/>
  <c r="I51" i="50"/>
  <c r="H51" i="50"/>
  <c r="J51" i="50"/>
  <c r="G9" i="47" s="1"/>
  <c r="K51" i="50"/>
  <c r="G51" i="50"/>
  <c r="D8" i="46"/>
  <c r="D8" i="56"/>
  <c r="L74" i="50"/>
  <c r="D27" i="42" s="1"/>
  <c r="D32" i="42" s="1"/>
  <c r="F52" i="50"/>
  <c r="L92" i="50" s="1"/>
  <c r="D43" i="42" s="1"/>
  <c r="E9" i="47"/>
  <c r="G30" i="50"/>
  <c r="K50" i="50"/>
  <c r="G50" i="50"/>
  <c r="D5" i="47" s="1"/>
  <c r="C5" i="47"/>
  <c r="D8" i="42"/>
  <c r="D15" i="42"/>
  <c r="D7" i="46"/>
  <c r="I50" i="50"/>
  <c r="O64" i="50" s="1"/>
  <c r="D7" i="56"/>
  <c r="H50" i="50"/>
  <c r="J50" i="50"/>
  <c r="D46" i="46" l="1"/>
  <c r="L46" i="46" s="1"/>
  <c r="P74" i="50"/>
  <c r="F8" i="56"/>
  <c r="N73" i="50"/>
  <c r="F26" i="42" s="1"/>
  <c r="F40" i="56" s="1"/>
  <c r="N40" i="56" s="1"/>
  <c r="H9" i="42"/>
  <c r="G9" i="42"/>
  <c r="O73" i="50"/>
  <c r="G26" i="42" s="1"/>
  <c r="G40" i="46" s="1"/>
  <c r="O40" i="46" s="1"/>
  <c r="H8" i="56"/>
  <c r="P73" i="50"/>
  <c r="H26" i="42" s="1"/>
  <c r="H40" i="56" s="1"/>
  <c r="P40" i="56" s="1"/>
  <c r="N74" i="50"/>
  <c r="E8" i="56"/>
  <c r="M73" i="50"/>
  <c r="E26" i="42" s="1"/>
  <c r="I8" i="56"/>
  <c r="Q73" i="50"/>
  <c r="I26" i="42" s="1"/>
  <c r="I40" i="56" s="1"/>
  <c r="Q40" i="56" s="1"/>
  <c r="F9" i="42"/>
  <c r="J52" i="50"/>
  <c r="H9" i="56" s="1"/>
  <c r="D39" i="56"/>
  <c r="L39" i="56" s="1"/>
  <c r="C6" i="47"/>
  <c r="L75" i="50"/>
  <c r="D41" i="46"/>
  <c r="L41" i="46" s="1"/>
  <c r="F8" i="46"/>
  <c r="D41" i="56"/>
  <c r="L41" i="56" s="1"/>
  <c r="C11" i="47"/>
  <c r="H8" i="46"/>
  <c r="Q74" i="50"/>
  <c r="I27" i="42" s="1"/>
  <c r="I32" i="42" s="1"/>
  <c r="I9" i="42"/>
  <c r="I8" i="46"/>
  <c r="G8" i="46"/>
  <c r="G8" i="56"/>
  <c r="O74" i="50"/>
  <c r="F9" i="47"/>
  <c r="G52" i="50"/>
  <c r="E9" i="46" s="1"/>
  <c r="D9" i="56"/>
  <c r="D9" i="46"/>
  <c r="E9" i="42"/>
  <c r="L93" i="50"/>
  <c r="D44" i="42" s="1"/>
  <c r="H52" i="50"/>
  <c r="N89" i="50" s="1"/>
  <c r="F40" i="42" s="1"/>
  <c r="F49" i="42" s="1"/>
  <c r="D9" i="47"/>
  <c r="K52" i="50"/>
  <c r="Q93" i="50" s="1"/>
  <c r="I44" i="42" s="1"/>
  <c r="M74" i="50"/>
  <c r="E27" i="42" s="1"/>
  <c r="E32" i="42" s="1"/>
  <c r="L88" i="50"/>
  <c r="D39" i="42" s="1"/>
  <c r="I52" i="50"/>
  <c r="G9" i="46" s="1"/>
  <c r="E8" i="46"/>
  <c r="L89" i="50"/>
  <c r="D40" i="42" s="1"/>
  <c r="D43" i="46" s="1"/>
  <c r="C14" i="47"/>
  <c r="D10" i="42"/>
  <c r="L91" i="50"/>
  <c r="D42" i="42" s="1"/>
  <c r="H9" i="47"/>
  <c r="L90" i="50"/>
  <c r="D41" i="42" s="1"/>
  <c r="D62" i="56"/>
  <c r="D90" i="56" s="1"/>
  <c r="D62" i="46"/>
  <c r="D46" i="56"/>
  <c r="L46" i="56" s="1"/>
  <c r="D52" i="42"/>
  <c r="C19" i="47"/>
  <c r="D40" i="46"/>
  <c r="L40" i="46" s="1"/>
  <c r="D28" i="42"/>
  <c r="D40" i="56"/>
  <c r="L40" i="56" s="1"/>
  <c r="C10" i="47"/>
  <c r="D31" i="42"/>
  <c r="H27" i="42"/>
  <c r="H32" i="42" s="1"/>
  <c r="D39" i="46"/>
  <c r="L117" i="56"/>
  <c r="L118" i="46"/>
  <c r="L119" i="56"/>
  <c r="L118" i="56"/>
  <c r="M64" i="50"/>
  <c r="E15" i="42" s="1"/>
  <c r="L127" i="46"/>
  <c r="L126" i="46"/>
  <c r="L117" i="46"/>
  <c r="L65" i="50"/>
  <c r="L125" i="46"/>
  <c r="L119" i="46"/>
  <c r="F5" i="47"/>
  <c r="D33" i="46"/>
  <c r="L33" i="46" s="1"/>
  <c r="G15" i="42"/>
  <c r="G5" i="47"/>
  <c r="P64" i="50"/>
  <c r="E5" i="47"/>
  <c r="N64" i="50"/>
  <c r="H5" i="47"/>
  <c r="Q64" i="50"/>
  <c r="H7" i="56"/>
  <c r="H7" i="46"/>
  <c r="H8" i="42"/>
  <c r="G7" i="56"/>
  <c r="G8" i="42"/>
  <c r="G7" i="46"/>
  <c r="I7" i="56"/>
  <c r="I8" i="42"/>
  <c r="I7" i="46"/>
  <c r="E8" i="42"/>
  <c r="E7" i="56"/>
  <c r="E7" i="46"/>
  <c r="D31" i="56"/>
  <c r="F8" i="42"/>
  <c r="F7" i="46"/>
  <c r="F7" i="56"/>
  <c r="M92" i="50" l="1"/>
  <c r="E43" i="42" s="1"/>
  <c r="P75" i="50"/>
  <c r="G14" i="47"/>
  <c r="P91" i="50"/>
  <c r="H42" i="42" s="1"/>
  <c r="H45" i="56" s="1"/>
  <c r="P45" i="56" s="1"/>
  <c r="P89" i="50"/>
  <c r="H40" i="42" s="1"/>
  <c r="H43" i="46" s="1"/>
  <c r="P43" i="46" s="1"/>
  <c r="P88" i="50"/>
  <c r="H39" i="42" s="1"/>
  <c r="H42" i="46" s="1"/>
  <c r="P42" i="46" s="1"/>
  <c r="P92" i="50"/>
  <c r="H43" i="42" s="1"/>
  <c r="G19" i="47" s="1"/>
  <c r="P90" i="50"/>
  <c r="H41" i="42" s="1"/>
  <c r="H44" i="56" s="1"/>
  <c r="P44" i="56" s="1"/>
  <c r="H10" i="42"/>
  <c r="P93" i="50"/>
  <c r="H44" i="42" s="1"/>
  <c r="H9" i="46"/>
  <c r="D47" i="46"/>
  <c r="L47" i="46" s="1"/>
  <c r="D61" i="56"/>
  <c r="D89" i="56" s="1"/>
  <c r="D45" i="46"/>
  <c r="L45" i="46" s="1"/>
  <c r="H49" i="42"/>
  <c r="D44" i="46"/>
  <c r="L44" i="46" s="1"/>
  <c r="D19" i="47"/>
  <c r="E46" i="46"/>
  <c r="M46" i="46" s="1"/>
  <c r="H20" i="47"/>
  <c r="I47" i="46"/>
  <c r="Q47" i="46" s="1"/>
  <c r="H46" i="56"/>
  <c r="P46" i="56" s="1"/>
  <c r="H47" i="56"/>
  <c r="P47" i="56" s="1"/>
  <c r="H47" i="46"/>
  <c r="P47" i="46" s="1"/>
  <c r="F43" i="46"/>
  <c r="N43" i="46" s="1"/>
  <c r="G10" i="47"/>
  <c r="H31" i="42"/>
  <c r="H40" i="46"/>
  <c r="P40" i="46" s="1"/>
  <c r="F40" i="46"/>
  <c r="N40" i="46" s="1"/>
  <c r="E10" i="47"/>
  <c r="N75" i="50"/>
  <c r="F31" i="42"/>
  <c r="F27" i="42"/>
  <c r="F32" i="42" s="1"/>
  <c r="M75" i="50"/>
  <c r="D49" i="42"/>
  <c r="D42" i="46"/>
  <c r="L42" i="46" s="1"/>
  <c r="D48" i="42"/>
  <c r="D90" i="46"/>
  <c r="L90" i="46" s="1"/>
  <c r="D72" i="46"/>
  <c r="L72" i="46" s="1"/>
  <c r="D100" i="46"/>
  <c r="D81" i="56"/>
  <c r="D100" i="56"/>
  <c r="D72" i="56"/>
  <c r="N88" i="50"/>
  <c r="F39" i="42" s="1"/>
  <c r="F42" i="46" s="1"/>
  <c r="N42" i="46" s="1"/>
  <c r="N93" i="50"/>
  <c r="F44" i="42" s="1"/>
  <c r="N90" i="50"/>
  <c r="F41" i="42" s="1"/>
  <c r="F9" i="56"/>
  <c r="F9" i="46"/>
  <c r="G31" i="42"/>
  <c r="D33" i="42"/>
  <c r="I40" i="46"/>
  <c r="Q40" i="46" s="1"/>
  <c r="I31" i="42"/>
  <c r="H10" i="47"/>
  <c r="O75" i="50"/>
  <c r="E40" i="56"/>
  <c r="M40" i="56" s="1"/>
  <c r="E31" i="42"/>
  <c r="E33" i="42" s="1"/>
  <c r="D10" i="47"/>
  <c r="E40" i="46"/>
  <c r="M40" i="46" s="1"/>
  <c r="F10" i="47"/>
  <c r="G40" i="56"/>
  <c r="O40" i="56" s="1"/>
  <c r="D47" i="56"/>
  <c r="L47" i="56" s="1"/>
  <c r="C17" i="47"/>
  <c r="D50" i="42"/>
  <c r="Q75" i="50"/>
  <c r="M89" i="50"/>
  <c r="E40" i="42" s="1"/>
  <c r="M93" i="50"/>
  <c r="E44" i="42" s="1"/>
  <c r="Q92" i="50"/>
  <c r="I43" i="42" s="1"/>
  <c r="I9" i="56"/>
  <c r="D81" i="46"/>
  <c r="L81" i="46" s="1"/>
  <c r="D14" i="47"/>
  <c r="O93" i="50"/>
  <c r="G44" i="42" s="1"/>
  <c r="G27" i="42"/>
  <c r="O88" i="50"/>
  <c r="G39" i="42" s="1"/>
  <c r="F15" i="47" s="1"/>
  <c r="O89" i="50"/>
  <c r="G40" i="42" s="1"/>
  <c r="D63" i="56"/>
  <c r="D91" i="56" s="1"/>
  <c r="D42" i="56"/>
  <c r="L42" i="56" s="1"/>
  <c r="G16" i="47"/>
  <c r="E16" i="47"/>
  <c r="C16" i="47"/>
  <c r="D53" i="42"/>
  <c r="N92" i="50"/>
  <c r="F43" i="42" s="1"/>
  <c r="C15" i="47"/>
  <c r="F43" i="56"/>
  <c r="N43" i="56" s="1"/>
  <c r="L94" i="50"/>
  <c r="D63" i="46"/>
  <c r="F10" i="42"/>
  <c r="D60" i="46"/>
  <c r="C20" i="47"/>
  <c r="D60" i="56"/>
  <c r="D88" i="56" s="1"/>
  <c r="E14" i="47"/>
  <c r="D44" i="56"/>
  <c r="L44" i="56" s="1"/>
  <c r="D61" i="46"/>
  <c r="C18" i="47"/>
  <c r="F14" i="47"/>
  <c r="M90" i="50"/>
  <c r="E41" i="42" s="1"/>
  <c r="E44" i="46" s="1"/>
  <c r="M91" i="50"/>
  <c r="E42" i="42" s="1"/>
  <c r="E45" i="46" s="1"/>
  <c r="E9" i="56"/>
  <c r="O91" i="50"/>
  <c r="G42" i="42" s="1"/>
  <c r="E10" i="42"/>
  <c r="O90" i="50"/>
  <c r="G41" i="42" s="1"/>
  <c r="G44" i="46" s="1"/>
  <c r="O92" i="50"/>
  <c r="G43" i="42" s="1"/>
  <c r="M88" i="50"/>
  <c r="E39" i="42" s="1"/>
  <c r="G9" i="56"/>
  <c r="I10" i="42"/>
  <c r="I47" i="56"/>
  <c r="Q47" i="56" s="1"/>
  <c r="D43" i="56"/>
  <c r="L43" i="56" s="1"/>
  <c r="L43" i="46"/>
  <c r="Q88" i="50"/>
  <c r="I39" i="42" s="1"/>
  <c r="H15" i="47" s="1"/>
  <c r="H43" i="56"/>
  <c r="P43" i="56" s="1"/>
  <c r="I9" i="46"/>
  <c r="H14" i="47"/>
  <c r="Q89" i="50"/>
  <c r="I40" i="42" s="1"/>
  <c r="Q91" i="50"/>
  <c r="I42" i="42" s="1"/>
  <c r="D45" i="42"/>
  <c r="G10" i="42"/>
  <c r="N91" i="50"/>
  <c r="F42" i="42" s="1"/>
  <c r="D45" i="56"/>
  <c r="L45" i="56" s="1"/>
  <c r="D51" i="42"/>
  <c r="Q90" i="50"/>
  <c r="I41" i="42" s="1"/>
  <c r="G18" i="47"/>
  <c r="E46" i="56"/>
  <c r="M46" i="56" s="1"/>
  <c r="G20" i="47"/>
  <c r="E62" i="56"/>
  <c r="E90" i="56" s="1"/>
  <c r="E62" i="46"/>
  <c r="E52" i="42"/>
  <c r="D11" i="47"/>
  <c r="E41" i="46"/>
  <c r="M41" i="46" s="1"/>
  <c r="E41" i="56"/>
  <c r="M41" i="56" s="1"/>
  <c r="E28" i="42"/>
  <c r="G11" i="47"/>
  <c r="H41" i="46"/>
  <c r="P41" i="46" s="1"/>
  <c r="H41" i="56"/>
  <c r="P41" i="56" s="1"/>
  <c r="H28" i="42"/>
  <c r="H11" i="47"/>
  <c r="I41" i="56"/>
  <c r="Q41" i="56" s="1"/>
  <c r="I41" i="46"/>
  <c r="Q41" i="46" s="1"/>
  <c r="I28" i="42"/>
  <c r="F41" i="56"/>
  <c r="N41" i="56" s="1"/>
  <c r="F28" i="42"/>
  <c r="G39" i="46"/>
  <c r="G39" i="56"/>
  <c r="O39" i="56" s="1"/>
  <c r="E39" i="46"/>
  <c r="E39" i="56"/>
  <c r="M39" i="56" s="1"/>
  <c r="L39" i="46"/>
  <c r="M65" i="50"/>
  <c r="L120" i="56"/>
  <c r="L20" i="56" s="1"/>
  <c r="D128" i="56"/>
  <c r="D21" i="56" s="1"/>
  <c r="D120" i="56"/>
  <c r="D20" i="56" s="1"/>
  <c r="L150" i="46"/>
  <c r="L34" i="46"/>
  <c r="L14" i="46" s="1"/>
  <c r="O65" i="50"/>
  <c r="G33" i="46"/>
  <c r="O33" i="46" s="1"/>
  <c r="E33" i="46"/>
  <c r="M33" i="46" s="1"/>
  <c r="H15" i="42"/>
  <c r="I15" i="42"/>
  <c r="F15" i="42"/>
  <c r="N65" i="50"/>
  <c r="Q65" i="50"/>
  <c r="P65" i="50"/>
  <c r="M118" i="56"/>
  <c r="M119" i="56"/>
  <c r="P119" i="56"/>
  <c r="P118" i="56"/>
  <c r="N117" i="56"/>
  <c r="N119" i="56"/>
  <c r="N118" i="56"/>
  <c r="P117" i="56"/>
  <c r="M117" i="56"/>
  <c r="Q118" i="56"/>
  <c r="Q117" i="56"/>
  <c r="O117" i="56"/>
  <c r="Q119" i="56"/>
  <c r="O119" i="56"/>
  <c r="O118" i="56"/>
  <c r="L109" i="56"/>
  <c r="L142" i="56"/>
  <c r="L143" i="56"/>
  <c r="L110" i="56"/>
  <c r="L154" i="56"/>
  <c r="L150" i="56"/>
  <c r="L152" i="56"/>
  <c r="L155" i="56"/>
  <c r="L151" i="56"/>
  <c r="L156" i="56"/>
  <c r="L153" i="56"/>
  <c r="L141" i="56"/>
  <c r="L108" i="56"/>
  <c r="L120" i="46"/>
  <c r="L22" i="46" s="1"/>
  <c r="L128" i="46"/>
  <c r="L23" i="46" s="1"/>
  <c r="L152" i="46"/>
  <c r="L153" i="46"/>
  <c r="L154" i="46"/>
  <c r="L155" i="46"/>
  <c r="L156" i="46"/>
  <c r="L151" i="46"/>
  <c r="L142" i="46"/>
  <c r="L143" i="46"/>
  <c r="L141" i="46"/>
  <c r="M118" i="46"/>
  <c r="M126" i="46"/>
  <c r="M119" i="46"/>
  <c r="M127" i="46"/>
  <c r="M117" i="46"/>
  <c r="M125" i="46"/>
  <c r="D120" i="46"/>
  <c r="D128" i="46"/>
  <c r="L110" i="46"/>
  <c r="L108" i="46"/>
  <c r="D16" i="42"/>
  <c r="D19" i="42"/>
  <c r="L109" i="46"/>
  <c r="D80" i="56" l="1"/>
  <c r="F41" i="46"/>
  <c r="N41" i="46" s="1"/>
  <c r="E11" i="47"/>
  <c r="H45" i="46"/>
  <c r="P45" i="46" s="1"/>
  <c r="H45" i="42"/>
  <c r="H42" i="56"/>
  <c r="P42" i="56" s="1"/>
  <c r="G15" i="47"/>
  <c r="H48" i="42"/>
  <c r="D71" i="56"/>
  <c r="D99" i="56"/>
  <c r="P94" i="50"/>
  <c r="H46" i="46"/>
  <c r="P46" i="46" s="1"/>
  <c r="G17" i="47"/>
  <c r="H44" i="46"/>
  <c r="P44" i="46" s="1"/>
  <c r="I62" i="46"/>
  <c r="G41" i="56"/>
  <c r="O41" i="56" s="1"/>
  <c r="G32" i="42"/>
  <c r="G33" i="42" s="1"/>
  <c r="G35" i="42" s="1"/>
  <c r="F20" i="47"/>
  <c r="G47" i="46"/>
  <c r="O47" i="46" s="1"/>
  <c r="I43" i="46"/>
  <c r="Q43" i="46" s="1"/>
  <c r="I49" i="42"/>
  <c r="G45" i="46"/>
  <c r="O45" i="46" s="1"/>
  <c r="F44" i="46"/>
  <c r="N44" i="46" s="1"/>
  <c r="G43" i="46"/>
  <c r="O43" i="46" s="1"/>
  <c r="G49" i="42"/>
  <c r="E20" i="47"/>
  <c r="F47" i="46"/>
  <c r="N47" i="46" s="1"/>
  <c r="E47" i="46"/>
  <c r="M47" i="46" s="1"/>
  <c r="F45" i="56"/>
  <c r="N45" i="56" s="1"/>
  <c r="F45" i="46"/>
  <c r="E49" i="42"/>
  <c r="E43" i="46"/>
  <c r="I44" i="56"/>
  <c r="Q44" i="56" s="1"/>
  <c r="I44" i="46"/>
  <c r="H19" i="47"/>
  <c r="I46" i="46"/>
  <c r="Q46" i="46" s="1"/>
  <c r="I45" i="56"/>
  <c r="Q45" i="56" s="1"/>
  <c r="I45" i="46"/>
  <c r="Q45" i="46" s="1"/>
  <c r="F19" i="47"/>
  <c r="G46" i="46"/>
  <c r="E19" i="47"/>
  <c r="F46" i="46"/>
  <c r="N46" i="46" s="1"/>
  <c r="F47" i="56"/>
  <c r="N47" i="56" s="1"/>
  <c r="E17" i="47"/>
  <c r="F44" i="56"/>
  <c r="N44" i="56" s="1"/>
  <c r="F33" i="42"/>
  <c r="F35" i="42" s="1"/>
  <c r="E15" i="47"/>
  <c r="F42" i="56"/>
  <c r="N42" i="56" s="1"/>
  <c r="F48" i="42"/>
  <c r="D71" i="46"/>
  <c r="L71" i="46" s="1"/>
  <c r="D99" i="46"/>
  <c r="D89" i="46"/>
  <c r="L89" i="46" s="1"/>
  <c r="E72" i="56"/>
  <c r="E100" i="56"/>
  <c r="D82" i="46"/>
  <c r="L82" i="46" s="1"/>
  <c r="D91" i="46"/>
  <c r="L91" i="46" s="1"/>
  <c r="D73" i="46"/>
  <c r="D101" i="46"/>
  <c r="D79" i="46"/>
  <c r="L79" i="46" s="1"/>
  <c r="D88" i="46"/>
  <c r="D98" i="46"/>
  <c r="L98" i="46" s="1"/>
  <c r="D70" i="46"/>
  <c r="L70" i="46" s="1"/>
  <c r="M44" i="46"/>
  <c r="F60" i="46"/>
  <c r="F79" i="46" s="1"/>
  <c r="N79" i="46" s="1"/>
  <c r="E60" i="46"/>
  <c r="L100" i="46"/>
  <c r="E72" i="46"/>
  <c r="E90" i="46"/>
  <c r="E100" i="46"/>
  <c r="M100" i="46" s="1"/>
  <c r="E42" i="46"/>
  <c r="M42" i="46" s="1"/>
  <c r="E48" i="42"/>
  <c r="D79" i="56"/>
  <c r="D98" i="56"/>
  <c r="D70" i="56"/>
  <c r="D101" i="56"/>
  <c r="D73" i="56"/>
  <c r="E35" i="42"/>
  <c r="E36" i="42" s="1"/>
  <c r="F53" i="42"/>
  <c r="F16" i="47"/>
  <c r="D82" i="56"/>
  <c r="G42" i="56"/>
  <c r="I46" i="56"/>
  <c r="Q46" i="56" s="1"/>
  <c r="H33" i="42"/>
  <c r="H35" i="42" s="1"/>
  <c r="F11" i="47"/>
  <c r="G41" i="46"/>
  <c r="O41" i="46" s="1"/>
  <c r="I33" i="42"/>
  <c r="I35" i="42" s="1"/>
  <c r="F63" i="56"/>
  <c r="F91" i="56" s="1"/>
  <c r="G28" i="42"/>
  <c r="E53" i="42"/>
  <c r="E47" i="56"/>
  <c r="M47" i="56" s="1"/>
  <c r="D64" i="56"/>
  <c r="D54" i="56" s="1"/>
  <c r="D55" i="56" s="1"/>
  <c r="D14" i="56" s="1"/>
  <c r="D64" i="46"/>
  <c r="D54" i="46" s="1"/>
  <c r="D55" i="46" s="1"/>
  <c r="E63" i="46"/>
  <c r="D20" i="47"/>
  <c r="E63" i="56"/>
  <c r="F63" i="46"/>
  <c r="G42" i="46"/>
  <c r="O42" i="46" s="1"/>
  <c r="M43" i="46"/>
  <c r="F62" i="56"/>
  <c r="F90" i="56" s="1"/>
  <c r="E43" i="56"/>
  <c r="M43" i="56" s="1"/>
  <c r="G48" i="42"/>
  <c r="D16" i="47"/>
  <c r="H60" i="56"/>
  <c r="H88" i="56" s="1"/>
  <c r="D15" i="47"/>
  <c r="H53" i="42"/>
  <c r="I63" i="46"/>
  <c r="G63" i="56"/>
  <c r="G91" i="56" s="1"/>
  <c r="F62" i="46"/>
  <c r="I53" i="42"/>
  <c r="I63" i="56"/>
  <c r="I91" i="56" s="1"/>
  <c r="H63" i="46"/>
  <c r="G47" i="56"/>
  <c r="O47" i="56" s="1"/>
  <c r="H63" i="56"/>
  <c r="H91" i="56" s="1"/>
  <c r="G63" i="46"/>
  <c r="G53" i="42"/>
  <c r="E44" i="56"/>
  <c r="M44" i="56" s="1"/>
  <c r="E50" i="42"/>
  <c r="O44" i="46"/>
  <c r="G50" i="42"/>
  <c r="G43" i="56"/>
  <c r="O43" i="56" s="1"/>
  <c r="F46" i="56"/>
  <c r="N46" i="56" s="1"/>
  <c r="D80" i="46"/>
  <c r="L80" i="46" s="1"/>
  <c r="H16" i="47"/>
  <c r="L48" i="56"/>
  <c r="L13" i="56" s="1"/>
  <c r="D48" i="56"/>
  <c r="D13" i="56" s="1"/>
  <c r="D13" i="46" s="1"/>
  <c r="I48" i="42"/>
  <c r="H18" i="47"/>
  <c r="G46" i="56"/>
  <c r="O46" i="56" s="1"/>
  <c r="O46" i="46"/>
  <c r="H62" i="46"/>
  <c r="G62" i="46"/>
  <c r="H50" i="42"/>
  <c r="H52" i="42"/>
  <c r="H62" i="56"/>
  <c r="H90" i="56" s="1"/>
  <c r="I52" i="42"/>
  <c r="I62" i="56"/>
  <c r="I90" i="56" s="1"/>
  <c r="G62" i="56"/>
  <c r="G90" i="56" s="1"/>
  <c r="G52" i="42"/>
  <c r="F52" i="42"/>
  <c r="H61" i="46"/>
  <c r="F45" i="42"/>
  <c r="F50" i="42"/>
  <c r="F60" i="56"/>
  <c r="F88" i="56" s="1"/>
  <c r="F18" i="47"/>
  <c r="D48" i="46"/>
  <c r="D15" i="46" s="1"/>
  <c r="G45" i="42"/>
  <c r="L48" i="46"/>
  <c r="L15" i="46" s="1"/>
  <c r="G60" i="46"/>
  <c r="I42" i="56"/>
  <c r="F17" i="47"/>
  <c r="F61" i="56"/>
  <c r="F89" i="56" s="1"/>
  <c r="H60" i="46"/>
  <c r="N45" i="46"/>
  <c r="F61" i="46"/>
  <c r="G44" i="56"/>
  <c r="O44" i="56" s="1"/>
  <c r="G60" i="56"/>
  <c r="G88" i="56" s="1"/>
  <c r="H51" i="42"/>
  <c r="E18" i="47"/>
  <c r="I60" i="46"/>
  <c r="I42" i="46"/>
  <c r="Q42" i="46" s="1"/>
  <c r="E42" i="56"/>
  <c r="M42" i="56" s="1"/>
  <c r="E61" i="56"/>
  <c r="E89" i="56" s="1"/>
  <c r="E51" i="42"/>
  <c r="D18" i="47"/>
  <c r="E61" i="46"/>
  <c r="M45" i="46"/>
  <c r="I45" i="42"/>
  <c r="I51" i="42"/>
  <c r="N94" i="50"/>
  <c r="G61" i="46"/>
  <c r="G45" i="56"/>
  <c r="O45" i="56" s="1"/>
  <c r="D17" i="47"/>
  <c r="E60" i="56"/>
  <c r="E88" i="56" s="1"/>
  <c r="E45" i="56"/>
  <c r="M45" i="56" s="1"/>
  <c r="D54" i="42"/>
  <c r="I61" i="46"/>
  <c r="E45" i="42"/>
  <c r="Q94" i="50"/>
  <c r="I61" i="56"/>
  <c r="I89" i="56" s="1"/>
  <c r="O94" i="50"/>
  <c r="M94" i="50"/>
  <c r="G51" i="42"/>
  <c r="F51" i="42"/>
  <c r="H61" i="56"/>
  <c r="H89" i="56" s="1"/>
  <c r="G61" i="56"/>
  <c r="G89" i="56" s="1"/>
  <c r="E81" i="56"/>
  <c r="I43" i="56"/>
  <c r="Q43" i="56" s="1"/>
  <c r="I60" i="56"/>
  <c r="I88" i="56" s="1"/>
  <c r="Q44" i="46"/>
  <c r="H17" i="47"/>
  <c r="I50" i="42"/>
  <c r="E82" i="46"/>
  <c r="M82" i="46" s="1"/>
  <c r="E81" i="46"/>
  <c r="M81" i="46" s="1"/>
  <c r="I39" i="56"/>
  <c r="Q39" i="56" s="1"/>
  <c r="I39" i="46"/>
  <c r="F39" i="56"/>
  <c r="F39" i="46"/>
  <c r="H39" i="56"/>
  <c r="H39" i="46"/>
  <c r="O39" i="46"/>
  <c r="M39" i="46"/>
  <c r="D34" i="46"/>
  <c r="D32" i="56"/>
  <c r="D12" i="56" s="1"/>
  <c r="D12" i="46" s="1"/>
  <c r="O34" i="46"/>
  <c r="P110" i="56"/>
  <c r="P110" i="46"/>
  <c r="Q118" i="46"/>
  <c r="N119" i="46"/>
  <c r="O117" i="46"/>
  <c r="N125" i="46"/>
  <c r="N108" i="46"/>
  <c r="N118" i="46"/>
  <c r="E6" i="47"/>
  <c r="N108" i="56"/>
  <c r="P118" i="46"/>
  <c r="F31" i="56"/>
  <c r="F19" i="42"/>
  <c r="Q125" i="46"/>
  <c r="Q127" i="46"/>
  <c r="P126" i="46"/>
  <c r="N117" i="46"/>
  <c r="Q117" i="46"/>
  <c r="N127" i="46"/>
  <c r="N126" i="46"/>
  <c r="Q126" i="46"/>
  <c r="Q119" i="46"/>
  <c r="O118" i="46"/>
  <c r="P127" i="46"/>
  <c r="P125" i="46"/>
  <c r="P117" i="46"/>
  <c r="F33" i="46"/>
  <c r="N33" i="46" s="1"/>
  <c r="H33" i="46"/>
  <c r="P33" i="46" s="1"/>
  <c r="O125" i="46"/>
  <c r="O119" i="46"/>
  <c r="Q110" i="56"/>
  <c r="O127" i="46"/>
  <c r="I33" i="46"/>
  <c r="Q33" i="46" s="1"/>
  <c r="M34" i="46"/>
  <c r="P119" i="46"/>
  <c r="O126" i="46"/>
  <c r="Q110" i="46"/>
  <c r="E128" i="56"/>
  <c r="E129" i="56" s="1"/>
  <c r="M120" i="56"/>
  <c r="M121" i="56" s="1"/>
  <c r="P120" i="56"/>
  <c r="P121" i="56" s="1"/>
  <c r="H120" i="56"/>
  <c r="H121" i="56" s="1"/>
  <c r="I128" i="56"/>
  <c r="I21" i="56" s="1"/>
  <c r="H128" i="56"/>
  <c r="H21" i="56" s="1"/>
  <c r="N120" i="56"/>
  <c r="N121" i="56" s="1"/>
  <c r="F128" i="56"/>
  <c r="F129" i="56" s="1"/>
  <c r="F120" i="56"/>
  <c r="F121" i="56" s="1"/>
  <c r="G128" i="56"/>
  <c r="G21" i="56" s="1"/>
  <c r="Q120" i="56"/>
  <c r="Q121" i="56" s="1"/>
  <c r="E120" i="56"/>
  <c r="E121" i="56" s="1"/>
  <c r="O120" i="56"/>
  <c r="O121" i="56" s="1"/>
  <c r="I120" i="56"/>
  <c r="I121" i="56" s="1"/>
  <c r="G120" i="56"/>
  <c r="G121" i="56" s="1"/>
  <c r="E31" i="56"/>
  <c r="G31" i="56"/>
  <c r="I31" i="56"/>
  <c r="H31" i="56"/>
  <c r="N154" i="56"/>
  <c r="M120" i="46"/>
  <c r="M121" i="46" s="1"/>
  <c r="L111" i="56"/>
  <c r="L19" i="56" s="1"/>
  <c r="D111" i="56"/>
  <c r="D19" i="56" s="1"/>
  <c r="N155" i="56"/>
  <c r="M154" i="56"/>
  <c r="M150" i="56"/>
  <c r="M141" i="56"/>
  <c r="M155" i="56"/>
  <c r="M151" i="56"/>
  <c r="M156" i="56"/>
  <c r="M152" i="56"/>
  <c r="M153" i="56"/>
  <c r="M108" i="56"/>
  <c r="M109" i="56"/>
  <c r="M142" i="56"/>
  <c r="N110" i="56"/>
  <c r="N152" i="56"/>
  <c r="O109" i="56"/>
  <c r="Q156" i="56"/>
  <c r="Q152" i="56"/>
  <c r="Q155" i="56"/>
  <c r="Q153" i="56"/>
  <c r="Q154" i="56"/>
  <c r="Q150" i="56"/>
  <c r="Q151" i="56"/>
  <c r="Q108" i="56"/>
  <c r="L144" i="56"/>
  <c r="D144" i="56"/>
  <c r="D23" i="56" s="1"/>
  <c r="L157" i="56"/>
  <c r="L24" i="56" s="1"/>
  <c r="D157" i="56"/>
  <c r="D24" i="56" s="1"/>
  <c r="N156" i="56"/>
  <c r="O155" i="56"/>
  <c r="O151" i="56"/>
  <c r="O150" i="56"/>
  <c r="O156" i="56"/>
  <c r="O152" i="56"/>
  <c r="O153" i="56"/>
  <c r="O154" i="56"/>
  <c r="O108" i="56"/>
  <c r="M110" i="56"/>
  <c r="M143" i="56"/>
  <c r="N150" i="56"/>
  <c r="O110" i="56"/>
  <c r="Q109" i="56"/>
  <c r="P156" i="56"/>
  <c r="P152" i="56"/>
  <c r="P151" i="56"/>
  <c r="P154" i="56"/>
  <c r="P155" i="56"/>
  <c r="P153" i="56"/>
  <c r="P150" i="56"/>
  <c r="P108" i="56"/>
  <c r="D136" i="56"/>
  <c r="D22" i="56" s="1"/>
  <c r="L144" i="46"/>
  <c r="L25" i="46" s="1"/>
  <c r="P109" i="56"/>
  <c r="N109" i="56"/>
  <c r="N153" i="56"/>
  <c r="N151" i="56"/>
  <c r="L157" i="46"/>
  <c r="L26" i="46" s="1"/>
  <c r="L111" i="46"/>
  <c r="L21" i="46" s="1"/>
  <c r="M128" i="46"/>
  <c r="M129" i="46" s="1"/>
  <c r="M141" i="46"/>
  <c r="D22" i="46"/>
  <c r="D23" i="46"/>
  <c r="M154" i="46"/>
  <c r="M151" i="46"/>
  <c r="M156" i="46"/>
  <c r="M153" i="46"/>
  <c r="M150" i="46"/>
  <c r="M155" i="46"/>
  <c r="M152" i="46"/>
  <c r="N155" i="46"/>
  <c r="O152" i="46"/>
  <c r="O154" i="46"/>
  <c r="O151" i="46"/>
  <c r="O156" i="46"/>
  <c r="O153" i="46"/>
  <c r="O150" i="46"/>
  <c r="O155" i="46"/>
  <c r="N150" i="46"/>
  <c r="N151" i="46"/>
  <c r="P152" i="46"/>
  <c r="P154" i="46"/>
  <c r="P156" i="46"/>
  <c r="P151" i="46"/>
  <c r="P153" i="46"/>
  <c r="P150" i="46"/>
  <c r="P155" i="46"/>
  <c r="Q150" i="46"/>
  <c r="Q155" i="46"/>
  <c r="Q152" i="46"/>
  <c r="Q154" i="46"/>
  <c r="Q151" i="46"/>
  <c r="Q156" i="46"/>
  <c r="Q153" i="46"/>
  <c r="N152" i="46"/>
  <c r="N156" i="46"/>
  <c r="N154" i="46"/>
  <c r="N153" i="46"/>
  <c r="M143" i="46"/>
  <c r="D144" i="46"/>
  <c r="M142" i="46"/>
  <c r="D6" i="47"/>
  <c r="G6" i="47"/>
  <c r="H6" i="47"/>
  <c r="F6" i="47"/>
  <c r="E19" i="42"/>
  <c r="H128" i="46"/>
  <c r="H19" i="42"/>
  <c r="P108" i="46"/>
  <c r="H16" i="42"/>
  <c r="H120" i="46"/>
  <c r="P109" i="46"/>
  <c r="Q108" i="46"/>
  <c r="E128" i="46"/>
  <c r="E23" i="46" s="1"/>
  <c r="E120" i="46"/>
  <c r="E22" i="46" s="1"/>
  <c r="I16" i="42"/>
  <c r="I19" i="42"/>
  <c r="Q109" i="46"/>
  <c r="G120" i="46"/>
  <c r="G128" i="46"/>
  <c r="N110" i="46"/>
  <c r="N109" i="46"/>
  <c r="F16" i="42"/>
  <c r="I120" i="46"/>
  <c r="G19" i="42"/>
  <c r="O108" i="46"/>
  <c r="M109" i="46"/>
  <c r="M110" i="46"/>
  <c r="O109" i="46"/>
  <c r="I128" i="46"/>
  <c r="F120" i="46"/>
  <c r="E16" i="42"/>
  <c r="O110" i="46"/>
  <c r="M108" i="46"/>
  <c r="G16" i="42"/>
  <c r="F128" i="46"/>
  <c r="D20" i="42"/>
  <c r="D157" i="46"/>
  <c r="D26" i="46" s="1"/>
  <c r="D136" i="46"/>
  <c r="D111" i="46"/>
  <c r="E82" i="56" l="1"/>
  <c r="E91" i="56"/>
  <c r="E70" i="46"/>
  <c r="E79" i="46"/>
  <c r="G36" i="42"/>
  <c r="D83" i="56"/>
  <c r="D16" i="56" s="1"/>
  <c r="P39" i="56"/>
  <c r="P48" i="56" s="1"/>
  <c r="N39" i="56"/>
  <c r="N48" i="56" s="1"/>
  <c r="F36" i="42"/>
  <c r="L83" i="46"/>
  <c r="L18" i="46" s="1"/>
  <c r="I80" i="46"/>
  <c r="Q80" i="46" s="1"/>
  <c r="I89" i="46"/>
  <c r="I71" i="46"/>
  <c r="I99" i="46"/>
  <c r="H79" i="46"/>
  <c r="H88" i="46"/>
  <c r="H98" i="46"/>
  <c r="H70" i="46"/>
  <c r="G81" i="46"/>
  <c r="O81" i="46" s="1"/>
  <c r="G72" i="46"/>
  <c r="O72" i="46" s="1"/>
  <c r="G100" i="46"/>
  <c r="G90" i="46"/>
  <c r="H82" i="46"/>
  <c r="P82" i="46" s="1"/>
  <c r="H73" i="46"/>
  <c r="H101" i="46"/>
  <c r="H91" i="46"/>
  <c r="F98" i="46"/>
  <c r="F70" i="46"/>
  <c r="F88" i="46"/>
  <c r="I81" i="56"/>
  <c r="I100" i="56"/>
  <c r="I72" i="56"/>
  <c r="H80" i="56"/>
  <c r="H99" i="56"/>
  <c r="H71" i="56"/>
  <c r="I79" i="46"/>
  <c r="Q79" i="46" s="1"/>
  <c r="I88" i="46"/>
  <c r="I98" i="46"/>
  <c r="I70" i="46"/>
  <c r="F80" i="56"/>
  <c r="F99" i="56"/>
  <c r="F71" i="56"/>
  <c r="G81" i="56"/>
  <c r="G100" i="56"/>
  <c r="G72" i="56"/>
  <c r="H81" i="46"/>
  <c r="P81" i="46" s="1"/>
  <c r="H72" i="46"/>
  <c r="P72" i="46" s="1"/>
  <c r="H100" i="46"/>
  <c r="H90" i="46"/>
  <c r="I82" i="56"/>
  <c r="I101" i="56"/>
  <c r="I73" i="56"/>
  <c r="E98" i="56"/>
  <c r="E70" i="56"/>
  <c r="E89" i="46"/>
  <c r="E71" i="46"/>
  <c r="E99" i="46"/>
  <c r="I48" i="56"/>
  <c r="I49" i="56" s="1"/>
  <c r="Q42" i="56"/>
  <c r="Q48" i="56" s="1"/>
  <c r="F79" i="56"/>
  <c r="F98" i="56"/>
  <c r="F70" i="56"/>
  <c r="I81" i="46"/>
  <c r="Q81" i="46" s="1"/>
  <c r="I72" i="46"/>
  <c r="I100" i="46"/>
  <c r="I90" i="46"/>
  <c r="H79" i="56"/>
  <c r="H98" i="56"/>
  <c r="H70" i="56"/>
  <c r="E101" i="56"/>
  <c r="E73" i="56"/>
  <c r="D74" i="56"/>
  <c r="D15" i="56" s="1"/>
  <c r="I79" i="56"/>
  <c r="I98" i="56"/>
  <c r="I70" i="56"/>
  <c r="G79" i="56"/>
  <c r="G98" i="56"/>
  <c r="G70" i="56"/>
  <c r="G79" i="46"/>
  <c r="O79" i="46" s="1"/>
  <c r="G98" i="46"/>
  <c r="G70" i="46"/>
  <c r="G88" i="46"/>
  <c r="H81" i="56"/>
  <c r="H100" i="56"/>
  <c r="H72" i="56"/>
  <c r="G82" i="46"/>
  <c r="O82" i="46" s="1"/>
  <c r="G91" i="46"/>
  <c r="G73" i="46"/>
  <c r="G101" i="46"/>
  <c r="F81" i="46"/>
  <c r="N81" i="46" s="1"/>
  <c r="F72" i="46"/>
  <c r="N72" i="46" s="1"/>
  <c r="F100" i="46"/>
  <c r="N100" i="46" s="1"/>
  <c r="F90" i="46"/>
  <c r="N90" i="46" s="1"/>
  <c r="F82" i="56"/>
  <c r="F101" i="56"/>
  <c r="F73" i="56"/>
  <c r="G48" i="56"/>
  <c r="O42" i="56"/>
  <c r="O48" i="56" s="1"/>
  <c r="F82" i="46"/>
  <c r="N82" i="46" s="1"/>
  <c r="F91" i="46"/>
  <c r="F73" i="46"/>
  <c r="F101" i="46"/>
  <c r="N101" i="46" s="1"/>
  <c r="I80" i="56"/>
  <c r="I99" i="56"/>
  <c r="I71" i="56"/>
  <c r="E54" i="42"/>
  <c r="E56" i="42" s="1"/>
  <c r="G82" i="56"/>
  <c r="G73" i="56"/>
  <c r="G101" i="56"/>
  <c r="L101" i="46"/>
  <c r="E91" i="46"/>
  <c r="M91" i="46" s="1"/>
  <c r="E73" i="46"/>
  <c r="E101" i="46"/>
  <c r="M101" i="46" s="1"/>
  <c r="G80" i="46"/>
  <c r="O80" i="46" s="1"/>
  <c r="G89" i="46"/>
  <c r="G71" i="46"/>
  <c r="G99" i="46"/>
  <c r="E99" i="56"/>
  <c r="E71" i="56"/>
  <c r="F80" i="46"/>
  <c r="N80" i="46" s="1"/>
  <c r="F89" i="46"/>
  <c r="F71" i="46"/>
  <c r="F99" i="46"/>
  <c r="H80" i="46"/>
  <c r="P80" i="46" s="1"/>
  <c r="H89" i="46"/>
  <c r="H71" i="46"/>
  <c r="H99" i="46"/>
  <c r="H82" i="56"/>
  <c r="H101" i="56"/>
  <c r="H73" i="56"/>
  <c r="G80" i="56"/>
  <c r="G99" i="56"/>
  <c r="G71" i="56"/>
  <c r="I82" i="46"/>
  <c r="Q82" i="46" s="1"/>
  <c r="I73" i="46"/>
  <c r="I101" i="46"/>
  <c r="Q101" i="46" s="1"/>
  <c r="I91" i="46"/>
  <c r="F81" i="56"/>
  <c r="F100" i="56"/>
  <c r="F72" i="56"/>
  <c r="E98" i="46"/>
  <c r="E88" i="46"/>
  <c r="D92" i="56"/>
  <c r="D17" i="56" s="1"/>
  <c r="D83" i="46"/>
  <c r="D18" i="46" s="1"/>
  <c r="D74" i="46"/>
  <c r="D17" i="46" s="1"/>
  <c r="L54" i="56"/>
  <c r="L55" i="56" s="1"/>
  <c r="L14" i="56" s="1"/>
  <c r="L25" i="56" s="1"/>
  <c r="C34" i="47" s="1"/>
  <c r="L73" i="46"/>
  <c r="L74" i="46" s="1"/>
  <c r="L17" i="46" s="1"/>
  <c r="I36" i="42"/>
  <c r="M48" i="56"/>
  <c r="E48" i="46"/>
  <c r="E49" i="46" s="1"/>
  <c r="D51" i="47" s="1"/>
  <c r="E64" i="46"/>
  <c r="D16" i="46"/>
  <c r="G48" i="46"/>
  <c r="O48" i="46"/>
  <c r="O49" i="46" s="1"/>
  <c r="L88" i="46"/>
  <c r="L92" i="46" s="1"/>
  <c r="L19" i="46" s="1"/>
  <c r="E48" i="56"/>
  <c r="H54" i="42"/>
  <c r="H56" i="42" s="1"/>
  <c r="F64" i="46"/>
  <c r="F54" i="46" s="1"/>
  <c r="F55" i="46" s="1"/>
  <c r="F16" i="46" s="1"/>
  <c r="F54" i="42"/>
  <c r="F56" i="42" s="1"/>
  <c r="G54" i="42"/>
  <c r="G56" i="42" s="1"/>
  <c r="G64" i="46"/>
  <c r="G54" i="46" s="1"/>
  <c r="G55" i="46" s="1"/>
  <c r="G56" i="46" s="1"/>
  <c r="M48" i="46"/>
  <c r="M49" i="46" s="1"/>
  <c r="F64" i="56"/>
  <c r="F54" i="56" s="1"/>
  <c r="N54" i="56" s="1"/>
  <c r="N55" i="56" s="1"/>
  <c r="N14" i="56" s="1"/>
  <c r="E64" i="56"/>
  <c r="E54" i="56" s="1"/>
  <c r="M54" i="56" s="1"/>
  <c r="M55" i="56" s="1"/>
  <c r="M14" i="56" s="1"/>
  <c r="M79" i="46"/>
  <c r="I54" i="42"/>
  <c r="I56" i="42" s="1"/>
  <c r="P79" i="46"/>
  <c r="H64" i="46"/>
  <c r="H54" i="46" s="1"/>
  <c r="H55" i="46" s="1"/>
  <c r="H64" i="56"/>
  <c r="H54" i="56" s="1"/>
  <c r="P54" i="56" s="1"/>
  <c r="P55" i="56" s="1"/>
  <c r="P14" i="56" s="1"/>
  <c r="G64" i="56"/>
  <c r="G54" i="56" s="1"/>
  <c r="E79" i="56"/>
  <c r="E80" i="46"/>
  <c r="M80" i="46" s="1"/>
  <c r="I64" i="46"/>
  <c r="I54" i="46" s="1"/>
  <c r="I55" i="46" s="1"/>
  <c r="I56" i="46" s="1"/>
  <c r="E80" i="56"/>
  <c r="I64" i="56"/>
  <c r="I54" i="56" s="1"/>
  <c r="Q54" i="56" s="1"/>
  <c r="M72" i="46"/>
  <c r="M90" i="46"/>
  <c r="H48" i="56"/>
  <c r="H13" i="56" s="1"/>
  <c r="H13" i="46" s="1"/>
  <c r="F48" i="56"/>
  <c r="F49" i="56" s="1"/>
  <c r="E49" i="47" s="1"/>
  <c r="C25" i="47"/>
  <c r="P39" i="46"/>
  <c r="P48" i="46" s="1"/>
  <c r="H48" i="46"/>
  <c r="H49" i="46" s="1"/>
  <c r="G51" i="47" s="1"/>
  <c r="Q39" i="46"/>
  <c r="Q48" i="46" s="1"/>
  <c r="Q49" i="46" s="1"/>
  <c r="I48" i="46"/>
  <c r="I49" i="46" s="1"/>
  <c r="H51" i="47" s="1"/>
  <c r="N39" i="46"/>
  <c r="N48" i="46" s="1"/>
  <c r="F48" i="46"/>
  <c r="F15" i="46" s="1"/>
  <c r="O35" i="46"/>
  <c r="O14" i="46"/>
  <c r="M35" i="46"/>
  <c r="M14" i="46"/>
  <c r="Q143" i="56"/>
  <c r="Q143" i="46"/>
  <c r="P143" i="46"/>
  <c r="O141" i="46"/>
  <c r="O141" i="56"/>
  <c r="O142" i="46"/>
  <c r="N143" i="46"/>
  <c r="Q141" i="46"/>
  <c r="P142" i="46"/>
  <c r="N34" i="46"/>
  <c r="Q142" i="46"/>
  <c r="Q34" i="46"/>
  <c r="Q35" i="46" s="1"/>
  <c r="P141" i="46"/>
  <c r="N141" i="46"/>
  <c r="O143" i="46"/>
  <c r="N142" i="46"/>
  <c r="P34" i="46"/>
  <c r="Q128" i="46"/>
  <c r="Q129" i="46" s="1"/>
  <c r="Q120" i="46"/>
  <c r="Q121" i="46" s="1"/>
  <c r="N120" i="46"/>
  <c r="N121" i="46" s="1"/>
  <c r="N128" i="46"/>
  <c r="N129" i="46" s="1"/>
  <c r="P128" i="46"/>
  <c r="P129" i="46" s="1"/>
  <c r="O120" i="46"/>
  <c r="O121" i="46" s="1"/>
  <c r="P120" i="46"/>
  <c r="P121" i="46" s="1"/>
  <c r="P141" i="56"/>
  <c r="N142" i="56"/>
  <c r="O128" i="46"/>
  <c r="O129" i="46" s="1"/>
  <c r="P142" i="56"/>
  <c r="N143" i="56"/>
  <c r="Q141" i="56"/>
  <c r="N141" i="56"/>
  <c r="Q142" i="56"/>
  <c r="O143" i="56"/>
  <c r="P143" i="56"/>
  <c r="O142" i="56"/>
  <c r="P20" i="56"/>
  <c r="M20" i="56"/>
  <c r="E21" i="56"/>
  <c r="F21" i="56"/>
  <c r="N20" i="56"/>
  <c r="F20" i="56"/>
  <c r="I20" i="56"/>
  <c r="H20" i="56"/>
  <c r="G129" i="56"/>
  <c r="I129" i="56"/>
  <c r="H129" i="56"/>
  <c r="G20" i="56"/>
  <c r="E20" i="56"/>
  <c r="Q20" i="56"/>
  <c r="O20" i="56"/>
  <c r="F32" i="56"/>
  <c r="F33" i="56" s="1"/>
  <c r="E48" i="47" s="1"/>
  <c r="I34" i="46"/>
  <c r="E32" i="56"/>
  <c r="H32" i="56"/>
  <c r="H33" i="56" s="1"/>
  <c r="G48" i="47" s="1"/>
  <c r="F34" i="46"/>
  <c r="G34" i="46"/>
  <c r="I32" i="56"/>
  <c r="I33" i="56" s="1"/>
  <c r="H48" i="47" s="1"/>
  <c r="G32" i="56"/>
  <c r="G33" i="56" s="1"/>
  <c r="F48" i="47" s="1"/>
  <c r="E34" i="46"/>
  <c r="H34" i="46"/>
  <c r="M22" i="46"/>
  <c r="E136" i="56"/>
  <c r="E137" i="56" s="1"/>
  <c r="G136" i="56"/>
  <c r="G22" i="56" s="1"/>
  <c r="F136" i="56"/>
  <c r="F22" i="56" s="1"/>
  <c r="F144" i="56"/>
  <c r="F23" i="56" s="1"/>
  <c r="F111" i="56"/>
  <c r="F112" i="56" s="1"/>
  <c r="P111" i="46"/>
  <c r="P112" i="46" s="1"/>
  <c r="N111" i="56"/>
  <c r="N112" i="56" s="1"/>
  <c r="P157" i="56"/>
  <c r="H157" i="56"/>
  <c r="M111" i="56"/>
  <c r="E111" i="56"/>
  <c r="O111" i="56"/>
  <c r="G111" i="56"/>
  <c r="O157" i="56"/>
  <c r="G157" i="56"/>
  <c r="I144" i="56"/>
  <c r="M144" i="56"/>
  <c r="M145" i="56" s="1"/>
  <c r="E144" i="56"/>
  <c r="H144" i="56"/>
  <c r="I136" i="56"/>
  <c r="E157" i="56"/>
  <c r="M157" i="56"/>
  <c r="Q157" i="56"/>
  <c r="I157" i="56"/>
  <c r="O111" i="46"/>
  <c r="O112" i="46" s="1"/>
  <c r="N111" i="46"/>
  <c r="N112" i="46" s="1"/>
  <c r="H136" i="56"/>
  <c r="Q111" i="56"/>
  <c r="I111" i="56"/>
  <c r="N157" i="56"/>
  <c r="F157" i="56"/>
  <c r="P111" i="56"/>
  <c r="H111" i="56"/>
  <c r="G144" i="56"/>
  <c r="P157" i="46"/>
  <c r="P158" i="46" s="1"/>
  <c r="Q157" i="46"/>
  <c r="O157" i="46"/>
  <c r="N157" i="46"/>
  <c r="M157" i="46"/>
  <c r="M144" i="46"/>
  <c r="M145" i="46" s="1"/>
  <c r="Q111" i="46"/>
  <c r="Q112" i="46" s="1"/>
  <c r="M111" i="46"/>
  <c r="M112" i="46" s="1"/>
  <c r="M23" i="46"/>
  <c r="G22" i="46"/>
  <c r="F23" i="46"/>
  <c r="G23" i="46"/>
  <c r="I22" i="46"/>
  <c r="F22" i="46"/>
  <c r="H23" i="46"/>
  <c r="I23" i="46"/>
  <c r="H22" i="46"/>
  <c r="D25" i="46"/>
  <c r="D24" i="46"/>
  <c r="D21" i="46"/>
  <c r="E121" i="46"/>
  <c r="D71" i="47" s="1"/>
  <c r="E129" i="46"/>
  <c r="D72" i="47" s="1"/>
  <c r="E144" i="46"/>
  <c r="E25" i="46" s="1"/>
  <c r="F144" i="46"/>
  <c r="F25" i="46" s="1"/>
  <c r="G144" i="46"/>
  <c r="H144" i="46"/>
  <c r="I144" i="46"/>
  <c r="F121" i="46"/>
  <c r="I129" i="46"/>
  <c r="H72" i="47" s="1"/>
  <c r="I121" i="46"/>
  <c r="H71" i="47" s="1"/>
  <c r="F129" i="46"/>
  <c r="H121" i="46"/>
  <c r="G129" i="46"/>
  <c r="F72" i="47" s="1"/>
  <c r="H129" i="46"/>
  <c r="G121" i="46"/>
  <c r="E20" i="42"/>
  <c r="H111" i="46"/>
  <c r="H21" i="46" s="1"/>
  <c r="H20" i="42"/>
  <c r="H157" i="46"/>
  <c r="H136" i="46"/>
  <c r="I111" i="46"/>
  <c r="I21" i="46" s="1"/>
  <c r="I157" i="46"/>
  <c r="I136" i="46"/>
  <c r="F136" i="46"/>
  <c r="I20" i="42"/>
  <c r="I22" i="42" s="1"/>
  <c r="F157" i="46"/>
  <c r="F111" i="46"/>
  <c r="F21" i="46" s="1"/>
  <c r="G136" i="46"/>
  <c r="E136" i="46"/>
  <c r="E157" i="46"/>
  <c r="F20" i="42"/>
  <c r="G157" i="46"/>
  <c r="E111" i="46"/>
  <c r="G20" i="42"/>
  <c r="G111" i="46"/>
  <c r="G21" i="46" s="1"/>
  <c r="P83" i="46" l="1"/>
  <c r="H83" i="46"/>
  <c r="H18" i="46" s="1"/>
  <c r="G83" i="56"/>
  <c r="G84" i="56" s="1"/>
  <c r="H83" i="56"/>
  <c r="H84" i="56" s="1"/>
  <c r="N83" i="46"/>
  <c r="N84" i="46" s="1"/>
  <c r="O83" i="46"/>
  <c r="O84" i="46" s="1"/>
  <c r="F83" i="56"/>
  <c r="F84" i="56" s="1"/>
  <c r="I55" i="56"/>
  <c r="Q55" i="56"/>
  <c r="Q56" i="56" s="1"/>
  <c r="I83" i="46"/>
  <c r="I18" i="46" s="1"/>
  <c r="I83" i="56"/>
  <c r="I84" i="56" s="1"/>
  <c r="F83" i="46"/>
  <c r="F18" i="46" s="1"/>
  <c r="E74" i="56"/>
  <c r="E75" i="56" s="1"/>
  <c r="E54" i="46"/>
  <c r="E55" i="46" s="1"/>
  <c r="Q83" i="46"/>
  <c r="Q84" i="46" s="1"/>
  <c r="G83" i="46"/>
  <c r="G18" i="46" s="1"/>
  <c r="G92" i="46"/>
  <c r="N91" i="46"/>
  <c r="M73" i="46"/>
  <c r="O90" i="46"/>
  <c r="D92" i="46"/>
  <c r="D19" i="46" s="1"/>
  <c r="E65" i="46"/>
  <c r="D53" i="47" s="1"/>
  <c r="O15" i="46"/>
  <c r="M83" i="46"/>
  <c r="M18" i="46" s="1"/>
  <c r="G65" i="46"/>
  <c r="F53" i="47" s="1"/>
  <c r="G16" i="46"/>
  <c r="M15" i="46"/>
  <c r="F65" i="46"/>
  <c r="E53" i="47" s="1"/>
  <c r="G57" i="42"/>
  <c r="F57" i="42"/>
  <c r="N56" i="56"/>
  <c r="F55" i="56"/>
  <c r="F56" i="56" s="1"/>
  <c r="H65" i="46"/>
  <c r="G53" i="47" s="1"/>
  <c r="F65" i="56"/>
  <c r="H25" i="47"/>
  <c r="H26" i="47" s="1"/>
  <c r="H57" i="42"/>
  <c r="E55" i="56"/>
  <c r="E14" i="56" s="1"/>
  <c r="E65" i="56"/>
  <c r="M56" i="56"/>
  <c r="I65" i="46"/>
  <c r="H53" i="47" s="1"/>
  <c r="E57" i="42"/>
  <c r="P56" i="56"/>
  <c r="E83" i="46"/>
  <c r="E18" i="46" s="1"/>
  <c r="H55" i="56"/>
  <c r="H14" i="56" s="1"/>
  <c r="M88" i="46"/>
  <c r="M70" i="46"/>
  <c r="O91" i="46"/>
  <c r="H65" i="56"/>
  <c r="E74" i="46"/>
  <c r="E17" i="46" s="1"/>
  <c r="I57" i="42"/>
  <c r="G65" i="56"/>
  <c r="I65" i="56"/>
  <c r="G55" i="56"/>
  <c r="G14" i="56" s="1"/>
  <c r="O54" i="56"/>
  <c r="O55" i="56" s="1"/>
  <c r="M89" i="46"/>
  <c r="M71" i="46"/>
  <c r="L99" i="46"/>
  <c r="D102" i="46"/>
  <c r="D20" i="46" s="1"/>
  <c r="E83" i="56"/>
  <c r="E84" i="56" s="1"/>
  <c r="N73" i="46"/>
  <c r="D102" i="56"/>
  <c r="D18" i="56" s="1"/>
  <c r="P100" i="46"/>
  <c r="F74" i="56"/>
  <c r="F75" i="56" s="1"/>
  <c r="E92" i="56"/>
  <c r="E93" i="56" s="1"/>
  <c r="G74" i="56"/>
  <c r="G15" i="56" s="1"/>
  <c r="C40" i="47"/>
  <c r="G22" i="42"/>
  <c r="F25" i="47"/>
  <c r="F22" i="42"/>
  <c r="E25" i="47"/>
  <c r="H22" i="42"/>
  <c r="I23" i="42" s="1"/>
  <c r="G25" i="47"/>
  <c r="E22" i="42"/>
  <c r="D25" i="47"/>
  <c r="E33" i="56"/>
  <c r="D48" i="47" s="1"/>
  <c r="E12" i="56"/>
  <c r="E12" i="46" s="1"/>
  <c r="P90" i="46"/>
  <c r="H36" i="42"/>
  <c r="Q15" i="46"/>
  <c r="Q14" i="46"/>
  <c r="P35" i="46"/>
  <c r="P14" i="46"/>
  <c r="N35" i="46"/>
  <c r="N14" i="46"/>
  <c r="P49" i="46"/>
  <c r="P15" i="46"/>
  <c r="N49" i="46"/>
  <c r="N15" i="46"/>
  <c r="O49" i="56"/>
  <c r="O13" i="56"/>
  <c r="Q49" i="56"/>
  <c r="Q13" i="56"/>
  <c r="N49" i="56"/>
  <c r="N13" i="56"/>
  <c r="M49" i="56"/>
  <c r="M13" i="56"/>
  <c r="P49" i="56"/>
  <c r="P13" i="56"/>
  <c r="Q23" i="46"/>
  <c r="N23" i="46"/>
  <c r="P23" i="46"/>
  <c r="Q22" i="46"/>
  <c r="N22" i="46"/>
  <c r="N144" i="56"/>
  <c r="N145" i="56" s="1"/>
  <c r="P22" i="46"/>
  <c r="O144" i="46"/>
  <c r="O145" i="46" s="1"/>
  <c r="O22" i="46"/>
  <c r="P144" i="46"/>
  <c r="P145" i="46" s="1"/>
  <c r="O144" i="56"/>
  <c r="O145" i="56" s="1"/>
  <c r="N144" i="46"/>
  <c r="N145" i="46" s="1"/>
  <c r="O23" i="46"/>
  <c r="Q144" i="56"/>
  <c r="Q145" i="56" s="1"/>
  <c r="P144" i="56"/>
  <c r="P145" i="56" s="1"/>
  <c r="Q144" i="46"/>
  <c r="Q145" i="46" s="1"/>
  <c r="F12" i="56"/>
  <c r="F12" i="46" s="1"/>
  <c r="F49" i="46"/>
  <c r="E51" i="47" s="1"/>
  <c r="I15" i="46"/>
  <c r="F13" i="56"/>
  <c r="F13" i="46" s="1"/>
  <c r="H15" i="46"/>
  <c r="H49" i="56"/>
  <c r="G49" i="47" s="1"/>
  <c r="H12" i="56"/>
  <c r="H12" i="46" s="1"/>
  <c r="E15" i="46"/>
  <c r="G12" i="56"/>
  <c r="G12" i="46" s="1"/>
  <c r="I12" i="56"/>
  <c r="I12" i="46" s="1"/>
  <c r="I13" i="56"/>
  <c r="I13" i="46" s="1"/>
  <c r="H49" i="47"/>
  <c r="G49" i="46"/>
  <c r="F51" i="47" s="1"/>
  <c r="G15" i="46"/>
  <c r="E13" i="56"/>
  <c r="E13" i="46" s="1"/>
  <c r="E49" i="56"/>
  <c r="D49" i="47" s="1"/>
  <c r="G49" i="56"/>
  <c r="F49" i="47" s="1"/>
  <c r="G13" i="56"/>
  <c r="G13" i="46" s="1"/>
  <c r="H16" i="46"/>
  <c r="I16" i="46"/>
  <c r="H56" i="46"/>
  <c r="G52" i="47" s="1"/>
  <c r="F56" i="46"/>
  <c r="E52" i="47" s="1"/>
  <c r="G16" i="56"/>
  <c r="E22" i="56"/>
  <c r="F145" i="56"/>
  <c r="F137" i="56"/>
  <c r="H16" i="56"/>
  <c r="G137" i="56"/>
  <c r="O21" i="46"/>
  <c r="P21" i="46"/>
  <c r="N21" i="46"/>
  <c r="N19" i="56"/>
  <c r="F19" i="56"/>
  <c r="H137" i="56"/>
  <c r="H22" i="56"/>
  <c r="I137" i="56"/>
  <c r="I22" i="56"/>
  <c r="P112" i="56"/>
  <c r="P19" i="56"/>
  <c r="N158" i="56"/>
  <c r="N24" i="56"/>
  <c r="Q24" i="56"/>
  <c r="Q158" i="56"/>
  <c r="G145" i="56"/>
  <c r="G23" i="56"/>
  <c r="I145" i="56"/>
  <c r="I23" i="56"/>
  <c r="E19" i="56"/>
  <c r="E112" i="56"/>
  <c r="O158" i="56"/>
  <c r="O24" i="56"/>
  <c r="G24" i="56"/>
  <c r="G158" i="56"/>
  <c r="M19" i="56"/>
  <c r="M112" i="56"/>
  <c r="I112" i="56"/>
  <c r="I19" i="56"/>
  <c r="Q19" i="56"/>
  <c r="Q112" i="56"/>
  <c r="M24" i="56"/>
  <c r="M158" i="56"/>
  <c r="H23" i="56"/>
  <c r="H145" i="56"/>
  <c r="G112" i="56"/>
  <c r="G19" i="56"/>
  <c r="H24" i="56"/>
  <c r="H158" i="56"/>
  <c r="H112" i="56"/>
  <c r="H19" i="56"/>
  <c r="F24" i="56"/>
  <c r="F158" i="56"/>
  <c r="P24" i="56"/>
  <c r="P158" i="56"/>
  <c r="I158" i="56"/>
  <c r="I24" i="56"/>
  <c r="E158" i="56"/>
  <c r="E24" i="56"/>
  <c r="E23" i="56"/>
  <c r="E145" i="56"/>
  <c r="O112" i="56"/>
  <c r="O19" i="56"/>
  <c r="P26" i="46"/>
  <c r="M26" i="46"/>
  <c r="M158" i="46"/>
  <c r="N158" i="46"/>
  <c r="N26" i="46"/>
  <c r="O158" i="46"/>
  <c r="O26" i="46"/>
  <c r="Q26" i="46"/>
  <c r="Q158" i="46"/>
  <c r="M21" i="46"/>
  <c r="Q21" i="46"/>
  <c r="M25" i="46"/>
  <c r="N18" i="46"/>
  <c r="P18" i="46"/>
  <c r="P84" i="46"/>
  <c r="H158" i="46"/>
  <c r="G77" i="47" s="1"/>
  <c r="H26" i="46"/>
  <c r="E158" i="46"/>
  <c r="D77" i="47" s="1"/>
  <c r="E26" i="46"/>
  <c r="G158" i="46"/>
  <c r="F77" i="47" s="1"/>
  <c r="G26" i="46"/>
  <c r="F158" i="46"/>
  <c r="F26" i="46"/>
  <c r="I158" i="46"/>
  <c r="H77" i="47" s="1"/>
  <c r="I26" i="46"/>
  <c r="G25" i="46"/>
  <c r="G24" i="46"/>
  <c r="E112" i="46"/>
  <c r="D68" i="47" s="1"/>
  <c r="E21" i="46"/>
  <c r="E24" i="46"/>
  <c r="H24" i="46"/>
  <c r="H25" i="46"/>
  <c r="F24" i="46"/>
  <c r="I24" i="46"/>
  <c r="I25" i="46"/>
  <c r="F145" i="46"/>
  <c r="E74" i="47" s="1"/>
  <c r="E145" i="46"/>
  <c r="D74" i="47" s="1"/>
  <c r="I145" i="46"/>
  <c r="H74" i="47" s="1"/>
  <c r="H145" i="46"/>
  <c r="G74" i="47" s="1"/>
  <c r="G145" i="46"/>
  <c r="F74" i="47" s="1"/>
  <c r="H84" i="46"/>
  <c r="G57" i="47" s="1"/>
  <c r="F112" i="46"/>
  <c r="E68" i="47" s="1"/>
  <c r="I112" i="46"/>
  <c r="H68" i="47" s="1"/>
  <c r="H112" i="46"/>
  <c r="F137" i="46"/>
  <c r="H137" i="46"/>
  <c r="I137" i="46"/>
  <c r="H73" i="47" s="1"/>
  <c r="E137" i="46"/>
  <c r="G112" i="46"/>
  <c r="G137" i="46"/>
  <c r="F73" i="47" s="1"/>
  <c r="G72" i="47"/>
  <c r="G71" i="47"/>
  <c r="H52" i="47"/>
  <c r="F71" i="47"/>
  <c r="E71" i="47"/>
  <c r="E72" i="47"/>
  <c r="F52" i="47"/>
  <c r="O18" i="46" l="1"/>
  <c r="F84" i="46"/>
  <c r="E57" i="47" s="1"/>
  <c r="F16" i="56"/>
  <c r="I14" i="56"/>
  <c r="G84" i="46"/>
  <c r="F57" i="47" s="1"/>
  <c r="I56" i="56"/>
  <c r="I16" i="56"/>
  <c r="I84" i="46"/>
  <c r="H57" i="47" s="1"/>
  <c r="Q18" i="46"/>
  <c r="E15" i="56"/>
  <c r="E56" i="46"/>
  <c r="D52" i="47" s="1"/>
  <c r="E16" i="46"/>
  <c r="M84" i="46"/>
  <c r="F14" i="56"/>
  <c r="E75" i="46"/>
  <c r="D56" i="47" s="1"/>
  <c r="E84" i="46"/>
  <c r="D57" i="47" s="1"/>
  <c r="L102" i="46"/>
  <c r="L20" i="46" s="1"/>
  <c r="L27" i="46" s="1"/>
  <c r="P101" i="46"/>
  <c r="Q14" i="56"/>
  <c r="Q25" i="56" s="1"/>
  <c r="H34" i="47" s="1"/>
  <c r="O101" i="46"/>
  <c r="F92" i="56"/>
  <c r="F93" i="56" s="1"/>
  <c r="E56" i="56"/>
  <c r="E16" i="56"/>
  <c r="M74" i="46"/>
  <c r="M75" i="46" s="1"/>
  <c r="E92" i="46"/>
  <c r="E19" i="46" s="1"/>
  <c r="M92" i="46"/>
  <c r="M93" i="46" s="1"/>
  <c r="O73" i="46"/>
  <c r="N70" i="46"/>
  <c r="N88" i="46"/>
  <c r="M98" i="46"/>
  <c r="H56" i="56"/>
  <c r="O100" i="46"/>
  <c r="M99" i="46"/>
  <c r="E102" i="46"/>
  <c r="N71" i="46"/>
  <c r="F74" i="46"/>
  <c r="E102" i="56"/>
  <c r="O14" i="56"/>
  <c r="O25" i="56" s="1"/>
  <c r="F34" i="47" s="1"/>
  <c r="O56" i="56"/>
  <c r="G56" i="56"/>
  <c r="E17" i="56"/>
  <c r="F15" i="56"/>
  <c r="G75" i="56"/>
  <c r="Q100" i="46"/>
  <c r="H23" i="42"/>
  <c r="F23" i="42"/>
  <c r="G23" i="42"/>
  <c r="E23" i="42"/>
  <c r="Q90" i="46"/>
  <c r="Q72" i="46"/>
  <c r="Q25" i="46"/>
  <c r="O25" i="46"/>
  <c r="N25" i="46"/>
  <c r="P25" i="46"/>
  <c r="M25" i="56"/>
  <c r="D34" i="47" s="1"/>
  <c r="N25" i="56"/>
  <c r="E34" i="47" s="1"/>
  <c r="P25" i="56"/>
  <c r="G34" i="47" s="1"/>
  <c r="F27" i="47"/>
  <c r="F26" i="47"/>
  <c r="D26" i="47"/>
  <c r="D27" i="47"/>
  <c r="G26" i="47"/>
  <c r="G27" i="47"/>
  <c r="H27" i="47"/>
  <c r="E27" i="47"/>
  <c r="E26" i="47"/>
  <c r="G73" i="47"/>
  <c r="E77" i="47"/>
  <c r="E73" i="47"/>
  <c r="F68" i="47"/>
  <c r="D73" i="47"/>
  <c r="G68" i="47"/>
  <c r="G92" i="56" l="1"/>
  <c r="G93" i="56" s="1"/>
  <c r="M102" i="46"/>
  <c r="M103" i="46" s="1"/>
  <c r="N74" i="46"/>
  <c r="N17" i="46" s="1"/>
  <c r="F17" i="56"/>
  <c r="M19" i="46"/>
  <c r="E93" i="46"/>
  <c r="D58" i="47" s="1"/>
  <c r="M17" i="46"/>
  <c r="N98" i="46"/>
  <c r="O70" i="46"/>
  <c r="O88" i="46"/>
  <c r="P91" i="46"/>
  <c r="P73" i="46"/>
  <c r="N89" i="46"/>
  <c r="N92" i="46" s="1"/>
  <c r="F92" i="46"/>
  <c r="O71" i="46"/>
  <c r="G74" i="46"/>
  <c r="E103" i="46"/>
  <c r="D65" i="47" s="1"/>
  <c r="E20" i="46"/>
  <c r="N99" i="46"/>
  <c r="F102" i="46"/>
  <c r="E103" i="56"/>
  <c r="E18" i="56"/>
  <c r="F102" i="56"/>
  <c r="F17" i="46"/>
  <c r="F75" i="46"/>
  <c r="E56" i="47" s="1"/>
  <c r="H92" i="56"/>
  <c r="H17" i="56" s="1"/>
  <c r="H74" i="56"/>
  <c r="H75" i="56" s="1"/>
  <c r="H36" i="47"/>
  <c r="H35" i="47"/>
  <c r="H40" i="47"/>
  <c r="H41" i="47" s="1"/>
  <c r="F40" i="47"/>
  <c r="G40" i="47"/>
  <c r="G41" i="47" s="1"/>
  <c r="D40" i="47"/>
  <c r="D42" i="47" s="1"/>
  <c r="E40" i="47"/>
  <c r="E41" i="47" s="1"/>
  <c r="G17" i="56" l="1"/>
  <c r="N75" i="46"/>
  <c r="M20" i="46"/>
  <c r="M27" i="46" s="1"/>
  <c r="O74" i="46"/>
  <c r="O17" i="46" s="1"/>
  <c r="N102" i="46"/>
  <c r="N103" i="46" s="1"/>
  <c r="Q91" i="46"/>
  <c r="Q73" i="46"/>
  <c r="P70" i="46"/>
  <c r="P88" i="46"/>
  <c r="O98" i="46"/>
  <c r="G17" i="46"/>
  <c r="G75" i="46"/>
  <c r="F56" i="47" s="1"/>
  <c r="G102" i="56"/>
  <c r="F20" i="46"/>
  <c r="F103" i="46"/>
  <c r="E65" i="47" s="1"/>
  <c r="P71" i="46"/>
  <c r="H74" i="46"/>
  <c r="F103" i="56"/>
  <c r="F18" i="56"/>
  <c r="O99" i="46"/>
  <c r="G102" i="46"/>
  <c r="O89" i="46"/>
  <c r="O92" i="46" s="1"/>
  <c r="F19" i="46"/>
  <c r="F93" i="46"/>
  <c r="E58" i="47" s="1"/>
  <c r="N93" i="46"/>
  <c r="N19" i="46"/>
  <c r="H93" i="56"/>
  <c r="I92" i="56"/>
  <c r="I74" i="56"/>
  <c r="H15" i="56"/>
  <c r="G42" i="47"/>
  <c r="H42" i="47"/>
  <c r="F41" i="47"/>
  <c r="F35" i="47"/>
  <c r="D35" i="47"/>
  <c r="D36" i="47"/>
  <c r="G36" i="47"/>
  <c r="G35" i="47"/>
  <c r="E42" i="47"/>
  <c r="F42" i="47"/>
  <c r="F36" i="47"/>
  <c r="E35" i="47"/>
  <c r="D41" i="47"/>
  <c r="E36" i="47"/>
  <c r="O75" i="46" l="1"/>
  <c r="N20" i="46"/>
  <c r="N27" i="46" s="1"/>
  <c r="P74" i="46"/>
  <c r="P75" i="46" s="1"/>
  <c r="O102" i="46"/>
  <c r="O20" i="46" s="1"/>
  <c r="Q98" i="46"/>
  <c r="P98" i="46"/>
  <c r="Q88" i="46"/>
  <c r="Q70" i="46"/>
  <c r="G19" i="46"/>
  <c r="G93" i="46"/>
  <c r="F58" i="47" s="1"/>
  <c r="P89" i="46"/>
  <c r="P92" i="46" s="1"/>
  <c r="H92" i="46"/>
  <c r="I102" i="56"/>
  <c r="H102" i="56"/>
  <c r="G103" i="56"/>
  <c r="G18" i="56"/>
  <c r="H17" i="46"/>
  <c r="H75" i="46"/>
  <c r="G56" i="47" s="1"/>
  <c r="G103" i="46"/>
  <c r="F65" i="47" s="1"/>
  <c r="G20" i="46"/>
  <c r="P99" i="46"/>
  <c r="H102" i="46"/>
  <c r="O93" i="46"/>
  <c r="O19" i="46"/>
  <c r="Q71" i="46"/>
  <c r="I74" i="46"/>
  <c r="I93" i="56"/>
  <c r="I17" i="56"/>
  <c r="I75" i="56"/>
  <c r="I15" i="56"/>
  <c r="D14" i="46"/>
  <c r="F35" i="46"/>
  <c r="E50" i="47" s="1"/>
  <c r="I14" i="46"/>
  <c r="I35" i="46"/>
  <c r="H50" i="47" s="1"/>
  <c r="H14" i="46"/>
  <c r="E14" i="46"/>
  <c r="E35" i="46"/>
  <c r="D50" i="47" s="1"/>
  <c r="H35" i="46"/>
  <c r="G50" i="47" s="1"/>
  <c r="G14" i="46"/>
  <c r="G35" i="46"/>
  <c r="F50" i="47" s="1"/>
  <c r="F14" i="46"/>
  <c r="P17" i="46" l="1"/>
  <c r="O103" i="46"/>
  <c r="P102" i="46"/>
  <c r="P103" i="46" s="1"/>
  <c r="Q74" i="46"/>
  <c r="Q17" i="46" s="1"/>
  <c r="O27" i="46"/>
  <c r="I17" i="46"/>
  <c r="I75" i="46"/>
  <c r="H56" i="47" s="1"/>
  <c r="H103" i="56"/>
  <c r="H18" i="56"/>
  <c r="Q99" i="46"/>
  <c r="Q102" i="46" s="1"/>
  <c r="Q103" i="46" s="1"/>
  <c r="I102" i="46"/>
  <c r="I18" i="56"/>
  <c r="I103" i="56"/>
  <c r="H19" i="46"/>
  <c r="H93" i="46"/>
  <c r="G58" i="47" s="1"/>
  <c r="Q89" i="46"/>
  <c r="Q92" i="46" s="1"/>
  <c r="Q93" i="46" s="1"/>
  <c r="I92" i="46"/>
  <c r="I93" i="46" s="1"/>
  <c r="H103" i="46"/>
  <c r="G65" i="47" s="1"/>
  <c r="H20" i="46"/>
  <c r="P19" i="46"/>
  <c r="P93" i="46"/>
  <c r="Q75" i="46" l="1"/>
  <c r="P20" i="46"/>
  <c r="P27" i="46" s="1"/>
  <c r="Q19" i="46"/>
  <c r="I19" i="46"/>
  <c r="H58" i="47"/>
  <c r="I103" i="46"/>
  <c r="H65" i="47" s="1"/>
  <c r="I20" i="46"/>
  <c r="Q20" i="46"/>
  <c r="Q27" i="4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<sst xmlns="http://schemas.openxmlformats.org/spreadsheetml/2006/main" count="2789" uniqueCount="1197">
  <si>
    <t>Putting NICE guidance into practice</t>
  </si>
  <si>
    <t>Resource impact template: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</si>
  <si>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</si>
  <si>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</si>
  <si>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</si>
  <si>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</si>
  <si>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</si>
  <si>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</si>
  <si>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</si>
  <si>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</si>
  <si>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</si>
  <si>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</si>
  <si>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</si>
  <si>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</si>
  <si>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</si>
  <si>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</si>
  <si>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</si>
  <si>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</si>
  <si>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</si>
  <si>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</si>
  <si>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</si>
  <si>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</si>
  <si>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</si>
  <si>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</si>
  <si>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</si>
  <si>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</si>
  <si>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</si>
  <si>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</si>
  <si>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</si>
  <si>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</si>
  <si>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</si>
  <si>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</si>
  <si>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</si>
  <si>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</si>
  <si>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</si>
  <si>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</si>
  <si>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</si>
  <si>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</si>
  <si>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</si>
  <si>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</si>
  <si>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</si>
  <si>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</si>
  <si>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</si>
  <si>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</si>
  <si>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</si>
  <si>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</si>
  <si>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</si>
  <si>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</si>
  <si>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</si>
  <si>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</si>
  <si>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</si>
  <si>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</si>
  <si>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</si>
  <si>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</si>
  <si>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</si>
  <si>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</si>
  <si>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</si>
  <si>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</si>
  <si>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</si>
  <si>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</si>
  <si>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</si>
  <si>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</si>
  <si>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</si>
  <si>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</si>
  <si>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</si>
  <si>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</si>
  <si>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</si>
  <si>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</si>
  <si>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</si>
  <si>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</si>
  <si>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</si>
  <si>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</si>
  <si>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</si>
  <si>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</si>
  <si>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</si>
  <si>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</si>
  <si>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</si>
  <si>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</si>
  <si>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</si>
  <si>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</si>
  <si>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</si>
  <si>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</si>
  <si>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</si>
  <si>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</si>
  <si>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</si>
  <si>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</si>
  <si>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</si>
  <si>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</si>
  <si>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</si>
  <si>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</si>
  <si>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</si>
  <si>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</si>
  <si>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</si>
  <si>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</si>
  <si>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</si>
  <si>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</si>
  <si>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</si>
  <si>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</si>
  <si>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</si>
  <si>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</si>
  <si>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</si>
  <si>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</si>
  <si>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</si>
  <si>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</si>
  <si>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</si>
  <si>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</si>
  <si>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</si>
  <si>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</si>
  <si>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</si>
  <si>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</si>
  <si>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</si>
  <si>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</si>
  <si>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</si>
  <si>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</si>
  <si>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</si>
  <si>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</si>
  <si>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</si>
  <si>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</si>
  <si>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</si>
  <si>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</si>
  <si>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</si>
  <si>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</si>
  <si>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</si>
  <si>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</si>
  <si>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</si>
  <si>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</si>
  <si>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</si>
  <si>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</si>
  <si>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</si>
  <si>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</si>
  <si>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</si>
  <si>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</si>
  <si>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</si>
  <si>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</si>
  <si>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</si>
  <si>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</si>
  <si>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</si>
  <si>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</si>
  <si>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</si>
  <si>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</si>
  <si>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</si>
  <si>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</si>
  <si>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</si>
  <si>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</si>
  <si>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</si>
  <si>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</si>
  <si>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</si>
  <si>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</si>
  <si>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</si>
  <si>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</si>
  <si>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</si>
  <si>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</si>
  <si>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</si>
  <si>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</si>
  <si>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</si>
  <si>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</si>
  <si>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</si>
  <si>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</si>
  <si>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</si>
  <si>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</si>
  <si>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</si>
  <si>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</si>
  <si>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</si>
  <si>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</si>
  <si>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</si>
  <si>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</si>
  <si>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</si>
  <si>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</si>
  <si>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</si>
  <si>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</si>
  <si>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</si>
  <si>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</si>
  <si>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</si>
  <si>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</si>
  <si>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</si>
  <si>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</si>
  <si>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</si>
  <si>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</si>
  <si>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</si>
  <si>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</si>
  <si>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</si>
  <si>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</si>
  <si>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</si>
  <si>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</si>
  <si>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</si>
  <si>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</si>
  <si>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</si>
  <si>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</si>
  <si>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</si>
  <si>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</si>
  <si>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</si>
  <si>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</si>
  <si>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</si>
  <si>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</si>
  <si>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</si>
  <si>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</si>
  <si>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</si>
  <si>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</si>
  <si>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</si>
  <si>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</si>
  <si>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</si>
  <si>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</si>
  <si>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</si>
  <si>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</si>
  <si>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</si>
  <si>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</si>
  <si>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</si>
  <si>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</si>
  <si>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</si>
  <si>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</si>
  <si>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</si>
  <si>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</si>
  <si>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</si>
  <si>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</si>
  <si>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</si>
  <si>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</si>
  <si>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</si>
  <si>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</si>
  <si>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</si>
  <si>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</si>
  <si>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</si>
  <si>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</si>
  <si>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</si>
  <si>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</si>
  <si>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</si>
  <si>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</si>
  <si>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</si>
  <si>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</si>
  <si>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</si>
  <si>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</si>
  <si>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</si>
  <si>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</si>
  <si>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</si>
  <si>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</si>
  <si>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</si>
  <si>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</si>
  <si>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</si>
  <si>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</si>
  <si>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</si>
  <si>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</si>
  <si>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</si>
  <si>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</si>
  <si>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</si>
  <si>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</si>
  <si>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</si>
  <si>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</si>
  <si>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</si>
  <si>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</si>
  <si>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</si>
  <si>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</si>
  <si>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</si>
  <si>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</si>
  <si>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</si>
  <si>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</si>
  <si>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</si>
  <si>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</si>
  <si>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</si>
  <si>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</si>
  <si>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</si>
  <si>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</si>
  <si>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</si>
  <si>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</si>
  <si>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</si>
  <si>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</si>
  <si>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</si>
  <si>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</si>
  <si>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</si>
  <si>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</si>
  <si>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</si>
  <si>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</si>
  <si>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</si>
  <si>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</si>
  <si>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</si>
  <si>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</si>
  <si>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</si>
  <si>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</si>
  <si>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</si>
  <si>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</si>
  <si>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</si>
  <si>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</si>
  <si>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</si>
  <si>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</si>
  <si>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</si>
  <si>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</si>
  <si>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</si>
  <si>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</si>
  <si>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</si>
  <si>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</si>
  <si>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</si>
  <si>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</si>
  <si>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</si>
  <si>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</si>
  <si>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</si>
  <si>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</si>
  <si>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</si>
  <si>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</si>
  <si>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</si>
  <si>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</si>
  <si>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</si>
  <si>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</si>
  <si>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</si>
  <si>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</si>
  <si>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</si>
  <si>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</si>
  <si>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</si>
  <si>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</si>
  <si>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</si>
  <si>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</si>
  <si>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</si>
  <si>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</si>
  <si>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</si>
  <si>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</si>
  <si>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</si>
  <si>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</si>
  <si>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</si>
  <si>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</si>
  <si>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</si>
  <si>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</si>
  <si>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</si>
  <si>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</si>
  <si>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</si>
  <si>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</si>
  <si>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</si>
  <si>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</si>
  <si>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</si>
  <si>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</si>
  <si>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</si>
  <si>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</si>
  <si>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</si>
  <si>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</si>
  <si>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</si>
  <si>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</si>
  <si>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</si>
  <si>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</si>
  <si>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</si>
  <si>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</si>
  <si>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</si>
  <si>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</si>
  <si>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</si>
  <si>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</si>
  <si>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</si>
  <si>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</si>
  <si>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</si>
  <si>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</si>
  <si>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</si>
  <si>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</si>
  <si>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</si>
  <si>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</si>
  <si>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</si>
  <si>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</si>
  <si>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</si>
  <si>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</si>
  <si>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</si>
  <si>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</si>
  <si>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</si>
  <si>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</si>
  <si>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</si>
  <si>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</si>
  <si>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</si>
  <si>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</si>
  <si>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</si>
  <si>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</si>
  <si>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</si>
  <si>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</si>
  <si>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</si>
  <si>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</si>
  <si>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</si>
  <si>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</si>
  <si>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</si>
  <si>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</si>
  <si>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</si>
  <si>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</si>
  <si>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</si>
  <si>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</si>
  <si>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</si>
  <si>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</si>
  <si>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</si>
  <si>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</si>
  <si>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</si>
  <si>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</si>
  <si>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</si>
  <si>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</si>
  <si>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</si>
  <si>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</si>
  <si>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</si>
  <si>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</si>
  <si>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</si>
  <si>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</si>
  <si>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</si>
  <si>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</si>
  <si>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</si>
  <si>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</si>
  <si>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</si>
  <si>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</si>
  <si>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</si>
  <si>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</si>
  <si>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</si>
  <si>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</si>
  <si>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</si>
  <si>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</si>
  <si>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</si>
  <si>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</si>
  <si>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</si>
  <si>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</si>
  <si>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</si>
  <si>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</si>
  <si>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</si>
  <si>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</si>
  <si>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</si>
  <si>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</si>
  <si>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</si>
  <si>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</si>
  <si>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</si>
  <si>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</si>
  <si>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</si>
  <si>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</si>
  <si>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</si>
  <si>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</si>
  <si>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</si>
  <si>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</si>
  <si>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</si>
  <si>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</si>
  <si>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</si>
  <si>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</si>
  <si>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</si>
  <si>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</si>
  <si>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</si>
  <si>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</si>
  <si>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</si>
  <si>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</si>
  <si>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</si>
  <si>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</si>
  <si>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</si>
  <si>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</si>
  <si>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</si>
  <si>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</si>
  <si>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</si>
  <si>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</si>
  <si>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</si>
  <si>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</si>
  <si>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</si>
  <si>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</si>
  <si>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</si>
  <si>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</si>
  <si>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</si>
  <si>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</si>
  <si>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</si>
  <si>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</si>
  <si>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</si>
  <si>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</si>
  <si>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</si>
  <si>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</si>
  <si>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</si>
  <si>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</si>
  <si>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</si>
  <si>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</si>
  <si>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</si>
  <si>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</si>
  <si>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</si>
  <si>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</si>
  <si>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</si>
  <si>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</si>
  <si>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</si>
  <si>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</si>
  <si>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</si>
  <si>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</si>
  <si>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</si>
  <si>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</si>
  <si>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</si>
  <si>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</si>
  <si>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</si>
  <si>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</si>
  <si>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</si>
  <si>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</si>
  <si>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</si>
  <si>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</si>
  <si>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</si>
  <si>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</si>
  <si>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</si>
  <si>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</si>
  <si>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</si>
  <si>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</si>
  <si>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</si>
  <si>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</si>
  <si>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</si>
  <si>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</si>
  <si>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</si>
  <si>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</si>
  <si>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</si>
  <si>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</si>
  <si>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</si>
  <si>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</si>
  <si>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</si>
  <si>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</si>
  <si>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</si>
  <si>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</si>
  <si>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</si>
  <si>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</si>
  <si>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</si>
  <si>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</si>
  <si>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</si>
  <si>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</si>
  <si>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</si>
  <si>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</si>
  <si>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</si>
  <si>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</si>
  <si>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</si>
  <si>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</si>
  <si>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</si>
  <si>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</si>
  <si>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</si>
  <si>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</si>
  <si>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</si>
  <si>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</si>
  <si>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</si>
  <si>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</si>
  <si>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</si>
  <si>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</si>
  <si>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</si>
  <si>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</si>
  <si>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</si>
  <si>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</si>
  <si>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</si>
  <si>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</si>
  <si>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</si>
  <si>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</si>
  <si>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</si>
  <si>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</si>
  <si>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</si>
  <si>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</si>
  <si>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</si>
  <si>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</si>
  <si>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</si>
  <si>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</si>
  <si>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</si>
  <si>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</si>
  <si>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</si>
  <si>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</si>
  <si>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</si>
  <si>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</si>
  <si>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</si>
  <si>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</si>
  <si>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</si>
  <si>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</si>
  <si>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</si>
  <si>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</si>
  <si>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</si>
  <si>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</si>
  <si>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</si>
  <si>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</si>
  <si>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</si>
  <si>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</si>
  <si>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</si>
  <si>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</si>
  <si>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</si>
  <si>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</si>
  <si>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</si>
  <si>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</si>
  <si>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</si>
  <si>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</si>
  <si>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</si>
  <si>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</si>
  <si>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</si>
  <si>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</si>
  <si>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</si>
  <si>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</si>
  <si>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</si>
  <si>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</si>
  <si>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</si>
  <si>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</si>
  <si>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</si>
  <si>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</si>
  <si>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</si>
  <si>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</si>
  <si>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</si>
  <si>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</si>
  <si>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</si>
  <si>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</si>
  <si>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</si>
  <si>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</si>
  <si>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</si>
  <si>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</si>
  <si>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</si>
  <si>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</si>
  <si>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</si>
  <si>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</si>
  <si>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</si>
  <si>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</si>
  <si>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</si>
  <si>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</si>
  <si>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</si>
  <si>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</si>
  <si>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</si>
  <si>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</si>
  <si>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</si>
  <si>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</si>
  <si>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</si>
  <si>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</si>
  <si>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</si>
  <si>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</si>
  <si>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</si>
  <si>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</si>
  <si>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</si>
  <si>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</si>
  <si>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</si>
  <si>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</si>
  <si>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</si>
  <si>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</si>
  <si>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</si>
  <si>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</si>
  <si>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</si>
  <si>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</si>
  <si>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</si>
  <si>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</si>
  <si>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</si>
  <si>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</si>
  <si>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</si>
  <si>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</si>
  <si>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</si>
  <si>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</si>
  <si>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</si>
  <si>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</si>
  <si>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</si>
  <si>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</si>
  <si>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</si>
  <si>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</si>
  <si>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</si>
  <si>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</si>
  <si>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</si>
  <si>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</si>
  <si>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</si>
  <si>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</si>
  <si>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</si>
  <si>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</si>
  <si>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</si>
  <si>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</si>
  <si>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</si>
  <si>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</si>
  <si>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</si>
  <si>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</si>
  <si>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</si>
  <si>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</si>
  <si>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</si>
  <si>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</si>
  <si>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</si>
  <si>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</si>
  <si>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</si>
  <si>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</si>
  <si>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</si>
  <si>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</si>
  <si>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</si>
  <si>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</si>
  <si>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</si>
  <si>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</si>
  <si>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</si>
  <si>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</si>
  <si>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</si>
  <si>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</si>
  <si>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</si>
  <si>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</si>
  <si>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</si>
  <si>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</si>
  <si>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</si>
  <si>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</si>
  <si>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</si>
  <si>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</si>
  <si>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</si>
  <si>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</si>
  <si>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</si>
  <si>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</si>
  <si>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</si>
  <si>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</si>
  <si>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</si>
  <si>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</si>
  <si>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</si>
  <si>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Treatment option A</t>
  </si>
  <si>
    <t>Treatment option B</t>
  </si>
  <si>
    <t>Treatment option C</t>
  </si>
  <si>
    <t>Drug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</si>
  <si>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</si>
  <si>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</si>
  <si>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</si>
  <si>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</si>
  <si>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</si>
  <si>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</si>
  <si>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</si>
  <si>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</si>
  <si>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</si>
  <si>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</si>
  <si>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</si>
  <si>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</si>
  <si>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</si>
  <si>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</si>
  <si>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</si>
  <si>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</si>
  <si>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</si>
  <si>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</si>
  <si>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</si>
  <si>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</si>
  <si>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</si>
  <si>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per patient per visit</t>
  </si>
  <si>
    <t>Staff time per appointment (minutes)</t>
  </si>
  <si>
    <t>Consultant mid</t>
  </si>
  <si>
    <t>Number of follow up attendances</t>
  </si>
  <si>
    <t>Time per follow up attendance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</si>
  <si>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</si>
  <si>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</si>
  <si>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</si>
  <si>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</si>
  <si>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</si>
  <si>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Drug regimen prep (mins)</t>
  </si>
  <si>
    <t>Band 8a Mid</t>
  </si>
  <si>
    <t>Supporting specialty x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</si>
  <si>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</si>
  <si>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</si>
  <si>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</si>
  <si>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</si>
  <si>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</si>
  <si>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</si>
  <si>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Adverse events</t>
  </si>
  <si>
    <t>Adverse events, various (rate of cases)</t>
  </si>
  <si>
    <t>See Unit costs tab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</si>
  <si>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</si>
  <si>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</si>
  <si>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</si>
  <si>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</si>
  <si>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</si>
  <si>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</si>
  <si>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</si>
  <si>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</si>
  <si>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</si>
  <si>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</si>
  <si>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</si>
  <si>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</si>
  <si>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</si>
  <si>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</si>
  <si>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</si>
  <si>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</si>
  <si>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</si>
  <si>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</si>
  <si>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</si>
  <si>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</si>
  <si>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</si>
  <si>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</si>
  <si>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</si>
  <si>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</si>
  <si>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</si>
  <si>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</si>
  <si>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</si>
  <si>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</si>
  <si>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</si>
  <si>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</si>
  <si>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</si>
  <si>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</si>
  <si>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</si>
  <si>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</si>
  <si>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n/a</t>
  </si>
  <si>
    <t>All components</t>
  </si>
  <si>
    <t>Treatment option</t>
  </si>
  <si>
    <t>HRG code</t>
  </si>
  <si>
    <t>HRG description</t>
  </si>
  <si>
    <t>Tariff</t>
  </si>
  <si>
    <t>Appointments with specialist</t>
  </si>
  <si>
    <t>First attendance</t>
  </si>
  <si>
    <t>Follow up attendance</t>
  </si>
  <si>
    <t>Based on 2023-25 National Tariff Payment System –  24-25 prices</t>
  </si>
  <si>
    <t>Appointments with x specialist</t>
  </si>
  <si>
    <t>all options</t>
  </si>
  <si>
    <t>MRI imaging</t>
  </si>
  <si>
    <t>Adverse events, annual costs and rates</t>
  </si>
  <si>
    <t>Event</t>
  </si>
  <si>
    <t>Unit cost (£) 
national prices</t>
  </si>
  <si>
    <t>Unit cost (£) local prices</t>
  </si>
  <si>
    <t xml:space="preserve">Adverse events data from company XYZ model.  </t>
  </si>
  <si>
    <t>Amend data in blue cells locally where necessary.</t>
  </si>
  <si>
    <t xml:space="preserve">Unit costs, local prices are entered as indicative values.  Values are 80% of national prices representing the costs without overheads.  Amend locally. </t>
  </si>
  <si>
    <t>Current practice</t>
  </si>
  <si>
    <t>Future practice -year 3</t>
  </si>
  <si>
    <t>Future practice - year 4</t>
  </si>
  <si>
    <t>Future practice - year 5</t>
  </si>
  <si>
    <t>Eligible population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</si>
  <si>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</si>
  <si>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</si>
  <si>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</si>
  <si>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</si>
  <si>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</si>
  <si>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</si>
  <si>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</si>
  <si>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</si>
  <si>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</si>
  <si>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</si>
  <si>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</si>
  <si>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</si>
  <si>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</si>
  <si>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Follow up attendances - change in number of appointments</t>
  </si>
  <si>
    <t>Follow up attendances - change in hours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</si>
  <si>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</si>
  <si>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</si>
  <si>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</si>
  <si>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</si>
  <si>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</si>
  <si>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</si>
  <si>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</si>
  <si>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</si>
  <si>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</si>
  <si>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</si>
  <si>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</si>
  <si>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</si>
  <si>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on x service</t>
  </si>
  <si>
    <t>Appointments with x specialty - change</t>
  </si>
  <si>
    <t>Capacity impact on pathology/ radiology /diagnostics</t>
  </si>
  <si>
    <t>Imaging MRI scans - change in number to current practice</t>
  </si>
  <si>
    <t>Liver function tests - change in number to current practice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</si>
  <si>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</si>
  <si>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</si>
  <si>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</si>
  <si>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</si>
  <si>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</si>
  <si>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</si>
  <si>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</si>
  <si>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</si>
  <si>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Unit Cost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</si>
  <si>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</si>
  <si>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</si>
  <si>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</si>
  <si>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</si>
  <si>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</si>
  <si>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</si>
  <si>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</si>
  <si>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</si>
  <si>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</si>
  <si>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Number of administrations</t>
  </si>
  <si>
    <t>Administrations - change in volume of HRGs to current practice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</si>
  <si>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</si>
  <si>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</si>
  <si>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</si>
  <si>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</si>
  <si>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</si>
  <si>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</si>
  <si>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</si>
  <si>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</si>
  <si>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</si>
  <si>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</si>
  <si>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</si>
  <si>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Drug regimen prep (hours)</t>
  </si>
  <si>
    <t>X specialty</t>
  </si>
  <si>
    <t>Appointments with supporting specialty x</t>
  </si>
  <si>
    <t>Appointments with x specialty - change to current practice</t>
  </si>
  <si>
    <t>Pathology/ radiology/ diagnostics</t>
  </si>
  <si>
    <t>Imaging MRI scans</t>
  </si>
  <si>
    <t>Liver function tests per person</t>
  </si>
  <si>
    <t>Number of liver function tests</t>
  </si>
  <si>
    <t>Genomic tests</t>
  </si>
  <si>
    <t>Genomics staffing impact (hours)</t>
  </si>
  <si>
    <t>Genomics staffing impact per test
 (mins)</t>
  </si>
  <si>
    <t>Adverse events, various (cases)</t>
  </si>
  <si>
    <t>Unit cost</t>
  </si>
  <si>
    <t>Adverse events - change to current practice</t>
  </si>
  <si>
    <t>Capacity impact (national prices)</t>
  </si>
  <si>
    <t>Follow up attendances - number of appointments</t>
  </si>
  <si>
    <t>Genomics staffing impact - change in number to current practice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</si>
  <si>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</si>
  <si>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</si>
  <si>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</si>
  <si>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</si>
  <si>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</si>
  <si>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</si>
  <si>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</si>
  <si>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</si>
  <si>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</si>
  <si>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Bottom, mid, top; 
band and point on scale</t>
  </si>
  <si>
    <t>Hours to calculate hourly rate</t>
  </si>
  <si>
    <t>Enhancements Mon-Fri</t>
  </si>
  <si>
    <t>Enhancements Sun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</si>
  <si>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</si>
  <si>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</si>
  <si>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</si>
  <si>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</si>
  <si>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</si>
  <si>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</si>
  <si>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</si>
  <si>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</si>
  <si>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</si>
  <si>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</si>
  <si>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</si>
  <si>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</si>
  <si>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</si>
  <si>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</si>
  <si>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</si>
  <si>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</si>
  <si>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</si>
  <si>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</si>
  <si>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</si>
  <si>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</si>
  <si>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</si>
  <si>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</si>
  <si>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</si>
  <si>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</si>
  <si>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</si>
  <si>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</si>
  <si>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</si>
  <si>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</si>
  <si>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</si>
  <si>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</si>
  <si>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</si>
  <si>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</si>
  <si>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</si>
  <si>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</si>
  <si>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</si>
  <si>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</si>
  <si>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</si>
  <si>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</si>
  <si>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</si>
  <si>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</si>
  <si>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</si>
  <si>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</si>
  <si>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</si>
  <si>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</si>
  <si>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</si>
  <si>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</si>
  <si>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</si>
  <si>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</si>
  <si>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</si>
  <si>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</si>
  <si>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</si>
  <si>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</si>
  <si>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</si>
  <si>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</si>
  <si>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</si>
  <si>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</si>
  <si>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</si>
  <si>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</si>
  <si>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</si>
  <si>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</si>
  <si>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</si>
  <si>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</si>
  <si>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</si>
  <si>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</si>
  <si>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</si>
  <si>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</si>
  <si>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</si>
  <si>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</si>
  <si>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</si>
  <si>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</si>
  <si>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</si>
  <si>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</si>
  <si>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</si>
  <si>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</si>
  <si>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</si>
  <si>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</si>
  <si>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</si>
  <si>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</si>
  <si>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</si>
  <si>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</si>
  <si>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</si>
  <si>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</si>
  <si>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>XR0609</t>
  </si>
  <si>
    <t>XR0701</t>
  </si>
  <si>
    <t>XR0702</t>
  </si>
  <si>
    <t>XR0703</t>
  </si>
  <si>
    <t>Hours above based on calculations below</t>
  </si>
  <si>
    <t>XR0704</t>
  </si>
  <si>
    <t>XR0705</t>
  </si>
  <si>
    <t>Non medical staffing</t>
  </si>
  <si>
    <t>XR0706</t>
  </si>
  <si>
    <t>Day per year</t>
  </si>
  <si>
    <t>XR0707</t>
  </si>
  <si>
    <t>Annual leave/bank holidays</t>
  </si>
  <si>
    <t>XR0708</t>
  </si>
  <si>
    <t>Mandatory training</t>
  </si>
  <si>
    <t>XR0709</t>
  </si>
  <si>
    <t>Sickness at 4%</t>
  </si>
  <si>
    <t>8A</t>
  </si>
  <si>
    <t>XR0801</t>
  </si>
  <si>
    <t>XR0802</t>
  </si>
  <si>
    <t>Annual hours per year</t>
  </si>
  <si>
    <t>XR0803</t>
  </si>
  <si>
    <t>XR0804</t>
  </si>
  <si>
    <t>XR0805</t>
  </si>
  <si>
    <t>XR0806</t>
  </si>
  <si>
    <t>Weeks worked (net of annual leave/training leave)</t>
  </si>
  <si>
    <t>8B</t>
  </si>
  <si>
    <t>XR0901</t>
  </si>
  <si>
    <t>XR0902</t>
  </si>
  <si>
    <t>Sessions worked per week (4 hour sessions)</t>
  </si>
  <si>
    <t>XR0903</t>
  </si>
  <si>
    <t>Less SPA allowance (4 hour sessions)</t>
  </si>
  <si>
    <t>XR0904</t>
  </si>
  <si>
    <t>XR0905</t>
  </si>
  <si>
    <t>Hours of clinical work per year</t>
  </si>
  <si>
    <t>XR0906</t>
  </si>
  <si>
    <t>8C</t>
  </si>
  <si>
    <t>XR1001</t>
  </si>
  <si>
    <t>XR1002</t>
  </si>
  <si>
    <t>XR1003</t>
  </si>
  <si>
    <t>Number of working weeks per year</t>
  </si>
  <si>
    <t>XR1004</t>
  </si>
  <si>
    <t>Average working hours per week</t>
  </si>
  <si>
    <t>XR1005</t>
  </si>
  <si>
    <t>Total hours per year</t>
  </si>
  <si>
    <t>XR1006</t>
  </si>
  <si>
    <t>% of direct patient care</t>
  </si>
  <si>
    <t>8D</t>
  </si>
  <si>
    <t>XR1101</t>
  </si>
  <si>
    <t>Number of hours of direct patient care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</si>
  <si>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</si>
  <si>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</si>
  <si>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</si>
  <si>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</si>
  <si>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</si>
  <si>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</si>
  <si>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</si>
  <si>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</si>
  <si>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</si>
  <si>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</si>
  <si>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</si>
  <si>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National Insurance</t>
  </si>
  <si>
    <t>Up to secondary threshold</t>
  </si>
  <si>
    <t>Above secondary threshold</t>
  </si>
  <si>
    <t>&gt; 9,100</t>
  </si>
  <si>
    <t>Salary</t>
  </si>
  <si>
    <t>Point</t>
  </si>
  <si>
    <t>Minimum</t>
  </si>
  <si>
    <t>Maximum</t>
  </si>
  <si>
    <t>Salaries from Pay and Conditions Circular (M&amp;D) 4/2023R dated 11 March 2024, NHS Employers [accessed online 13 June 2024]</t>
  </si>
  <si>
    <t>Midpoint</t>
  </si>
  <si>
    <t>GOV.UK, www.gov.uk/national-insurance-rates-letters [accessed online 13 June 2024]</t>
  </si>
  <si>
    <t>GP Bottom</t>
  </si>
  <si>
    <t>GP Mid</t>
  </si>
  <si>
    <t>GP Top</t>
  </si>
  <si>
    <t>Employers NI 
(13.8%)</t>
  </si>
  <si>
    <t>Payscales</t>
  </si>
  <si>
    <t>Published: August 2024</t>
  </si>
  <si>
    <t xml:space="preserve">Prevalence of diabetes </t>
  </si>
  <si>
    <t>Quality and Outcomes Framework 2021-22 (Currently 7.26% applied last 5 year average increase to get 7.86% future practice estimate at year 5) 
QOF % is used instead of absolute figure to avoid registration duplication</t>
  </si>
  <si>
    <t>QOF data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</si>
  <si>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</si>
  <si>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</si>
  <si>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</si>
  <si>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</si>
  <si>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</si>
  <si>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</si>
  <si>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</si>
  <si>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</si>
  <si>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</si>
  <si>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</si>
  <si>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</si>
  <si>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</si>
  <si>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</si>
  <si>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Average</t>
  </si>
  <si>
    <t xml:space="preserve">Recommendation 1.1.9 - Ophthalmologists should consider fenofibrates for people with non-proliferative retinopathy and type 2 diabetes to reduce the progression of diabetic retinopathy. </t>
  </si>
  <si>
    <t>Fenofibrates</t>
  </si>
  <si>
    <t>160 or 200 mg daily</t>
  </si>
  <si>
    <t>Fenofibrate | Drugs | BNF | NICE</t>
  </si>
  <si>
    <t>BNF | NICE</t>
  </si>
  <si>
    <t>160 or 200 mg pack 28 tablets/capsules</t>
  </si>
  <si>
    <t>Oral</t>
  </si>
  <si>
    <t>tablets</t>
  </si>
  <si>
    <t>Please update market share estimates to refelct local practice assumptions</t>
  </si>
  <si>
    <t>GP appointments</t>
  </si>
  <si>
    <t>Number of GP appointments</t>
  </si>
  <si>
    <t>Time per GP appointments</t>
  </si>
  <si>
    <t>Proportion of type 2 diabetes patients with non-proliferative diabetic retinopathy</t>
  </si>
  <si>
    <t>Proportion with type 2 diabetes</t>
  </si>
  <si>
    <t>Facts &amp; Figures | Diabetes UK</t>
  </si>
  <si>
    <t>Prevalence and incidence of diabetic retinopathy (DR) in the UK population of Gloucestershire - PubMed (nih.gov)</t>
  </si>
  <si>
    <t>Drug cost workings (Rec 1.1.9)</t>
  </si>
  <si>
    <t>Fenofibrates 
Rec 1.1.9</t>
  </si>
  <si>
    <t>Eligible population and uptake (Rec 1.1.9)</t>
  </si>
  <si>
    <t>GP appointments - number of appointments</t>
  </si>
  <si>
    <t>GP appointments - change in number of GP appointments current practice</t>
  </si>
  <si>
    <t>Appointments</t>
  </si>
  <si>
    <t>GP appointments - hours and cost</t>
  </si>
  <si>
    <t>Eligible population (Rec 1.1.9)</t>
  </si>
  <si>
    <t>Proportion with centre involving diabetic macular oedema</t>
  </si>
  <si>
    <t>Proportion with centre involving diabetic macular oedema and good vision</t>
  </si>
  <si>
    <t>United Kingdom National Ophthalmology Database Study: Diabetic Retinopathy; Report 1: prevalence of centre-involving diabetic macular oedema and other grades of maculopathy and retinopathy in hospital eye services</t>
  </si>
  <si>
    <t>Real-world Outcomes among Eyes with Center-Involving Diabetic Macular Edema and Good Visual Acuity - PMC (nih.gov)</t>
  </si>
  <si>
    <t>Eligible population (Rec 1.6.4)</t>
  </si>
  <si>
    <t>Observation</t>
  </si>
  <si>
    <t>Macular laser</t>
  </si>
  <si>
    <t>Currency code</t>
  </si>
  <si>
    <t>Currency Description</t>
  </si>
  <si>
    <t>Activity</t>
  </si>
  <si>
    <t xml:space="preserve">Unit Cost </t>
  </si>
  <si>
    <t xml:space="preserve">Total Cost </t>
  </si>
  <si>
    <t>BZ87A</t>
  </si>
  <si>
    <t>Minor Vitreous Retinal Procedures, 19 years and over</t>
  </si>
  <si>
    <t>Observation
Rec 1.6.4</t>
  </si>
  <si>
    <t>Macular laser
Rec 1.6.4</t>
  </si>
  <si>
    <t>Eligible population (Recommendation 1.1.9)</t>
  </si>
  <si>
    <t>Eligible population (Recommendation 1.6.4)</t>
  </si>
  <si>
    <t>Eligible population (Recommendation 1.6.5)</t>
  </si>
  <si>
    <t>Drugs - people having treatment options (Recommendation 1.1.9)</t>
  </si>
  <si>
    <t>Drug resource impact (cash) (Recommendation 1.1.9)</t>
  </si>
  <si>
    <t xml:space="preserve">Drugs - resource impact </t>
  </si>
  <si>
    <t>Macular laser/Observation - people having treatment options (Recommendation 1.6.4)</t>
  </si>
  <si>
    <t>Drug resource impact (cash) (Recommendation 1.6.4)</t>
  </si>
  <si>
    <t xml:space="preserve">Macular laser/Observation - resource impact </t>
  </si>
  <si>
    <t>2023/25 NHS payment scheme. Outpatient attendance TFC 130, HRG code WF01A Follow up attendance single professional</t>
  </si>
  <si>
    <t>WF01A</t>
  </si>
  <si>
    <t>Brolucizumab (Intravitreal injection)</t>
  </si>
  <si>
    <t>Year</t>
  </si>
  <si>
    <t>Dose 
mg</t>
  </si>
  <si>
    <t>Proportion of people requiring treatment in both eyes (from input tab)</t>
  </si>
  <si>
    <t>Average number of vials needed</t>
  </si>
  <si>
    <t>Cost per 6 mg vial (price from input tab)</t>
  </si>
  <si>
    <t>Total cost of treatment exc. VAT</t>
  </si>
  <si>
    <t>Total cost of treatment inc. VAT</t>
  </si>
  <si>
    <t>Current practice, year 0</t>
  </si>
  <si>
    <t>Brolucizumab administration costs</t>
  </si>
  <si>
    <t>Average number of appointments needed (local input)</t>
  </si>
  <si>
    <t>Tariff (local input)</t>
  </si>
  <si>
    <t>Total cost of administration</t>
  </si>
  <si>
    <t>6mg administered by IVT injection</t>
  </si>
  <si>
    <t>- It is assumed that the administration cost is the same regardless of whether treatment is in one or two eyes.</t>
  </si>
  <si>
    <t>- Brolucizumab has a discount that is commercial in confidence prices, need to be locally input into the inputs and eligible population tab</t>
  </si>
  <si>
    <t>Faricimab (Intravitreal injection)</t>
  </si>
  <si>
    <t>Faricimab administration costs</t>
  </si>
  <si>
    <t>6mg administered by IVT injection every 4 weeks for the first 4 doses then every 16 weeks as maintenance treatment.</t>
  </si>
  <si>
    <t>- Faricimab has a discount that is commercial in confidence, prices need to be locally input into the inputs and eligible population tab</t>
  </si>
  <si>
    <t>Aflibercept (Intravitreal injection)</t>
  </si>
  <si>
    <t>Cost per 2 mg vial (price from input tab)</t>
  </si>
  <si>
    <t>Aflibercept administration costs</t>
  </si>
  <si>
    <t>Total cost of administration/ monitoring</t>
  </si>
  <si>
    <t>2 mg intravitreal injection every month for 5 consecutive months, followed by 1 injection every 2 months</t>
  </si>
  <si>
    <t>- Aflibercept has a discount that is commercial in confidence, prices need to be locally input into the inputs and eligible population tab</t>
  </si>
  <si>
    <t>Ranibizumab (Intravitreal injection)</t>
  </si>
  <si>
    <t>Cost per 0.5 mg vial (price from input tab)</t>
  </si>
  <si>
    <t>Year 5+</t>
  </si>
  <si>
    <t>Ranibizumab administration costs</t>
  </si>
  <si>
    <t xml:space="preserve">0.5 mg intravitreal injection every month (with a minimum of three injections required) until maximum visual acuity is achieved and/or there are no signs of disease activity. </t>
  </si>
  <si>
    <t>The treatment interval may be extended by up to one month at a time.</t>
  </si>
  <si>
    <t>- Ranibizumab has a discount that is commercial in confidence, prices need to be locally input into the inputs and eligible population tab</t>
  </si>
  <si>
    <t>Proportion with centre involving diabetic macular oedema and visual impairment</t>
  </si>
  <si>
    <t>Proportion with central retinal thickness of 400 micrometres or less</t>
  </si>
  <si>
    <t xml:space="preserve">Visual impairment due to DMO is estimated to be around 39% of this per Minassian et al. Prevalence of diabetic macular oedema and related health and social care resource use in England. Br J Ophthalmol 2012;96:345-49. </t>
  </si>
  <si>
    <t xml:space="preserve">The relationship between OCT-measured central retinal thickness and visual acuity in diabetic macular oedema. Ophthalmology 114(3): 525–536. </t>
  </si>
  <si>
    <t>Dosage (mg)</t>
  </si>
  <si>
    <t>Brolucizumab, intravitreal injection</t>
  </si>
  <si>
    <t>Faricimab, intravitreal injection</t>
  </si>
  <si>
    <t>Aflibercept, intravitreal injection</t>
  </si>
  <si>
    <t>Ranibizumab, intravitreal injection</t>
  </si>
  <si>
    <t>2023/25 NHS payment scheme. Outpatient procedure, HRG code BZ87A Minor Vitreous Retinal Procedures, 19 years and over</t>
  </si>
  <si>
    <t>Brolucizumab</t>
  </si>
  <si>
    <t>Faricimab</t>
  </si>
  <si>
    <t>Aflibercept</t>
  </si>
  <si>
    <t>Ranibizumab</t>
  </si>
  <si>
    <t>Time for injection by nurse</t>
  </si>
  <si>
    <t>BZ87A Minor Vitreous Retinal Procedures, 19 years and over</t>
  </si>
  <si>
    <t>Year 0</t>
  </si>
  <si>
    <t xml:space="preserve">Anti-VEGF/Macular laser/Observation - resource impact </t>
  </si>
  <si>
    <t>GP appointments - change in number of appointments</t>
  </si>
  <si>
    <t>GP appointments - change in hours</t>
  </si>
  <si>
    <t>Diabetic retinopathy: management and monitoring</t>
  </si>
  <si>
    <t>Eligible population and uptake (Rec 1.6.4)</t>
  </si>
  <si>
    <t xml:space="preserve">Recommendation 1.6.4 For people with centre-involving diabetic macular oedema and good vision (79 letters or better) consider either macular laser treatment or observation. Discuss these 2 options with the person with macular oedema.  </t>
  </si>
  <si>
    <t>NG242</t>
  </si>
  <si>
    <r>
      <t xml:space="preserve">Quality and Outcomes Framework 2021-22 (7.26% in 2021/22 applied last 5 year average increase to get 8.09% future practice estimate at year 5 2028/29) 
</t>
    </r>
    <r>
      <rPr>
        <b/>
        <u/>
        <sz val="11"/>
        <rFont val="Calibri"/>
        <family val="2"/>
      </rPr>
      <t>QOF % is used instead of absolute figure to avoid registration duplication</t>
    </r>
  </si>
  <si>
    <t>Eligible population (Rec 1.6.6)</t>
  </si>
  <si>
    <t>Recommendation 1.6.6  For people with centre-involving diabetic macular oedema, visual impairment and central retinal thickness or less than 400 micrometres, consider anti-VEGF treatment or macular laser treatment. Discuss with the person the advantages and disadvantages of all available treatments.</t>
  </si>
  <si>
    <t>Macular laser (Rec 1.6.4/6)</t>
  </si>
  <si>
    <t>2023-25 NHS Payment Scheme, 2024/25 prices workbook</t>
  </si>
  <si>
    <t>Anti-VEGF (Rec 1.6.6)</t>
  </si>
  <si>
    <t>Eligible population and uptake (Rec 1.6.6)</t>
  </si>
  <si>
    <t>Eligible population (Recommendation 1.6.6)</t>
  </si>
  <si>
    <t>Anti-VEGF/Macular laser/Observation - people having treatment options (Recommendation 1.6.6)</t>
  </si>
  <si>
    <t>Drug resource impact (cash) (Recommendation 1.6.6)</t>
  </si>
  <si>
    <t>Brolucizumab (rec 1.6.6)</t>
  </si>
  <si>
    <t>Faricimab (rec 1.6.6)</t>
  </si>
  <si>
    <t>Aflibercept (rec 1.6.6)</t>
  </si>
  <si>
    <t>Ranibizumab (rec 1.6.6)</t>
  </si>
  <si>
    <t>Users can amend the GP and follow up appointments to reflect local practice.</t>
  </si>
  <si>
    <t>Drug prices based on the BNF, online; accessed 16.7.2024</t>
  </si>
  <si>
    <t>Financial resource impact (All recs)</t>
  </si>
  <si>
    <t>People receiving fenofibrates</t>
  </si>
  <si>
    <t>People receiving observation</t>
  </si>
  <si>
    <t>People receiving macular laser</t>
  </si>
  <si>
    <t>People receiving brolucizumab</t>
  </si>
  <si>
    <t>People receiving faricimab</t>
  </si>
  <si>
    <t>People receiving aflibercept</t>
  </si>
  <si>
    <t>People receiving ranibizumab</t>
  </si>
  <si>
    <t>Company</t>
  </si>
  <si>
    <t>Observation
Rec 1.6.6</t>
  </si>
  <si>
    <t>Macular laser
Rec 1.6.6</t>
  </si>
  <si>
    <t>Brolucizumab
Rec 1.6.6</t>
  </si>
  <si>
    <t>Faricimab
Rec 1.6.6</t>
  </si>
  <si>
    <t>Aflibercept
Rec 1.6.6</t>
  </si>
  <si>
    <t>Ranibizumab
Rec 1.6.6</t>
  </si>
  <si>
    <t>Increase in cost to current practice (Rec 1.1.9)</t>
  </si>
  <si>
    <t>Drug resource impact (cash) year on year (Rec 1.1.9)</t>
  </si>
  <si>
    <t>Increase in cost to current practice (Rec 1.6.4)</t>
  </si>
  <si>
    <t>Drug resource impact (cash) year on year (Rec 1.6.4)</t>
  </si>
  <si>
    <t>Increase in cost to current practice (Rec 1.6.6)</t>
  </si>
  <si>
    <t>Drug resource impact (cash) year on year (Rec 1.6.6)</t>
  </si>
  <si>
    <t xml:space="preserve">Average number of administrations needed in year </t>
  </si>
  <si>
    <t>Average number of administrations needed in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</si>
</sst>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%"/>
    <numFmt numFmtId="176" formatCode="#,##0.0"/>
  </numFmts>
  <fonts count="8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u/>
      <sz val="11"/>
      <name val="Calibri"/>
      <family val="2"/>
    </font>
    <font>
      <u/>
      <sz val="10"/>
      <color theme="10"/>
      <name val="Calibri"/>
      <family val="2"/>
    </font>
    <font>
      <u/>
      <sz val="10"/>
      <color theme="1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  <xf numFmtId="44" fontId="27" fillId="0" borderId="0" applyFont="0" applyFill="0" applyBorder="0" applyAlignment="0" applyProtection="0"/>
  </cellStyleXfs>
  <cellXfs count="89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4" borderId="20" xfId="0" applyNumberFormat="1" applyFill="1" applyBorder="1"/>
    <xf numFmtId="0" fontId="0" fillId="44" borderId="20" xfId="0" applyFill="1" applyBorder="1" applyAlignment="1">
      <alignment horizontal="center"/>
    </xf>
    <xf numFmtId="164" fontId="0" fillId="44" borderId="20" xfId="0" applyNumberFormat="1" applyFill="1" applyBorder="1"/>
    <xf numFmtId="0" fontId="0" fillId="44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44" borderId="12" xfId="0" applyFont="1" applyFill="1" applyBorder="1" applyAlignment="1">
      <alignment horizontal="left" vertical="center"/>
    </xf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4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4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0" fontId="48" fillId="0" borderId="11" xfId="92" applyNumberFormat="1" applyFont="1" applyFill="1" applyBorder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0" fillId="44" borderId="17" xfId="0" applyFill="1" applyBorder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8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9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6" fillId="24" borderId="17" xfId="82" applyFont="1" applyFill="1" applyBorder="1"/>
    <xf numFmtId="0" fontId="6" fillId="25" borderId="0" xfId="82" applyFont="1" applyFill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7" fillId="39" borderId="11" xfId="0" applyFont="1" applyFill="1" applyBorder="1" applyAlignment="1">
      <alignment horizontal="center" vertical="center"/>
    </xf>
    <xf numFmtId="0" fontId="0" fillId="0" borderId="37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7" fillId="24" borderId="0" xfId="0" applyFont="1" applyFill="1" applyAlignment="1">
      <alignment horizontal="center" vertical="center"/>
    </xf>
    <xf numFmtId="0" fontId="67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7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7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59" fillId="0" borderId="0" xfId="82" applyFont="1" applyAlignment="1">
      <alignment horizontal="center"/>
    </xf>
    <xf numFmtId="0" fontId="59" fillId="0" borderId="0" xfId="110" applyFont="1" applyAlignment="1">
      <alignment horizontal="left" vertical="center" wrapText="1"/>
    </xf>
    <xf numFmtId="170" fontId="46" fillId="0" borderId="11" xfId="82" applyNumberFormat="1" applyFont="1" applyBorder="1"/>
    <xf numFmtId="170" fontId="46" fillId="0" borderId="0" xfId="82" applyNumberFormat="1" applyFont="1"/>
    <xf numFmtId="9" fontId="71" fillId="0" borderId="11" xfId="0" applyNumberFormat="1" applyFont="1" applyBorder="1"/>
    <xf numFmtId="10" fontId="71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70" fontId="46" fillId="0" borderId="39" xfId="82" applyNumberFormat="1" applyFont="1" applyBorder="1"/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70" fillId="24" borderId="11" xfId="0" applyFont="1" applyFill="1" applyBorder="1" applyAlignment="1">
      <alignment horizontal="center" wrapText="1"/>
    </xf>
    <xf numFmtId="170" fontId="46" fillId="24" borderId="17" xfId="82" applyNumberFormat="1" applyFont="1" applyFill="1" applyBorder="1"/>
    <xf numFmtId="170" fontId="46" fillId="24" borderId="11" xfId="82" applyNumberFormat="1" applyFont="1" applyFill="1" applyBorder="1"/>
    <xf numFmtId="0" fontId="72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8" borderId="11" xfId="0" applyFont="1" applyFill="1" applyBorder="1" applyAlignment="1">
      <alignment horizontal="left"/>
    </xf>
    <xf numFmtId="10" fontId="29" fillId="48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8" borderId="11" xfId="0" applyNumberFormat="1" applyFont="1" applyFill="1" applyBorder="1"/>
    <xf numFmtId="171" fontId="29" fillId="48" borderId="11" xfId="0" applyNumberFormat="1" applyFont="1" applyFill="1" applyBorder="1" applyAlignment="1">
      <alignment horizontal="center"/>
    </xf>
    <xf numFmtId="0" fontId="29" fillId="48" borderId="0" xfId="0" applyFont="1" applyFill="1" applyAlignment="1">
      <alignment horizontal="left"/>
    </xf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4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42" xfId="0" applyNumberFormat="1" applyBorder="1" applyAlignment="1">
      <alignment horizontal="right"/>
    </xf>
    <xf numFmtId="170" fontId="46" fillId="0" borderId="15" xfId="82" applyNumberFormat="1" applyFont="1" applyBorder="1"/>
    <xf numFmtId="170" fontId="46" fillId="24" borderId="21" xfId="82" applyNumberFormat="1" applyFont="1" applyFill="1" applyBorder="1"/>
    <xf numFmtId="170" fontId="46" fillId="0" borderId="43" xfId="82" applyNumberFormat="1" applyFont="1" applyBorder="1"/>
    <xf numFmtId="10" fontId="0" fillId="0" borderId="36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4" xfId="0" applyFill="1" applyBorder="1" applyAlignment="1">
      <alignment horizontal="center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8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8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9" fontId="0" fillId="39" borderId="44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40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5" xfId="0" applyFill="1" applyBorder="1" applyProtection="1">
      <protection locked="0"/>
    </xf>
    <xf numFmtId="0" fontId="0" fillId="39" borderId="36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46" fillId="0" borderId="11" xfId="82" applyFont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5" xfId="82" applyFont="1" applyBorder="1"/>
    <xf numFmtId="0" fontId="46" fillId="0" borderId="46" xfId="82" applyFont="1" applyBorder="1"/>
    <xf numFmtId="0" fontId="46" fillId="0" borderId="47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9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9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5" fontId="48" fillId="0" borderId="0" xfId="82" applyNumberFormat="1" applyFont="1"/>
    <xf numFmtId="0" fontId="46" fillId="0" borderId="22" xfId="82" applyFont="1" applyBorder="1"/>
    <xf numFmtId="0" fontId="48" fillId="24" borderId="24" xfId="82" applyFont="1" applyFill="1" applyBorder="1" applyAlignment="1">
      <alignment horizontal="center"/>
    </xf>
    <xf numFmtId="166" fontId="46" fillId="39" borderId="24" xfId="56" applyNumberFormat="1" applyFont="1" applyFill="1" applyBorder="1" applyProtection="1">
      <protection locked="0"/>
    </xf>
    <xf numFmtId="165" fontId="46" fillId="39" borderId="39" xfId="82" applyNumberFormat="1" applyFont="1" applyFill="1" applyBorder="1" applyProtection="1">
      <protection locked="0"/>
    </xf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48" fillId="0" borderId="0" xfId="82" applyFont="1" applyAlignment="1">
      <alignment horizontal="center" wrapText="1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3" fontId="0" fillId="0" borderId="29" xfId="0" applyNumberFormat="1" applyBorder="1" applyAlignment="1">
      <alignment horizontal="right"/>
    </xf>
    <xf numFmtId="0" fontId="71" fillId="0" borderId="11" xfId="0" applyFont="1" applyBorder="1"/>
    <xf numFmtId="3" fontId="71" fillId="0" borderId="11" xfId="0" applyNumberFormat="1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3" fontId="0" fillId="0" borderId="17" xfId="0" applyNumberFormat="1" applyBorder="1" applyAlignment="1">
      <alignment horizontal="right"/>
    </xf>
    <xf numFmtId="0" fontId="70" fillId="24" borderId="12" xfId="0" applyFont="1" applyFill="1" applyBorder="1"/>
    <xf numFmtId="0" fontId="70" fillId="24" borderId="20" xfId="0" applyFont="1" applyFill="1" applyBorder="1"/>
    <xf numFmtId="0" fontId="44" fillId="24" borderId="38" xfId="0" applyFont="1" applyFill="1" applyBorder="1" applyAlignment="1">
      <alignment horizontal="center"/>
    </xf>
    <xf numFmtId="0" fontId="44" fillId="24" borderId="19" xfId="82" applyFont="1" applyFill="1" applyBorder="1" applyAlignment="1">
      <alignment horizontal="center"/>
    </xf>
    <xf numFmtId="0" fontId="44" fillId="24" borderId="19" xfId="110" applyFont="1" applyFill="1" applyBorder="1" applyAlignment="1">
      <alignment horizontal="center" wrapText="1"/>
    </xf>
    <xf numFmtId="3" fontId="44" fillId="24" borderId="19" xfId="110" applyNumberFormat="1" applyFont="1" applyFill="1" applyBorder="1" applyAlignment="1">
      <alignment horizontal="center" wrapText="1"/>
    </xf>
    <xf numFmtId="0" fontId="44" fillId="24" borderId="25" xfId="110" applyFont="1" applyFill="1" applyBorder="1" applyAlignment="1">
      <alignment horizontal="center" wrapText="1"/>
    </xf>
    <xf numFmtId="170" fontId="46" fillId="0" borderId="41" xfId="82" applyNumberFormat="1" applyFont="1" applyBorder="1"/>
    <xf numFmtId="1" fontId="0" fillId="0" borderId="11" xfId="0" applyNumberFormat="1" applyBorder="1"/>
    <xf numFmtId="0" fontId="44" fillId="24" borderId="50" xfId="82" applyFont="1" applyFill="1" applyBorder="1" applyAlignment="1">
      <alignment horizontal="center"/>
    </xf>
    <xf numFmtId="0" fontId="44" fillId="24" borderId="50" xfId="110" applyFont="1" applyFill="1" applyBorder="1" applyAlignment="1">
      <alignment horizontal="center" wrapText="1"/>
    </xf>
    <xf numFmtId="3" fontId="44" fillId="24" borderId="50" xfId="110" applyNumberFormat="1" applyFont="1" applyFill="1" applyBorder="1" applyAlignment="1">
      <alignment horizontal="center" wrapText="1"/>
    </xf>
    <xf numFmtId="0" fontId="44" fillId="24" borderId="51" xfId="110" applyFont="1" applyFill="1" applyBorder="1" applyAlignment="1">
      <alignment horizontal="center" wrapText="1"/>
    </xf>
    <xf numFmtId="0" fontId="70" fillId="24" borderId="38" xfId="0" applyFont="1" applyFill="1" applyBorder="1" applyAlignment="1">
      <alignment horizontal="center" wrapText="1"/>
    </xf>
    <xf numFmtId="0" fontId="70" fillId="48" borderId="50" xfId="0" applyFont="1" applyFill="1" applyBorder="1" applyAlignment="1">
      <alignment horizontal="center" wrapText="1"/>
    </xf>
    <xf numFmtId="0" fontId="70" fillId="24" borderId="50" xfId="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48" borderId="50" xfId="0" applyFont="1" applyFill="1" applyBorder="1" applyAlignment="1">
      <alignment horizontal="center" wrapText="1"/>
    </xf>
    <xf numFmtId="0" fontId="44" fillId="24" borderId="51" xfId="0" applyFont="1" applyFill="1" applyBorder="1" applyAlignment="1">
      <alignment horizontal="center" wrapText="1"/>
    </xf>
    <xf numFmtId="170" fontId="46" fillId="0" borderId="24" xfId="82" applyNumberFormat="1" applyFont="1" applyBorder="1"/>
    <xf numFmtId="9" fontId="0" fillId="0" borderId="39" xfId="0" applyNumberFormat="1" applyBorder="1"/>
    <xf numFmtId="9" fontId="27" fillId="0" borderId="39" xfId="92" applyFont="1" applyFill="1" applyBorder="1" applyAlignment="1" applyProtection="1">
      <alignment horizontal="right" vertical="center"/>
      <protection locked="0"/>
    </xf>
    <xf numFmtId="170" fontId="46" fillId="0" borderId="28" xfId="82" applyNumberFormat="1" applyFont="1" applyBorder="1"/>
    <xf numFmtId="165" fontId="0" fillId="0" borderId="29" xfId="0" applyNumberFormat="1" applyBorder="1" applyAlignment="1" applyProtection="1">
      <alignment horizontal="right" vertical="center"/>
      <protection locked="0"/>
    </xf>
    <xf numFmtId="1" fontId="0" fillId="0" borderId="29" xfId="0" applyNumberFormat="1" applyBorder="1"/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10" fontId="0" fillId="0" borderId="0" xfId="0" applyNumberFormat="1"/>
    <xf numFmtId="0" fontId="42" fillId="0" borderId="0" xfId="82" applyFont="1"/>
    <xf numFmtId="0" fontId="2" fillId="25" borderId="0" xfId="82" applyFill="1" applyAlignment="1">
      <alignment horizontal="left"/>
    </xf>
    <xf numFmtId="0" fontId="29" fillId="25" borderId="0" xfId="0" applyFont="1" applyFill="1" applyAlignment="1">
      <alignment horizontal="left"/>
    </xf>
    <xf numFmtId="0" fontId="29" fillId="25" borderId="0" xfId="0" applyFont="1" applyFill="1"/>
    <xf numFmtId="0" fontId="29" fillId="0" borderId="0" xfId="0" applyFont="1" applyAlignment="1">
      <alignment horizontal="left" indent="1"/>
    </xf>
    <xf numFmtId="0" fontId="28" fillId="0" borderId="0" xfId="72" applyAlignment="1" applyProtection="1">
      <alignment vertical="center"/>
    </xf>
    <xf numFmtId="0" fontId="76" fillId="0" borderId="0" xfId="72" applyFont="1" applyAlignment="1" applyProtection="1">
      <alignment horizontal="left" vertical="center"/>
    </xf>
    <xf numFmtId="175" fontId="29" fillId="0" borderId="0" xfId="92" applyNumberFormat="1" applyFont="1" applyFill="1" applyBorder="1"/>
    <xf numFmtId="0" fontId="49" fillId="25" borderId="23" xfId="0" applyFont="1" applyFill="1" applyBorder="1" applyAlignment="1">
      <alignment horizontal="left"/>
    </xf>
    <xf numFmtId="0" fontId="49" fillId="25" borderId="23" xfId="0" applyFont="1" applyFill="1" applyBorder="1"/>
    <xf numFmtId="0" fontId="49" fillId="0" borderId="12" xfId="0" applyFont="1" applyBorder="1" applyAlignment="1">
      <alignment horizontal="left" indent="1"/>
    </xf>
    <xf numFmtId="0" fontId="49" fillId="0" borderId="20" xfId="0" applyFont="1" applyBorder="1"/>
    <xf numFmtId="2" fontId="58" fillId="39" borderId="11" xfId="111" applyNumberFormat="1" applyFont="1" applyFill="1" applyBorder="1" applyAlignment="1" applyProtection="1">
      <alignment horizontal="right"/>
      <protection locked="0"/>
    </xf>
    <xf numFmtId="165" fontId="58" fillId="39" borderId="11" xfId="111" applyNumberFormat="1" applyFont="1" applyFill="1" applyBorder="1" applyAlignment="1" applyProtection="1">
      <alignment horizontal="right"/>
      <protection locked="0"/>
    </xf>
    <xf numFmtId="165" fontId="27" fillId="24" borderId="21" xfId="0" applyNumberFormat="1" applyFont="1" applyFill="1" applyBorder="1" applyAlignment="1">
      <alignment horizontal="center" wrapText="1"/>
    </xf>
    <xf numFmtId="0" fontId="48" fillId="24" borderId="17" xfId="82" applyFont="1" applyFill="1" applyBorder="1" applyAlignment="1">
      <alignment horizontal="center"/>
    </xf>
    <xf numFmtId="0" fontId="44" fillId="0" borderId="45" xfId="0" applyFont="1" applyBorder="1"/>
    <xf numFmtId="0" fontId="6" fillId="0" borderId="46" xfId="82" applyFont="1" applyBorder="1"/>
    <xf numFmtId="0" fontId="6" fillId="0" borderId="47" xfId="82" applyFont="1" applyBorder="1"/>
    <xf numFmtId="0" fontId="48" fillId="0" borderId="24" xfId="82" applyFont="1" applyBorder="1"/>
    <xf numFmtId="0" fontId="46" fillId="0" borderId="11" xfId="82" applyFont="1" applyBorder="1" applyAlignment="1">
      <alignment horizontal="center" wrapText="1"/>
    </xf>
    <xf numFmtId="3" fontId="46" fillId="0" borderId="11" xfId="82" applyNumberFormat="1" applyFont="1" applyBorder="1" applyAlignment="1">
      <alignment horizontal="center" wrapText="1"/>
    </xf>
    <xf numFmtId="0" fontId="46" fillId="0" borderId="39" xfId="82" applyFont="1" applyBorder="1" applyAlignment="1">
      <alignment horizontal="center" wrapText="1"/>
    </xf>
    <xf numFmtId="0" fontId="46" fillId="0" borderId="55" xfId="0" applyFont="1" applyBorder="1"/>
    <xf numFmtId="176" fontId="46" fillId="0" borderId="11" xfId="82" applyNumberFormat="1" applyFont="1" applyBorder="1" applyAlignment="1">
      <alignment horizontal="center"/>
    </xf>
    <xf numFmtId="165" fontId="46" fillId="0" borderId="11" xfId="82" applyNumberFormat="1" applyFont="1" applyBorder="1"/>
    <xf numFmtId="165" fontId="46" fillId="0" borderId="39" xfId="82" applyNumberFormat="1" applyFont="1" applyBorder="1"/>
    <xf numFmtId="0" fontId="46" fillId="0" borderId="24" xfId="82" applyFont="1" applyBorder="1" applyAlignment="1">
      <alignment vertical="top"/>
    </xf>
    <xf numFmtId="0" fontId="0" fillId="0" borderId="56" xfId="0" applyBorder="1"/>
    <xf numFmtId="164" fontId="46" fillId="0" borderId="0" xfId="82" applyNumberFormat="1" applyFont="1" applyAlignment="1">
      <alignment horizontal="right"/>
    </xf>
    <xf numFmtId="165" fontId="48" fillId="0" borderId="57" xfId="82" applyNumberFormat="1" applyFont="1" applyBorder="1"/>
    <xf numFmtId="0" fontId="77" fillId="0" borderId="56" xfId="82" applyFont="1" applyBorder="1"/>
    <xf numFmtId="0" fontId="46" fillId="0" borderId="57" xfId="82" applyFont="1" applyBorder="1"/>
    <xf numFmtId="165" fontId="46" fillId="0" borderId="11" xfId="82" applyNumberFormat="1" applyFont="1" applyBorder="1" applyAlignment="1">
      <alignment horizontal="center" wrapText="1"/>
    </xf>
    <xf numFmtId="176" fontId="46" fillId="0" borderId="11" xfId="82" applyNumberFormat="1" applyFont="1" applyBorder="1" applyAlignment="1" applyProtection="1">
      <alignment horizontal="center"/>
      <protection locked="0"/>
    </xf>
    <xf numFmtId="0" fontId="48" fillId="0" borderId="56" xfId="0" applyFont="1" applyBorder="1"/>
    <xf numFmtId="0" fontId="45" fillId="25" borderId="57" xfId="82" applyFont="1" applyFill="1" applyBorder="1"/>
    <xf numFmtId="0" fontId="0" fillId="0" borderId="56" xfId="0" quotePrefix="1" applyBorder="1"/>
    <xf numFmtId="0" fontId="0" fillId="0" borderId="0" xfId="0" quotePrefix="1"/>
    <xf numFmtId="44" fontId="0" fillId="0" borderId="0" xfId="0" applyNumberFormat="1"/>
    <xf numFmtId="0" fontId="0" fillId="0" borderId="58" xfId="0" quotePrefix="1" applyBorder="1"/>
    <xf numFmtId="0" fontId="42" fillId="0" borderId="30" xfId="82" applyFont="1" applyBorder="1"/>
    <xf numFmtId="0" fontId="45" fillId="25" borderId="30" xfId="82" applyFont="1" applyFill="1" applyBorder="1"/>
    <xf numFmtId="0" fontId="45" fillId="25" borderId="59" xfId="82" applyFont="1" applyFill="1" applyBorder="1"/>
    <xf numFmtId="0" fontId="78" fillId="0" borderId="0" xfId="82" applyFont="1"/>
    <xf numFmtId="0" fontId="39" fillId="0" borderId="56" xfId="0" applyFont="1" applyBorder="1"/>
    <xf numFmtId="0" fontId="39" fillId="0" borderId="56" xfId="82" applyFont="1" applyBorder="1" applyAlignment="1">
      <alignment vertical="top"/>
    </xf>
    <xf numFmtId="0" fontId="56" fillId="0" borderId="56" xfId="0" applyFont="1" applyBorder="1"/>
    <xf numFmtId="3" fontId="2" fillId="0" borderId="0" xfId="82" applyNumberFormat="1"/>
    <xf numFmtId="165" fontId="2" fillId="0" borderId="57" xfId="82" applyNumberFormat="1" applyBorder="1"/>
    <xf numFmtId="0" fontId="75" fillId="0" borderId="0" xfId="72" applyFont="1" applyFill="1" applyBorder="1" applyAlignment="1" applyProtection="1">
      <alignment horizontal="left"/>
    </xf>
    <xf numFmtId="0" fontId="6" fillId="0" borderId="57" xfId="82" applyFont="1" applyBorder="1"/>
    <xf numFmtId="0" fontId="2" fillId="0" borderId="30" xfId="82" applyBorder="1"/>
    <xf numFmtId="3" fontId="2" fillId="0" borderId="30" xfId="82" applyNumberFormat="1" applyBorder="1"/>
    <xf numFmtId="165" fontId="2" fillId="0" borderId="59" xfId="82" applyNumberFormat="1" applyBorder="1"/>
    <xf numFmtId="165" fontId="2" fillId="0" borderId="0" xfId="82" applyNumberFormat="1"/>
    <xf numFmtId="0" fontId="79" fillId="0" borderId="60" xfId="0" applyFont="1" applyBorder="1"/>
    <xf numFmtId="0" fontId="0" fillId="0" borderId="48" xfId="0" applyBorder="1"/>
    <xf numFmtId="0" fontId="0" fillId="0" borderId="49" xfId="0" applyBorder="1"/>
    <xf numFmtId="165" fontId="46" fillId="0" borderId="57" xfId="82" applyNumberFormat="1" applyFont="1" applyBorder="1"/>
    <xf numFmtId="0" fontId="79" fillId="0" borderId="56" xfId="0" applyFont="1" applyBorder="1"/>
    <xf numFmtId="165" fontId="2" fillId="0" borderId="57" xfId="82" applyNumberFormat="1" applyBorder="1" applyAlignment="1">
      <alignment horizontal="right"/>
    </xf>
    <xf numFmtId="0" fontId="2" fillId="0" borderId="0" xfId="82" applyAlignment="1">
      <alignment horizontal="left"/>
    </xf>
    <xf numFmtId="0" fontId="6" fillId="0" borderId="57" xfId="82" applyFont="1" applyBorder="1" applyAlignment="1">
      <alignment horizontal="left"/>
    </xf>
    <xf numFmtId="0" fontId="75" fillId="0" borderId="30" xfId="72" applyFont="1" applyFill="1" applyBorder="1" applyAlignment="1" applyProtection="1">
      <alignment horizontal="left"/>
    </xf>
    <xf numFmtId="0" fontId="6" fillId="0" borderId="59" xfId="82" applyFont="1" applyBorder="1"/>
    <xf numFmtId="169" fontId="46" fillId="0" borderId="11" xfId="82" applyNumberFormat="1" applyFont="1" applyBorder="1" applyAlignment="1">
      <alignment horizontal="center" wrapText="1"/>
    </xf>
    <xf numFmtId="169" fontId="46" fillId="0" borderId="11" xfId="82" applyNumberFormat="1" applyFont="1" applyBorder="1" applyAlignment="1" applyProtection="1">
      <alignment horizontal="center"/>
      <protection locked="0"/>
    </xf>
    <xf numFmtId="0" fontId="0" fillId="0" borderId="56" xfId="0" applyBorder="1" applyAlignment="1">
      <alignment horizontal="left"/>
    </xf>
    <xf numFmtId="0" fontId="6" fillId="0" borderId="30" xfId="82" applyFont="1" applyBorder="1"/>
    <xf numFmtId="0" fontId="0" fillId="0" borderId="57" xfId="0" applyBorder="1"/>
    <xf numFmtId="0" fontId="44" fillId="0" borderId="34" xfId="0" applyFont="1" applyBorder="1" applyAlignment="1">
      <alignment wrapText="1"/>
    </xf>
    <xf numFmtId="3" fontId="44" fillId="0" borderId="34" xfId="0" applyNumberFormat="1" applyFont="1" applyBorder="1"/>
    <xf numFmtId="0" fontId="29" fillId="0" borderId="11" xfId="0" applyFont="1" applyBorder="1" applyAlignment="1">
      <alignment horizontal="left" wrapText="1"/>
    </xf>
    <xf numFmtId="0" fontId="29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0" fillId="0" borderId="17" xfId="0" applyNumberFormat="1" applyBorder="1"/>
    <xf numFmtId="165" fontId="27" fillId="0" borderId="10" xfId="0" applyNumberFormat="1" applyFont="1" applyBorder="1"/>
    <xf numFmtId="0" fontId="0" fillId="0" borderId="24" xfId="0" applyBorder="1" applyAlignment="1">
      <alignment horizontal="left" vertical="center"/>
    </xf>
    <xf numFmtId="4" fontId="0" fillId="45" borderId="10" xfId="0" applyNumberFormat="1" applyFill="1" applyBorder="1"/>
    <xf numFmtId="0" fontId="39" fillId="44" borderId="34" xfId="0" applyFont="1" applyFill="1" applyBorder="1"/>
    <xf numFmtId="0" fontId="0" fillId="41" borderId="34" xfId="0" applyFill="1" applyBorder="1"/>
    <xf numFmtId="0" fontId="0" fillId="41" borderId="10" xfId="0" applyFill="1" applyBorder="1"/>
    <xf numFmtId="10" fontId="0" fillId="0" borderId="11" xfId="0" applyNumberFormat="1" applyBorder="1" applyAlignment="1">
      <alignment horizontal="right"/>
    </xf>
    <xf numFmtId="165" fontId="46" fillId="0" borderId="0" xfId="0" applyNumberFormat="1" applyFont="1"/>
    <xf numFmtId="9" fontId="0" fillId="0" borderId="10" xfId="0" applyNumberFormat="1" applyBorder="1" applyAlignment="1">
      <alignment horizontal="right"/>
    </xf>
    <xf numFmtId="10" fontId="0" fillId="0" borderId="12" xfId="92" applyNumberFormat="1" applyFont="1" applyBorder="1" applyAlignment="1">
      <alignment horizontal="left"/>
    </xf>
    <xf numFmtId="10" fontId="0" fillId="0" borderId="0" xfId="92" applyNumberFormat="1" applyFont="1"/>
    <xf numFmtId="171" fontId="0" fillId="0" borderId="0" xfId="92" applyNumberFormat="1" applyFont="1" applyAlignment="1">
      <alignment horizontal="left"/>
    </xf>
    <xf numFmtId="0" fontId="44" fillId="40" borderId="12" xfId="0" applyFont="1" applyFill="1" applyBorder="1" applyAlignment="1">
      <alignment horizontal="left"/>
    </xf>
    <xf numFmtId="10" fontId="27" fillId="39" borderId="11" xfId="92" applyNumberFormat="1" applyFont="1" applyFill="1" applyBorder="1" applyProtection="1"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165" fontId="48" fillId="39" borderId="19" xfId="82" applyNumberFormat="1" applyFont="1" applyFill="1" applyBorder="1" applyProtection="1">
      <protection locked="0"/>
    </xf>
    <xf numFmtId="10" fontId="46" fillId="39" borderId="11" xfId="0" applyNumberFormat="1" applyFont="1" applyFill="1" applyBorder="1" applyAlignment="1" applyProtection="1">
      <alignment horizontal="center"/>
      <protection locked="0"/>
    </xf>
    <xf numFmtId="8" fontId="46" fillId="39" borderId="11" xfId="0" applyNumberFormat="1" applyFont="1" applyFill="1" applyBorder="1" applyProtection="1">
      <protection locked="0"/>
    </xf>
    <xf numFmtId="9" fontId="71" fillId="39" borderId="11" xfId="0" applyNumberFormat="1" applyFon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8" fillId="0" borderId="20" xfId="72" applyFill="1" applyBorder="1" applyAlignment="1" applyProtection="1">
      <alignment vertical="center" wrapText="1"/>
    </xf>
    <xf numFmtId="0" fontId="28" fillId="0" borderId="20" xfId="72" applyBorder="1" applyAlignment="1" applyProtection="1"/>
    <xf numFmtId="0" fontId="28" fillId="0" borderId="17" xfId="72" applyBorder="1" applyAlignment="1" applyProtection="1"/>
    <xf numFmtId="0" fontId="46" fillId="0" borderId="12" xfId="72" applyFont="1" applyBorder="1" applyAlignment="1" applyProtection="1">
      <alignment vertical="center"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0" fontId="28" fillId="0" borderId="12" xfId="72" applyFill="1" applyBorder="1" applyAlignment="1" applyProtection="1">
      <alignment vertical="center" wrapText="1"/>
    </xf>
    <xf numFmtId="0" fontId="80" fillId="0" borderId="12" xfId="0" applyFont="1" applyBorder="1" applyAlignment="1">
      <alignment horizontal="left" vertical="top" wrapText="1"/>
    </xf>
    <xf numFmtId="0" fontId="80" fillId="0" borderId="20" xfId="0" applyFont="1" applyBorder="1" applyAlignment="1">
      <alignment horizontal="left" vertical="top" wrapText="1"/>
    </xf>
    <xf numFmtId="0" fontId="7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7" fillId="0" borderId="1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46" fillId="0" borderId="12" xfId="82" applyFont="1" applyBorder="1" applyAlignment="1">
      <alignment horizontal="center" wrapText="1"/>
    </xf>
    <xf numFmtId="0" fontId="46" fillId="0" borderId="20" xfId="82" applyFont="1" applyBorder="1" applyAlignment="1">
      <alignment horizontal="center" wrapText="1"/>
    </xf>
    <xf numFmtId="0" fontId="46" fillId="0" borderId="17" xfId="82" applyFont="1" applyBorder="1" applyAlignment="1">
      <alignment horizontal="center" wrapText="1"/>
    </xf>
    <xf numFmtId="0" fontId="29" fillId="0" borderId="0" xfId="0" quotePrefix="1" applyFont="1" applyAlignment="1">
      <alignment wrapText="1"/>
    </xf>
    <xf numFmtId="0" fontId="44" fillId="49" borderId="52" xfId="82" applyFont="1" applyFill="1" applyBorder="1" applyAlignment="1">
      <alignment horizontal="center" vertical="center"/>
    </xf>
    <xf numFmtId="0" fontId="44" fillId="49" borderId="53" xfId="82" applyFont="1" applyFill="1" applyBorder="1" applyAlignment="1">
      <alignment horizontal="center" vertical="center"/>
    </xf>
    <xf numFmtId="0" fontId="44" fillId="49" borderId="54" xfId="82" applyFont="1" applyFill="1" applyBorder="1" applyAlignment="1">
      <alignment horizontal="center" vertical="center"/>
    </xf>
    <xf numFmtId="0" fontId="59" fillId="47" borderId="10" xfId="82" applyFont="1" applyFill="1" applyBorder="1" applyAlignment="1">
      <alignment horizontal="center"/>
    </xf>
    <xf numFmtId="0" fontId="59" fillId="47" borderId="22" xfId="82" applyFont="1" applyFill="1" applyBorder="1" applyAlignment="1">
      <alignment horizontal="center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Currency" xfId="111" builtinId="4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abetes.org.uk/about-us/about-the-charity/our-strategy/statistics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www.ncbi.nlm.nih.gov/pmc/articles/PMC10407997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pubmed.ncbi.nlm.nih.gov/24051410/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bnf.nice.org.uk/drugs/fenofibrate/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digital.nhs.uk/data-and-information/data-tools-and-services/data-services/general-practice-data-hub/quality-outcomes-framework-qof" TargetMode="External"/><Relationship Id="rId9" Type="http://schemas.openxmlformats.org/officeDocument/2006/relationships/hyperlink" Target="https://www.ncbi.nlm.nih.gov/pmc/articles/PMC9290830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england.nhs.uk/publication/2023-25-nhs-payment-scheme/" TargetMode="External"/><Relationship Id="rId4" Type="http://schemas.openxmlformats.org/officeDocument/2006/relationships/hyperlink" Target="https://bnf.nice.org.uk/drugs/fenofibrate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35"/>
  <sheetViews>
    <sheetView showGridLines="0" tabSelected="1" zoomScale="80" zoomScaleNormal="80" zoomScaleSheetLayoutView="80" workbookViewId="0">
      <selection activeCell="Q2" sqref="Q2"/>
    </sheetView>
  </sheetViews>
  <sheetFormatPr defaultRowHeight="15" x14ac:dyDescent="0.25"/>
  <cols>
    <col min="1" max="1" width="1.42578125" customWidth="1"/>
    <col min="2" max="2" width="1.85546875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21" x14ac:dyDescent="0.25">
      <c r="B2" s="172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157"/>
    </row>
    <row r="3" spans="2:21" x14ac:dyDescent="0.25">
      <c r="B3" s="160"/>
      <c r="O3" s="159"/>
    </row>
    <row r="4" spans="2:21" x14ac:dyDescent="0.25">
      <c r="B4" s="160"/>
      <c r="O4" s="159"/>
    </row>
    <row r="5" spans="2:21" x14ac:dyDescent="0.25">
      <c r="B5" s="160"/>
      <c r="O5" s="159"/>
    </row>
    <row r="6" spans="2:21" ht="46.5" x14ac:dyDescent="0.7">
      <c r="B6" s="160"/>
      <c r="O6" s="159"/>
      <c r="S6" s="365"/>
      <c r="U6" s="366"/>
    </row>
    <row r="7" spans="2:21" x14ac:dyDescent="0.25">
      <c r="B7" s="160"/>
      <c r="O7" s="159"/>
    </row>
    <row r="8" spans="2:21" x14ac:dyDescent="0.25">
      <c r="B8" s="160"/>
      <c r="O8" s="159"/>
    </row>
    <row r="9" spans="2:21" x14ac:dyDescent="0.25">
      <c r="B9" s="160"/>
      <c r="O9" s="159"/>
    </row>
    <row r="10" spans="2:21" x14ac:dyDescent="0.25">
      <c r="B10" s="16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59"/>
    </row>
    <row r="11" spans="2:21" ht="31.5" x14ac:dyDescent="0.5">
      <c r="B11" s="160"/>
      <c r="C11" s="174" t="s">
        <v>0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59"/>
    </row>
    <row r="12" spans="2:21" x14ac:dyDescent="0.25">
      <c r="B12" s="160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59"/>
    </row>
    <row r="13" spans="2:21" x14ac:dyDescent="0.25">
      <c r="B13" s="160"/>
      <c r="O13" s="159"/>
    </row>
    <row r="14" spans="2:21" ht="31.5" x14ac:dyDescent="0.5">
      <c r="B14" s="160"/>
      <c r="C14" s="716" t="s">
        <v>1</v>
      </c>
      <c r="O14" s="159"/>
    </row>
    <row r="15" spans="2:21" ht="31.5" x14ac:dyDescent="0.25">
      <c r="B15" s="160"/>
      <c r="C15" s="349" t="s">
        <v>1154</v>
      </c>
      <c r="O15" s="159"/>
    </row>
    <row r="16" spans="2:21" ht="31.5" x14ac:dyDescent="0.25">
      <c r="B16" s="160"/>
      <c r="C16" s="349"/>
      <c r="O16" s="159"/>
    </row>
    <row r="17" spans="2:15" ht="31.5" x14ac:dyDescent="0.25">
      <c r="B17" s="160"/>
      <c r="C17" s="349"/>
      <c r="O17" s="159"/>
    </row>
    <row r="18" spans="2:15" ht="31.5" x14ac:dyDescent="0.5">
      <c r="B18" s="160"/>
      <c r="C18" s="175" t="s">
        <v>1032</v>
      </c>
      <c r="D18" s="176"/>
      <c r="O18" s="159"/>
    </row>
    <row r="19" spans="2:15" ht="31.5" x14ac:dyDescent="0.5">
      <c r="B19" s="160"/>
      <c r="D19" s="176"/>
      <c r="O19" s="159"/>
    </row>
    <row r="20" spans="2:15" ht="31.5" x14ac:dyDescent="0.5">
      <c r="B20" s="160"/>
      <c r="C20" s="349" t="s">
        <v>1157</v>
      </c>
      <c r="D20" s="176"/>
      <c r="O20" s="159"/>
    </row>
    <row r="21" spans="2:15" ht="31.5" x14ac:dyDescent="0.5">
      <c r="B21" s="160"/>
      <c r="D21" s="176"/>
      <c r="O21" s="159"/>
    </row>
    <row r="22" spans="2:15" ht="31.5" x14ac:dyDescent="0.5">
      <c r="B22" s="160"/>
      <c r="D22" s="176"/>
      <c r="O22" s="159"/>
    </row>
    <row r="23" spans="2:15" ht="31.5" x14ac:dyDescent="0.5">
      <c r="B23" s="160"/>
      <c r="D23" s="176"/>
      <c r="O23" s="159"/>
    </row>
    <row r="24" spans="2:15" ht="31.5" x14ac:dyDescent="0.5">
      <c r="B24" s="160"/>
      <c r="C24" s="348"/>
      <c r="D24" s="176"/>
      <c r="O24" s="159"/>
    </row>
    <row r="25" spans="2:15" x14ac:dyDescent="0.25">
      <c r="B25" s="160"/>
      <c r="O25" s="159"/>
    </row>
    <row r="26" spans="2:15" x14ac:dyDescent="0.25">
      <c r="B26" s="160"/>
      <c r="O26" s="159"/>
    </row>
    <row r="27" spans="2:15" x14ac:dyDescent="0.25">
      <c r="B27" s="160"/>
      <c r="O27" s="159"/>
    </row>
    <row r="28" spans="2:15" x14ac:dyDescent="0.25">
      <c r="B28" s="160"/>
      <c r="O28" s="159"/>
    </row>
    <row r="29" spans="2:15" x14ac:dyDescent="0.25">
      <c r="B29" s="160"/>
      <c r="O29" s="159"/>
    </row>
    <row r="30" spans="2:15" x14ac:dyDescent="0.25">
      <c r="B30" s="160"/>
      <c r="O30" s="159"/>
    </row>
    <row r="31" spans="2:15" x14ac:dyDescent="0.25">
      <c r="B31" s="160"/>
      <c r="O31" s="159"/>
    </row>
    <row r="32" spans="2:15" x14ac:dyDescent="0.25">
      <c r="B32" s="160"/>
      <c r="O32" s="159"/>
    </row>
    <row r="33" spans="2:15" x14ac:dyDescent="0.25">
      <c r="B33" s="160"/>
      <c r="O33" s="159"/>
    </row>
    <row r="34" spans="2:15" x14ac:dyDescent="0.25">
      <c r="B34" s="160"/>
      <c r="O34" s="159"/>
    </row>
    <row r="35" spans="2:15" x14ac:dyDescent="0.25"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3"/>
    </row>
  </sheetData>
  <sheetProtection algorithmName="SHA-512" hashValue="nMN7iG4sCDd1xmA8SjrnwK6AdbsYQhIhpaJnfp4xPnl+Yl7FG39xjBQkFWfdQVOf8zOy/+9Xrl4rMRfTqFpK3g==" saltValue="PTqMm0b/ftZsemUj0eiFg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V111"/>
  <sheetViews>
    <sheetView zoomScale="80" zoomScaleNormal="80" workbookViewId="0">
      <selection activeCell="Q9" sqref="Q9"/>
    </sheetView>
  </sheetViews>
  <sheetFormatPr defaultColWidth="8.5703125" defaultRowHeight="15" x14ac:dyDescent="0.25"/>
  <cols>
    <col min="1" max="1" width="13.5703125" customWidth="1"/>
    <col min="3" max="4" width="11.85546875" customWidth="1"/>
    <col min="5" max="5" width="10.42578125" style="493" customWidth="1"/>
    <col min="6" max="6" width="11.85546875" customWidth="1"/>
    <col min="7" max="7" width="12.5703125" customWidth="1"/>
    <col min="8" max="8" width="11.85546875" hidden="1" customWidth="1"/>
    <col min="9" max="9" width="8.85546875" hidden="1" customWidth="1"/>
    <col min="10" max="10" width="9.42578125" hidden="1" customWidth="1"/>
    <col min="11" max="11" width="10.42578125" hidden="1" customWidth="1"/>
    <col min="12" max="12" width="10.5703125" hidden="1" customWidth="1"/>
    <col min="13" max="13" width="11.42578125" hidden="1" customWidth="1"/>
    <col min="14" max="14" width="11.85546875" hidden="1" customWidth="1"/>
    <col min="15" max="15" width="11.85546875" customWidth="1"/>
    <col min="16" max="16" width="24.42578125" bestFit="1" customWidth="1"/>
    <col min="17" max="17" width="31.5703125" bestFit="1" customWidth="1"/>
    <col min="18" max="18" width="15.140625" style="494" bestFit="1" customWidth="1"/>
    <col min="19" max="22" width="9" customWidth="1"/>
    <col min="23" max="23" width="17.85546875" customWidth="1"/>
    <col min="24" max="24" width="12.5703125" customWidth="1"/>
    <col min="25" max="25" width="23.140625" customWidth="1"/>
    <col min="26" max="27" width="5.42578125" customWidth="1"/>
    <col min="28" max="28" width="13.42578125" customWidth="1"/>
    <col min="29" max="29" width="14.42578125" customWidth="1"/>
    <col min="30" max="30" width="10.42578125" customWidth="1"/>
  </cols>
  <sheetData>
    <row r="1" spans="1:22" ht="29.1" customHeight="1" x14ac:dyDescent="0.25">
      <c r="A1" s="757" t="s">
        <v>1031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  <c r="S1" s="757"/>
      <c r="T1" s="757"/>
      <c r="U1" s="757"/>
      <c r="V1" s="757"/>
    </row>
    <row r="2" spans="1:22" ht="15.75" thickBot="1" x14ac:dyDescent="0.3"/>
    <row r="3" spans="1:22" ht="15.75" thickBot="1" x14ac:dyDescent="0.3">
      <c r="B3" s="887" t="s">
        <v>861</v>
      </c>
      <c r="C3" s="888"/>
      <c r="D3" s="888"/>
      <c r="E3" s="888"/>
      <c r="F3" s="888"/>
      <c r="G3" s="889"/>
      <c r="H3" s="890" t="s">
        <v>214</v>
      </c>
      <c r="I3" s="890"/>
      <c r="J3" s="890"/>
      <c r="K3" s="890"/>
      <c r="L3" s="890"/>
      <c r="M3" s="890"/>
      <c r="N3" s="891"/>
      <c r="O3" s="495"/>
      <c r="P3" s="495"/>
    </row>
    <row r="4" spans="1:22" ht="71.45" customHeight="1" x14ac:dyDescent="0.25">
      <c r="A4" s="731" t="s">
        <v>862</v>
      </c>
      <c r="B4" s="732" t="s">
        <v>863</v>
      </c>
      <c r="C4" s="733" t="s">
        <v>864</v>
      </c>
      <c r="D4" s="733" t="s">
        <v>1030</v>
      </c>
      <c r="E4" s="734" t="s">
        <v>866</v>
      </c>
      <c r="F4" s="733" t="s">
        <v>867</v>
      </c>
      <c r="G4" s="735" t="s">
        <v>868</v>
      </c>
      <c r="H4" s="517" t="s">
        <v>864</v>
      </c>
      <c r="I4" s="518" t="s">
        <v>869</v>
      </c>
      <c r="J4" s="518" t="s">
        <v>214</v>
      </c>
      <c r="K4" s="518" t="s">
        <v>865</v>
      </c>
      <c r="L4" s="518" t="s">
        <v>866</v>
      </c>
      <c r="M4" s="518" t="s">
        <v>867</v>
      </c>
      <c r="N4" s="519" t="s">
        <v>868</v>
      </c>
      <c r="O4" s="496"/>
      <c r="P4" s="742" t="s">
        <v>862</v>
      </c>
      <c r="Q4" s="743" t="s">
        <v>870</v>
      </c>
      <c r="R4" s="744" t="s">
        <v>868</v>
      </c>
      <c r="S4" s="745" t="s">
        <v>871</v>
      </c>
      <c r="T4" s="746" t="s">
        <v>827</v>
      </c>
      <c r="U4" s="745" t="s">
        <v>872</v>
      </c>
      <c r="V4" s="747" t="s">
        <v>873</v>
      </c>
    </row>
    <row r="5" spans="1:22" x14ac:dyDescent="0.25">
      <c r="A5" s="515">
        <v>2</v>
      </c>
      <c r="B5" s="505" t="s">
        <v>874</v>
      </c>
      <c r="C5" s="497">
        <v>22383.9</v>
      </c>
      <c r="D5" s="497">
        <f t="shared" ref="D5:D36" si="0">(C5-$A$109)*0.138</f>
        <v>1833.1782000000003</v>
      </c>
      <c r="E5" s="506">
        <f t="shared" ref="E5:E68" si="1">C5*0.005</f>
        <v>111.91950000000001</v>
      </c>
      <c r="F5" s="497">
        <f t="shared" ref="F5:F68" si="2">C5*0.2068</f>
        <v>4628.9905200000003</v>
      </c>
      <c r="G5" s="507">
        <f>SUM(C5:F5)</f>
        <v>28957.988220000003</v>
      </c>
      <c r="H5" s="520">
        <f t="shared" ref="H5:H68" si="3">C5</f>
        <v>22383.9</v>
      </c>
      <c r="I5" s="521">
        <v>5132.4000000000005</v>
      </c>
      <c r="J5" s="521">
        <f t="shared" ref="J5:J68" si="4">C5+I5</f>
        <v>27516.300000000003</v>
      </c>
      <c r="K5" s="521">
        <f t="shared" ref="K5:K36" si="5">(J5-$A$109)*0.138</f>
        <v>2541.4494000000004</v>
      </c>
      <c r="L5" s="521">
        <f t="shared" ref="L5:L68" si="6">J5*0.005</f>
        <v>137.58150000000001</v>
      </c>
      <c r="M5" s="521">
        <f t="shared" ref="M5:M68" si="7">J5*0.2068</f>
        <v>5690.3708400000005</v>
      </c>
      <c r="N5" s="521">
        <f t="shared" ref="N5:N68" si="8">SUM(J5:M5)</f>
        <v>35885.701740000004</v>
      </c>
      <c r="O5" s="498"/>
      <c r="P5" s="748" t="s">
        <v>875</v>
      </c>
      <c r="Q5" s="149" t="s">
        <v>876</v>
      </c>
      <c r="R5" s="501">
        <f>G5</f>
        <v>28957.988220000003</v>
      </c>
      <c r="S5" s="737">
        <v>1560</v>
      </c>
      <c r="T5" s="504">
        <f t="shared" ref="T5:T41" si="9">ROUND(R5/S5,2)</f>
        <v>18.559999999999999</v>
      </c>
      <c r="U5" s="502">
        <v>0.41</v>
      </c>
      <c r="V5" s="749">
        <v>0.83</v>
      </c>
    </row>
    <row r="6" spans="1:22" x14ac:dyDescent="0.25">
      <c r="A6" s="515">
        <v>2</v>
      </c>
      <c r="B6" s="505" t="s">
        <v>877</v>
      </c>
      <c r="C6" s="497">
        <v>22383.9</v>
      </c>
      <c r="D6" s="497">
        <f t="shared" si="0"/>
        <v>1833.1782000000003</v>
      </c>
      <c r="E6" s="506">
        <f t="shared" si="1"/>
        <v>111.91950000000001</v>
      </c>
      <c r="F6" s="497">
        <f t="shared" si="2"/>
        <v>4628.9905200000003</v>
      </c>
      <c r="G6" s="507">
        <f t="shared" ref="G6:G68" si="10">SUM(C6:F6)</f>
        <v>28957.988220000003</v>
      </c>
      <c r="H6" s="520">
        <f t="shared" si="3"/>
        <v>22383.9</v>
      </c>
      <c r="I6" s="521">
        <v>5132.4000000000005</v>
      </c>
      <c r="J6" s="521">
        <f t="shared" si="4"/>
        <v>27516.300000000003</v>
      </c>
      <c r="K6" s="521">
        <f t="shared" si="5"/>
        <v>2541.4494000000004</v>
      </c>
      <c r="L6" s="521">
        <f t="shared" si="6"/>
        <v>137.58150000000001</v>
      </c>
      <c r="M6" s="521">
        <f t="shared" si="7"/>
        <v>5690.3708400000005</v>
      </c>
      <c r="N6" s="521">
        <f>SUM(J6:M6)</f>
        <v>35885.701740000004</v>
      </c>
      <c r="O6" s="498"/>
      <c r="P6" s="748" t="s">
        <v>875</v>
      </c>
      <c r="Q6" s="149" t="s">
        <v>878</v>
      </c>
      <c r="R6" s="501">
        <f>G8</f>
        <v>28957.988220000003</v>
      </c>
      <c r="S6" s="737">
        <v>1560</v>
      </c>
      <c r="T6" s="504">
        <f t="shared" si="9"/>
        <v>18.559999999999999</v>
      </c>
      <c r="U6" s="502">
        <v>0.41</v>
      </c>
      <c r="V6" s="749">
        <v>0.83</v>
      </c>
    </row>
    <row r="7" spans="1:22" x14ac:dyDescent="0.25">
      <c r="A7" s="515">
        <v>2</v>
      </c>
      <c r="B7" s="505" t="s">
        <v>879</v>
      </c>
      <c r="C7" s="497">
        <v>22383.9</v>
      </c>
      <c r="D7" s="497">
        <f t="shared" si="0"/>
        <v>1833.1782000000003</v>
      </c>
      <c r="E7" s="506">
        <f t="shared" si="1"/>
        <v>111.91950000000001</v>
      </c>
      <c r="F7" s="497">
        <f t="shared" si="2"/>
        <v>4628.9905200000003</v>
      </c>
      <c r="G7" s="507">
        <f t="shared" si="10"/>
        <v>28957.988220000003</v>
      </c>
      <c r="H7" s="520">
        <f t="shared" si="3"/>
        <v>22383.9</v>
      </c>
      <c r="I7" s="521">
        <v>5132.4000000000005</v>
      </c>
      <c r="J7" s="521">
        <f t="shared" si="4"/>
        <v>27516.300000000003</v>
      </c>
      <c r="K7" s="521">
        <f t="shared" si="5"/>
        <v>2541.4494000000004</v>
      </c>
      <c r="L7" s="521">
        <f t="shared" si="6"/>
        <v>137.58150000000001</v>
      </c>
      <c r="M7" s="521">
        <f t="shared" si="7"/>
        <v>5690.3708400000005</v>
      </c>
      <c r="N7" s="521">
        <f t="shared" si="8"/>
        <v>35885.701740000004</v>
      </c>
      <c r="O7" s="498"/>
      <c r="P7" s="748" t="s">
        <v>875</v>
      </c>
      <c r="Q7" s="149" t="s">
        <v>880</v>
      </c>
      <c r="R7" s="501">
        <f>G11</f>
        <v>28957.988220000003</v>
      </c>
      <c r="S7" s="737">
        <v>1560</v>
      </c>
      <c r="T7" s="504">
        <f t="shared" si="9"/>
        <v>18.559999999999999</v>
      </c>
      <c r="U7" s="502">
        <v>0.41</v>
      </c>
      <c r="V7" s="749">
        <v>0.83</v>
      </c>
    </row>
    <row r="8" spans="1:22" x14ac:dyDescent="0.25">
      <c r="A8" s="515">
        <v>2</v>
      </c>
      <c r="B8" s="505" t="s">
        <v>881</v>
      </c>
      <c r="C8" s="497">
        <v>22383.9</v>
      </c>
      <c r="D8" s="497">
        <f t="shared" si="0"/>
        <v>1833.1782000000003</v>
      </c>
      <c r="E8" s="506">
        <f t="shared" si="1"/>
        <v>111.91950000000001</v>
      </c>
      <c r="F8" s="497">
        <f t="shared" si="2"/>
        <v>4628.9905200000003</v>
      </c>
      <c r="G8" s="507">
        <f t="shared" si="10"/>
        <v>28957.988220000003</v>
      </c>
      <c r="H8" s="520">
        <f t="shared" si="3"/>
        <v>22383.9</v>
      </c>
      <c r="I8" s="521">
        <v>5132.4000000000005</v>
      </c>
      <c r="J8" s="521">
        <f t="shared" si="4"/>
        <v>27516.300000000003</v>
      </c>
      <c r="K8" s="521">
        <f t="shared" si="5"/>
        <v>2541.4494000000004</v>
      </c>
      <c r="L8" s="521">
        <f t="shared" si="6"/>
        <v>137.58150000000001</v>
      </c>
      <c r="M8" s="521">
        <f t="shared" si="7"/>
        <v>5690.3708400000005</v>
      </c>
      <c r="N8" s="521">
        <f t="shared" si="8"/>
        <v>35885.701740000004</v>
      </c>
      <c r="O8" s="498"/>
      <c r="P8" s="748" t="s">
        <v>882</v>
      </c>
      <c r="Q8" s="149" t="s">
        <v>883</v>
      </c>
      <c r="R8" s="501">
        <f>G12</f>
        <v>29541.911700000001</v>
      </c>
      <c r="S8" s="737">
        <v>1560</v>
      </c>
      <c r="T8" s="504">
        <f t="shared" si="9"/>
        <v>18.940000000000001</v>
      </c>
      <c r="U8" s="502">
        <v>0.35</v>
      </c>
      <c r="V8" s="749">
        <v>0.69</v>
      </c>
    </row>
    <row r="9" spans="1:22" x14ac:dyDescent="0.25">
      <c r="A9" s="515">
        <v>2</v>
      </c>
      <c r="B9" s="505" t="s">
        <v>884</v>
      </c>
      <c r="C9" s="497">
        <v>22383.9</v>
      </c>
      <c r="D9" s="497">
        <f t="shared" si="0"/>
        <v>1833.1782000000003</v>
      </c>
      <c r="E9" s="506">
        <f t="shared" si="1"/>
        <v>111.91950000000001</v>
      </c>
      <c r="F9" s="497">
        <f t="shared" si="2"/>
        <v>4628.9905200000003</v>
      </c>
      <c r="G9" s="507">
        <f t="shared" si="10"/>
        <v>28957.988220000003</v>
      </c>
      <c r="H9" s="520">
        <f t="shared" si="3"/>
        <v>22383.9</v>
      </c>
      <c r="I9" s="521">
        <v>5132.4000000000005</v>
      </c>
      <c r="J9" s="521">
        <f t="shared" si="4"/>
        <v>27516.300000000003</v>
      </c>
      <c r="K9" s="521">
        <f t="shared" si="5"/>
        <v>2541.4494000000004</v>
      </c>
      <c r="L9" s="521">
        <f t="shared" si="6"/>
        <v>137.58150000000001</v>
      </c>
      <c r="M9" s="521">
        <f t="shared" si="7"/>
        <v>5690.3708400000005</v>
      </c>
      <c r="N9" s="521">
        <f t="shared" si="8"/>
        <v>35885.701740000004</v>
      </c>
      <c r="O9" s="498"/>
      <c r="P9" s="748" t="s">
        <v>882</v>
      </c>
      <c r="Q9" s="149" t="s">
        <v>885</v>
      </c>
      <c r="R9" s="501">
        <f>G15</f>
        <v>31592.730330000006</v>
      </c>
      <c r="S9" s="737">
        <v>1560</v>
      </c>
      <c r="T9" s="504">
        <f t="shared" si="9"/>
        <v>20.25</v>
      </c>
      <c r="U9" s="502">
        <v>0.35</v>
      </c>
      <c r="V9" s="749">
        <v>0.69</v>
      </c>
    </row>
    <row r="10" spans="1:22" x14ac:dyDescent="0.25">
      <c r="A10" s="515">
        <v>2</v>
      </c>
      <c r="B10" s="505" t="s">
        <v>886</v>
      </c>
      <c r="C10" s="497">
        <v>22383.9</v>
      </c>
      <c r="D10" s="497">
        <f t="shared" si="0"/>
        <v>1833.1782000000003</v>
      </c>
      <c r="E10" s="506">
        <f t="shared" si="1"/>
        <v>111.91950000000001</v>
      </c>
      <c r="F10" s="497">
        <f t="shared" si="2"/>
        <v>4628.9905200000003</v>
      </c>
      <c r="G10" s="507">
        <f t="shared" si="10"/>
        <v>28957.988220000003</v>
      </c>
      <c r="H10" s="520">
        <f t="shared" si="3"/>
        <v>22383.9</v>
      </c>
      <c r="I10" s="521">
        <v>5132.4000000000005</v>
      </c>
      <c r="J10" s="521">
        <f t="shared" si="4"/>
        <v>27516.300000000003</v>
      </c>
      <c r="K10" s="521">
        <f t="shared" si="5"/>
        <v>2541.4494000000004</v>
      </c>
      <c r="L10" s="521">
        <f t="shared" si="6"/>
        <v>137.58150000000001</v>
      </c>
      <c r="M10" s="521">
        <f t="shared" si="7"/>
        <v>5690.3708400000005</v>
      </c>
      <c r="N10" s="521">
        <f t="shared" si="8"/>
        <v>35885.701740000004</v>
      </c>
      <c r="O10" s="498"/>
      <c r="P10" s="748" t="s">
        <v>882</v>
      </c>
      <c r="Q10" s="149" t="s">
        <v>887</v>
      </c>
      <c r="R10" s="501">
        <f>G18</f>
        <v>31592.730330000006</v>
      </c>
      <c r="S10" s="737">
        <v>1560</v>
      </c>
      <c r="T10" s="504">
        <f t="shared" si="9"/>
        <v>20.25</v>
      </c>
      <c r="U10" s="502">
        <v>0.35</v>
      </c>
      <c r="V10" s="749">
        <v>0.69</v>
      </c>
    </row>
    <row r="11" spans="1:22" x14ac:dyDescent="0.25">
      <c r="A11" s="515">
        <v>2</v>
      </c>
      <c r="B11" s="505" t="s">
        <v>888</v>
      </c>
      <c r="C11" s="497">
        <v>22383.9</v>
      </c>
      <c r="D11" s="497">
        <f t="shared" si="0"/>
        <v>1833.1782000000003</v>
      </c>
      <c r="E11" s="506">
        <f t="shared" si="1"/>
        <v>111.91950000000001</v>
      </c>
      <c r="F11" s="497">
        <f t="shared" si="2"/>
        <v>4628.9905200000003</v>
      </c>
      <c r="G11" s="507">
        <f t="shared" si="10"/>
        <v>28957.988220000003</v>
      </c>
      <c r="H11" s="520">
        <f t="shared" si="3"/>
        <v>22383.9</v>
      </c>
      <c r="I11" s="521">
        <v>5132.4000000000005</v>
      </c>
      <c r="J11" s="521">
        <f t="shared" si="4"/>
        <v>27516.300000000003</v>
      </c>
      <c r="K11" s="521">
        <f t="shared" si="5"/>
        <v>2541.4494000000004</v>
      </c>
      <c r="L11" s="521">
        <f t="shared" si="6"/>
        <v>137.58150000000001</v>
      </c>
      <c r="M11" s="521">
        <f t="shared" si="7"/>
        <v>5690.3708400000005</v>
      </c>
      <c r="N11" s="521">
        <f t="shared" si="8"/>
        <v>35885.701740000004</v>
      </c>
      <c r="O11" s="498"/>
      <c r="P11" s="748" t="s">
        <v>889</v>
      </c>
      <c r="Q11" s="149" t="s">
        <v>890</v>
      </c>
      <c r="R11" s="501">
        <f>G19</f>
        <v>32686.878210000003</v>
      </c>
      <c r="S11" s="737">
        <v>1560</v>
      </c>
      <c r="T11" s="504">
        <f t="shared" si="9"/>
        <v>20.95</v>
      </c>
      <c r="U11" s="502">
        <v>0.3</v>
      </c>
      <c r="V11" s="749">
        <v>0.6</v>
      </c>
    </row>
    <row r="12" spans="1:22" x14ac:dyDescent="0.25">
      <c r="A12" s="515">
        <v>3</v>
      </c>
      <c r="B12" s="505" t="s">
        <v>891</v>
      </c>
      <c r="C12" s="497">
        <v>22816.5</v>
      </c>
      <c r="D12" s="497">
        <f t="shared" si="0"/>
        <v>1892.8770000000002</v>
      </c>
      <c r="E12" s="506">
        <f t="shared" si="1"/>
        <v>114.0825</v>
      </c>
      <c r="F12" s="497">
        <f t="shared" si="2"/>
        <v>4718.4522000000006</v>
      </c>
      <c r="G12" s="507">
        <f t="shared" si="10"/>
        <v>29541.911700000001</v>
      </c>
      <c r="H12" s="520">
        <f t="shared" si="3"/>
        <v>22816.5</v>
      </c>
      <c r="I12" s="521">
        <v>5132.4000000000005</v>
      </c>
      <c r="J12" s="521">
        <f t="shared" si="4"/>
        <v>27948.9</v>
      </c>
      <c r="K12" s="521">
        <f t="shared" si="5"/>
        <v>2601.1482000000005</v>
      </c>
      <c r="L12" s="521">
        <f t="shared" si="6"/>
        <v>139.74450000000002</v>
      </c>
      <c r="M12" s="521">
        <f t="shared" si="7"/>
        <v>5779.8325200000008</v>
      </c>
      <c r="N12" s="521">
        <f t="shared" si="8"/>
        <v>36469.625220000002</v>
      </c>
      <c r="O12" s="498"/>
      <c r="P12" s="748" t="s">
        <v>889</v>
      </c>
      <c r="Q12" s="149" t="s">
        <v>892</v>
      </c>
      <c r="R12" s="501">
        <f>G22</f>
        <v>35993.415780000003</v>
      </c>
      <c r="S12" s="737">
        <v>1560</v>
      </c>
      <c r="T12" s="504">
        <f t="shared" si="9"/>
        <v>23.07</v>
      </c>
      <c r="U12" s="502">
        <v>0.3</v>
      </c>
      <c r="V12" s="749">
        <v>0.6</v>
      </c>
    </row>
    <row r="13" spans="1:22" x14ac:dyDescent="0.25">
      <c r="A13" s="515">
        <v>3</v>
      </c>
      <c r="B13" s="505" t="s">
        <v>893</v>
      </c>
      <c r="C13" s="497">
        <v>22816.5</v>
      </c>
      <c r="D13" s="497">
        <f t="shared" si="0"/>
        <v>1892.8770000000002</v>
      </c>
      <c r="E13" s="506">
        <f t="shared" si="1"/>
        <v>114.0825</v>
      </c>
      <c r="F13" s="497">
        <f t="shared" si="2"/>
        <v>4718.4522000000006</v>
      </c>
      <c r="G13" s="507">
        <f t="shared" si="10"/>
        <v>29541.911700000001</v>
      </c>
      <c r="H13" s="520">
        <f t="shared" si="3"/>
        <v>22816.5</v>
      </c>
      <c r="I13" s="521">
        <v>5132.4000000000005</v>
      </c>
      <c r="J13" s="521">
        <f t="shared" si="4"/>
        <v>27948.9</v>
      </c>
      <c r="K13" s="521">
        <f t="shared" si="5"/>
        <v>2601.1482000000005</v>
      </c>
      <c r="L13" s="521">
        <f t="shared" si="6"/>
        <v>139.74450000000002</v>
      </c>
      <c r="M13" s="521">
        <f t="shared" si="7"/>
        <v>5779.8325200000008</v>
      </c>
      <c r="N13" s="521">
        <f t="shared" si="8"/>
        <v>36469.625220000002</v>
      </c>
      <c r="O13" s="498"/>
      <c r="P13" s="748" t="s">
        <v>889</v>
      </c>
      <c r="Q13" s="149" t="s">
        <v>894</v>
      </c>
      <c r="R13" s="501">
        <f>G25</f>
        <v>35993.415780000003</v>
      </c>
      <c r="S13" s="737">
        <v>1560</v>
      </c>
      <c r="T13" s="504">
        <f t="shared" si="9"/>
        <v>23.07</v>
      </c>
      <c r="U13" s="502">
        <v>0.3</v>
      </c>
      <c r="V13" s="749">
        <v>0.6</v>
      </c>
    </row>
    <row r="14" spans="1:22" x14ac:dyDescent="0.25">
      <c r="A14" s="515">
        <v>3</v>
      </c>
      <c r="B14" s="505" t="s">
        <v>895</v>
      </c>
      <c r="C14" s="497">
        <v>24335.850000000002</v>
      </c>
      <c r="D14" s="497">
        <f t="shared" si="0"/>
        <v>2102.5473000000006</v>
      </c>
      <c r="E14" s="506">
        <f t="shared" si="1"/>
        <v>121.67925000000001</v>
      </c>
      <c r="F14" s="497">
        <f t="shared" si="2"/>
        <v>5032.6537800000006</v>
      </c>
      <c r="G14" s="507">
        <f t="shared" si="10"/>
        <v>31592.730330000006</v>
      </c>
      <c r="H14" s="520">
        <f t="shared" si="3"/>
        <v>24335.850000000002</v>
      </c>
      <c r="I14" s="521">
        <v>5132.4000000000005</v>
      </c>
      <c r="J14" s="521">
        <f t="shared" si="4"/>
        <v>29468.250000000004</v>
      </c>
      <c r="K14" s="521">
        <f t="shared" si="5"/>
        <v>2810.8185000000008</v>
      </c>
      <c r="L14" s="521">
        <f t="shared" si="6"/>
        <v>147.34125000000003</v>
      </c>
      <c r="M14" s="521">
        <f t="shared" si="7"/>
        <v>6094.0341000000008</v>
      </c>
      <c r="N14" s="521">
        <f t="shared" si="8"/>
        <v>38520.443850000011</v>
      </c>
      <c r="O14" s="498"/>
      <c r="P14" s="748" t="s">
        <v>896</v>
      </c>
      <c r="Q14" s="149" t="s">
        <v>897</v>
      </c>
      <c r="R14" s="501">
        <f>G26</f>
        <v>37088.980949999997</v>
      </c>
      <c r="S14" s="737">
        <v>1560</v>
      </c>
      <c r="T14" s="504">
        <f t="shared" si="9"/>
        <v>23.77</v>
      </c>
      <c r="U14" s="502">
        <v>0.3</v>
      </c>
      <c r="V14" s="749">
        <v>0.6</v>
      </c>
    </row>
    <row r="15" spans="1:22" x14ac:dyDescent="0.25">
      <c r="A15" s="515">
        <v>3</v>
      </c>
      <c r="B15" s="505" t="s">
        <v>898</v>
      </c>
      <c r="C15" s="497">
        <v>24335.850000000002</v>
      </c>
      <c r="D15" s="497">
        <f t="shared" si="0"/>
        <v>2102.5473000000006</v>
      </c>
      <c r="E15" s="506">
        <f t="shared" si="1"/>
        <v>121.67925000000001</v>
      </c>
      <c r="F15" s="497">
        <f t="shared" si="2"/>
        <v>5032.6537800000006</v>
      </c>
      <c r="G15" s="507">
        <f t="shared" si="10"/>
        <v>31592.730330000006</v>
      </c>
      <c r="H15" s="520">
        <f t="shared" si="3"/>
        <v>24335.850000000002</v>
      </c>
      <c r="I15" s="521">
        <v>5132.4000000000005</v>
      </c>
      <c r="J15" s="521">
        <f t="shared" si="4"/>
        <v>29468.250000000004</v>
      </c>
      <c r="K15" s="521">
        <f t="shared" si="5"/>
        <v>2810.8185000000008</v>
      </c>
      <c r="L15" s="521">
        <f t="shared" si="6"/>
        <v>147.34125000000003</v>
      </c>
      <c r="M15" s="521">
        <f t="shared" si="7"/>
        <v>6094.0341000000008</v>
      </c>
      <c r="N15" s="521">
        <f t="shared" si="8"/>
        <v>38520.443850000011</v>
      </c>
      <c r="O15" s="498"/>
      <c r="P15" s="748" t="s">
        <v>896</v>
      </c>
      <c r="Q15" s="149" t="s">
        <v>899</v>
      </c>
      <c r="R15" s="501">
        <f>G29</f>
        <v>40100.722199999997</v>
      </c>
      <c r="S15" s="737">
        <v>1560</v>
      </c>
      <c r="T15" s="504">
        <f t="shared" si="9"/>
        <v>25.71</v>
      </c>
      <c r="U15" s="502">
        <v>0.3</v>
      </c>
      <c r="V15" s="749">
        <v>0.6</v>
      </c>
    </row>
    <row r="16" spans="1:22" x14ac:dyDescent="0.25">
      <c r="A16" s="515">
        <v>3</v>
      </c>
      <c r="B16" s="505" t="s">
        <v>900</v>
      </c>
      <c r="C16" s="497">
        <v>24335.850000000002</v>
      </c>
      <c r="D16" s="497">
        <f t="shared" si="0"/>
        <v>2102.5473000000006</v>
      </c>
      <c r="E16" s="506">
        <f t="shared" si="1"/>
        <v>121.67925000000001</v>
      </c>
      <c r="F16" s="497">
        <f t="shared" si="2"/>
        <v>5032.6537800000006</v>
      </c>
      <c r="G16" s="507">
        <f t="shared" si="10"/>
        <v>31592.730330000006</v>
      </c>
      <c r="H16" s="520">
        <f t="shared" si="3"/>
        <v>24335.850000000002</v>
      </c>
      <c r="I16" s="521">
        <v>5132.4000000000005</v>
      </c>
      <c r="J16" s="521">
        <f t="shared" si="4"/>
        <v>29468.250000000004</v>
      </c>
      <c r="K16" s="521">
        <f t="shared" si="5"/>
        <v>2810.8185000000008</v>
      </c>
      <c r="L16" s="521">
        <f t="shared" si="6"/>
        <v>147.34125000000003</v>
      </c>
      <c r="M16" s="521">
        <f t="shared" si="7"/>
        <v>6094.0341000000008</v>
      </c>
      <c r="N16" s="521">
        <f t="shared" si="8"/>
        <v>38520.443850000011</v>
      </c>
      <c r="O16" s="498"/>
      <c r="P16" s="748" t="s">
        <v>896</v>
      </c>
      <c r="Q16" s="149" t="s">
        <v>901</v>
      </c>
      <c r="R16" s="501">
        <f>G33</f>
        <v>45421.22886000001</v>
      </c>
      <c r="S16" s="737">
        <v>1560</v>
      </c>
      <c r="T16" s="504">
        <f t="shared" si="9"/>
        <v>29.12</v>
      </c>
      <c r="U16" s="502">
        <v>0.3</v>
      </c>
      <c r="V16" s="749">
        <v>0.6</v>
      </c>
    </row>
    <row r="17" spans="1:22" x14ac:dyDescent="0.25">
      <c r="A17" s="515">
        <v>3</v>
      </c>
      <c r="B17" s="505" t="s">
        <v>902</v>
      </c>
      <c r="C17" s="497">
        <v>24335.850000000002</v>
      </c>
      <c r="D17" s="497">
        <f t="shared" si="0"/>
        <v>2102.5473000000006</v>
      </c>
      <c r="E17" s="506">
        <f t="shared" si="1"/>
        <v>121.67925000000001</v>
      </c>
      <c r="F17" s="497">
        <f t="shared" si="2"/>
        <v>5032.6537800000006</v>
      </c>
      <c r="G17" s="507">
        <f t="shared" si="10"/>
        <v>31592.730330000006</v>
      </c>
      <c r="H17" s="520">
        <f t="shared" si="3"/>
        <v>24335.850000000002</v>
      </c>
      <c r="I17" s="521">
        <v>5132.4000000000005</v>
      </c>
      <c r="J17" s="521">
        <f t="shared" si="4"/>
        <v>29468.250000000004</v>
      </c>
      <c r="K17" s="521">
        <f t="shared" si="5"/>
        <v>2810.8185000000008</v>
      </c>
      <c r="L17" s="521">
        <f t="shared" si="6"/>
        <v>147.34125000000003</v>
      </c>
      <c r="M17" s="521">
        <f t="shared" si="7"/>
        <v>6094.0341000000008</v>
      </c>
      <c r="N17" s="521">
        <f t="shared" si="8"/>
        <v>38520.443850000011</v>
      </c>
      <c r="O17" s="498"/>
      <c r="P17" s="748" t="s">
        <v>903</v>
      </c>
      <c r="Q17" s="149" t="s">
        <v>904</v>
      </c>
      <c r="R17" s="501">
        <f>G34</f>
        <v>46515.37674</v>
      </c>
      <c r="S17" s="737">
        <v>1560</v>
      </c>
      <c r="T17" s="504">
        <f t="shared" si="9"/>
        <v>29.82</v>
      </c>
      <c r="U17" s="502">
        <v>0.3</v>
      </c>
      <c r="V17" s="749">
        <v>0.6</v>
      </c>
    </row>
    <row r="18" spans="1:22" x14ac:dyDescent="0.25">
      <c r="A18" s="515">
        <v>3</v>
      </c>
      <c r="B18" s="505" t="s">
        <v>905</v>
      </c>
      <c r="C18" s="497">
        <v>24335.850000000002</v>
      </c>
      <c r="D18" s="497">
        <f t="shared" si="0"/>
        <v>2102.5473000000006</v>
      </c>
      <c r="E18" s="506">
        <f t="shared" si="1"/>
        <v>121.67925000000001</v>
      </c>
      <c r="F18" s="497">
        <f t="shared" si="2"/>
        <v>5032.6537800000006</v>
      </c>
      <c r="G18" s="507">
        <f t="shared" si="10"/>
        <v>31592.730330000006</v>
      </c>
      <c r="H18" s="520">
        <f t="shared" si="3"/>
        <v>24335.850000000002</v>
      </c>
      <c r="I18" s="521">
        <v>5132.4000000000005</v>
      </c>
      <c r="J18" s="521">
        <f t="shared" si="4"/>
        <v>29468.250000000004</v>
      </c>
      <c r="K18" s="521">
        <f t="shared" si="5"/>
        <v>2810.8185000000008</v>
      </c>
      <c r="L18" s="521">
        <f t="shared" si="6"/>
        <v>147.34125000000003</v>
      </c>
      <c r="M18" s="521">
        <f t="shared" si="7"/>
        <v>6094.0341000000008</v>
      </c>
      <c r="N18" s="521">
        <f t="shared" si="8"/>
        <v>38520.443850000011</v>
      </c>
      <c r="O18" s="498"/>
      <c r="P18" s="748" t="s">
        <v>903</v>
      </c>
      <c r="Q18" s="149" t="s">
        <v>717</v>
      </c>
      <c r="R18" s="501">
        <f>G38</f>
        <v>49160.039879999989</v>
      </c>
      <c r="S18" s="737">
        <v>1560</v>
      </c>
      <c r="T18" s="504">
        <f t="shared" si="9"/>
        <v>31.51</v>
      </c>
      <c r="U18" s="502">
        <v>0.3</v>
      </c>
      <c r="V18" s="749">
        <v>0.6</v>
      </c>
    </row>
    <row r="19" spans="1:22" x14ac:dyDescent="0.25">
      <c r="A19" s="515">
        <v>4</v>
      </c>
      <c r="B19" s="505" t="s">
        <v>906</v>
      </c>
      <c r="C19" s="497">
        <v>25146.45</v>
      </c>
      <c r="D19" s="497">
        <f t="shared" si="0"/>
        <v>2214.4101000000005</v>
      </c>
      <c r="E19" s="506">
        <f t="shared" si="1"/>
        <v>125.73225000000001</v>
      </c>
      <c r="F19" s="497">
        <f t="shared" si="2"/>
        <v>5200.2858600000009</v>
      </c>
      <c r="G19" s="507">
        <f t="shared" si="10"/>
        <v>32686.878210000003</v>
      </c>
      <c r="H19" s="520">
        <f t="shared" si="3"/>
        <v>25146.45</v>
      </c>
      <c r="I19" s="521">
        <v>5132.4000000000005</v>
      </c>
      <c r="J19" s="521">
        <f t="shared" si="4"/>
        <v>30278.850000000002</v>
      </c>
      <c r="K19" s="521">
        <f t="shared" si="5"/>
        <v>2922.6813000000006</v>
      </c>
      <c r="L19" s="521">
        <f t="shared" si="6"/>
        <v>151.39425000000003</v>
      </c>
      <c r="M19" s="521">
        <f t="shared" si="7"/>
        <v>6261.6661800000011</v>
      </c>
      <c r="N19" s="521">
        <f t="shared" si="8"/>
        <v>39614.59173</v>
      </c>
      <c r="O19" s="498"/>
      <c r="P19" s="748" t="s">
        <v>903</v>
      </c>
      <c r="Q19" s="149" t="s">
        <v>907</v>
      </c>
      <c r="R19" s="501">
        <f>G42</f>
        <v>56269.166519999999</v>
      </c>
      <c r="S19" s="737">
        <v>1560</v>
      </c>
      <c r="T19" s="504">
        <f t="shared" si="9"/>
        <v>36.07</v>
      </c>
      <c r="U19" s="502">
        <v>0.3</v>
      </c>
      <c r="V19" s="749">
        <v>0.6</v>
      </c>
    </row>
    <row r="20" spans="1:22" x14ac:dyDescent="0.25">
      <c r="A20" s="515">
        <v>4</v>
      </c>
      <c r="B20" s="505" t="s">
        <v>908</v>
      </c>
      <c r="C20" s="497">
        <v>25146.45</v>
      </c>
      <c r="D20" s="497">
        <f t="shared" si="0"/>
        <v>2214.4101000000005</v>
      </c>
      <c r="E20" s="506">
        <f t="shared" si="1"/>
        <v>125.73225000000001</v>
      </c>
      <c r="F20" s="497">
        <f t="shared" si="2"/>
        <v>5200.2858600000009</v>
      </c>
      <c r="G20" s="507">
        <f t="shared" si="10"/>
        <v>32686.878210000003</v>
      </c>
      <c r="H20" s="520">
        <f t="shared" si="3"/>
        <v>25146.45</v>
      </c>
      <c r="I20" s="521">
        <v>5132.4000000000005</v>
      </c>
      <c r="J20" s="521">
        <f t="shared" si="4"/>
        <v>30278.850000000002</v>
      </c>
      <c r="K20" s="521">
        <f t="shared" si="5"/>
        <v>2922.6813000000006</v>
      </c>
      <c r="L20" s="521">
        <f t="shared" si="6"/>
        <v>151.39425000000003</v>
      </c>
      <c r="M20" s="521">
        <f t="shared" si="7"/>
        <v>6261.6661800000011</v>
      </c>
      <c r="N20" s="521">
        <f t="shared" si="8"/>
        <v>39614.59173</v>
      </c>
      <c r="O20" s="498"/>
      <c r="P20" s="748" t="s">
        <v>909</v>
      </c>
      <c r="Q20" s="149" t="s">
        <v>910</v>
      </c>
      <c r="R20" s="501">
        <f>G43</f>
        <v>57787.084110000011</v>
      </c>
      <c r="S20" s="737">
        <v>1560</v>
      </c>
      <c r="T20" s="504">
        <f t="shared" si="9"/>
        <v>37.04</v>
      </c>
      <c r="U20" s="502">
        <v>0.3</v>
      </c>
      <c r="V20" s="749">
        <v>0.6</v>
      </c>
    </row>
    <row r="21" spans="1:22" x14ac:dyDescent="0.25">
      <c r="A21" s="515">
        <v>4</v>
      </c>
      <c r="B21" s="505" t="s">
        <v>911</v>
      </c>
      <c r="C21" s="497">
        <v>25146.45</v>
      </c>
      <c r="D21" s="497">
        <f t="shared" si="0"/>
        <v>2214.4101000000005</v>
      </c>
      <c r="E21" s="506">
        <f t="shared" si="1"/>
        <v>125.73225000000001</v>
      </c>
      <c r="F21" s="497">
        <f t="shared" si="2"/>
        <v>5200.2858600000009</v>
      </c>
      <c r="G21" s="507">
        <f t="shared" si="10"/>
        <v>32686.878210000003</v>
      </c>
      <c r="H21" s="520">
        <f t="shared" si="3"/>
        <v>25146.45</v>
      </c>
      <c r="I21" s="521">
        <v>5132.4000000000005</v>
      </c>
      <c r="J21" s="521">
        <f t="shared" si="4"/>
        <v>30278.850000000002</v>
      </c>
      <c r="K21" s="521">
        <f t="shared" si="5"/>
        <v>2922.6813000000006</v>
      </c>
      <c r="L21" s="521">
        <f t="shared" si="6"/>
        <v>151.39425000000003</v>
      </c>
      <c r="M21" s="521">
        <f t="shared" si="7"/>
        <v>6261.6661800000011</v>
      </c>
      <c r="N21" s="521">
        <f t="shared" si="8"/>
        <v>39614.59173</v>
      </c>
      <c r="O21" s="498"/>
      <c r="P21" s="748" t="s">
        <v>909</v>
      </c>
      <c r="Q21" s="149" t="s">
        <v>706</v>
      </c>
      <c r="R21" s="501">
        <f>G47</f>
        <v>60830.005740000008</v>
      </c>
      <c r="S21" s="737">
        <v>1560</v>
      </c>
      <c r="T21" s="504">
        <f t="shared" si="9"/>
        <v>38.99</v>
      </c>
      <c r="U21" s="502">
        <v>0.3</v>
      </c>
      <c r="V21" s="749">
        <v>0.6</v>
      </c>
    </row>
    <row r="22" spans="1:22" x14ac:dyDescent="0.25">
      <c r="A22" s="515">
        <v>4</v>
      </c>
      <c r="B22" s="505" t="s">
        <v>912</v>
      </c>
      <c r="C22" s="497">
        <v>27596.100000000002</v>
      </c>
      <c r="D22" s="497">
        <f t="shared" si="0"/>
        <v>2552.4618000000005</v>
      </c>
      <c r="E22" s="506">
        <f t="shared" si="1"/>
        <v>137.98050000000001</v>
      </c>
      <c r="F22" s="497">
        <f t="shared" si="2"/>
        <v>5706.8734800000011</v>
      </c>
      <c r="G22" s="507">
        <f t="shared" si="10"/>
        <v>35993.415780000003</v>
      </c>
      <c r="H22" s="520">
        <f t="shared" si="3"/>
        <v>27596.100000000002</v>
      </c>
      <c r="I22" s="521">
        <v>5519.2200000000012</v>
      </c>
      <c r="J22" s="521">
        <f t="shared" si="4"/>
        <v>33115.320000000007</v>
      </c>
      <c r="K22" s="521">
        <f t="shared" si="5"/>
        <v>3314.1141600000014</v>
      </c>
      <c r="L22" s="521">
        <f t="shared" si="6"/>
        <v>165.57660000000004</v>
      </c>
      <c r="M22" s="521">
        <f t="shared" si="7"/>
        <v>6848.2481760000019</v>
      </c>
      <c r="N22" s="521">
        <f t="shared" si="8"/>
        <v>43443.258936000013</v>
      </c>
      <c r="O22" s="498"/>
      <c r="P22" s="748" t="s">
        <v>909</v>
      </c>
      <c r="Q22" s="149" t="s">
        <v>913</v>
      </c>
      <c r="R22" s="501">
        <f>G51</f>
        <v>66309.248879999999</v>
      </c>
      <c r="S22" s="737">
        <v>1560</v>
      </c>
      <c r="T22" s="504">
        <f t="shared" si="9"/>
        <v>42.51</v>
      </c>
      <c r="U22" s="502">
        <v>0.3</v>
      </c>
      <c r="V22" s="749">
        <v>0.6</v>
      </c>
    </row>
    <row r="23" spans="1:22" x14ac:dyDescent="0.25">
      <c r="A23" s="515">
        <v>4</v>
      </c>
      <c r="B23" s="505" t="s">
        <v>914</v>
      </c>
      <c r="C23" s="497">
        <v>27596.100000000002</v>
      </c>
      <c r="D23" s="497">
        <f t="shared" si="0"/>
        <v>2552.4618000000005</v>
      </c>
      <c r="E23" s="506">
        <f t="shared" si="1"/>
        <v>137.98050000000001</v>
      </c>
      <c r="F23" s="497">
        <f t="shared" si="2"/>
        <v>5706.8734800000011</v>
      </c>
      <c r="G23" s="507">
        <f t="shared" si="10"/>
        <v>35993.415780000003</v>
      </c>
      <c r="H23" s="520">
        <f t="shared" si="3"/>
        <v>27596.100000000002</v>
      </c>
      <c r="I23" s="521">
        <v>5519.2200000000012</v>
      </c>
      <c r="J23" s="521">
        <f t="shared" si="4"/>
        <v>33115.320000000007</v>
      </c>
      <c r="K23" s="521">
        <f t="shared" si="5"/>
        <v>3314.1141600000014</v>
      </c>
      <c r="L23" s="521">
        <f t="shared" si="6"/>
        <v>165.57660000000004</v>
      </c>
      <c r="M23" s="521">
        <f t="shared" si="7"/>
        <v>6848.2481760000019</v>
      </c>
      <c r="N23" s="521">
        <f t="shared" si="8"/>
        <v>43443.258936000013</v>
      </c>
      <c r="O23" s="498"/>
      <c r="P23" s="748" t="s">
        <v>915</v>
      </c>
      <c r="Q23" s="149" t="s">
        <v>916</v>
      </c>
      <c r="R23" s="501">
        <f>G52</f>
        <v>67519.61454000001</v>
      </c>
      <c r="S23" s="737">
        <v>1560</v>
      </c>
      <c r="T23" s="504">
        <f t="shared" si="9"/>
        <v>43.28</v>
      </c>
      <c r="U23" s="502">
        <v>0.3</v>
      </c>
      <c r="V23" s="749">
        <v>0.6</v>
      </c>
    </row>
    <row r="24" spans="1:22" x14ac:dyDescent="0.25">
      <c r="A24" s="515">
        <v>4</v>
      </c>
      <c r="B24" s="505" t="s">
        <v>917</v>
      </c>
      <c r="C24" s="497">
        <v>27596.100000000002</v>
      </c>
      <c r="D24" s="497">
        <f t="shared" si="0"/>
        <v>2552.4618000000005</v>
      </c>
      <c r="E24" s="506">
        <f t="shared" si="1"/>
        <v>137.98050000000001</v>
      </c>
      <c r="F24" s="497">
        <f t="shared" si="2"/>
        <v>5706.8734800000011</v>
      </c>
      <c r="G24" s="507">
        <f t="shared" si="10"/>
        <v>35993.415780000003</v>
      </c>
      <c r="H24" s="520">
        <f t="shared" si="3"/>
        <v>27596.100000000002</v>
      </c>
      <c r="I24" s="521">
        <v>5519.2200000000012</v>
      </c>
      <c r="J24" s="521">
        <f t="shared" si="4"/>
        <v>33115.320000000007</v>
      </c>
      <c r="K24" s="521">
        <f t="shared" si="5"/>
        <v>3314.1141600000014</v>
      </c>
      <c r="L24" s="521">
        <f t="shared" si="6"/>
        <v>165.57660000000004</v>
      </c>
      <c r="M24" s="521">
        <f t="shared" si="7"/>
        <v>6848.2481760000019</v>
      </c>
      <c r="N24" s="521">
        <f t="shared" si="8"/>
        <v>43443.258936000013</v>
      </c>
      <c r="O24" s="498"/>
      <c r="P24" s="748" t="s">
        <v>915</v>
      </c>
      <c r="Q24" s="149" t="s">
        <v>711</v>
      </c>
      <c r="R24" s="501">
        <f>G54</f>
        <v>67519.61454000001</v>
      </c>
      <c r="S24" s="737">
        <v>1560</v>
      </c>
      <c r="T24" s="504">
        <f t="shared" si="9"/>
        <v>43.28</v>
      </c>
      <c r="U24" s="502">
        <v>0.3</v>
      </c>
      <c r="V24" s="749">
        <v>0.6</v>
      </c>
    </row>
    <row r="25" spans="1:22" x14ac:dyDescent="0.25">
      <c r="A25" s="515">
        <v>4</v>
      </c>
      <c r="B25" s="505" t="s">
        <v>918</v>
      </c>
      <c r="C25" s="497">
        <v>27596.100000000002</v>
      </c>
      <c r="D25" s="497">
        <f t="shared" si="0"/>
        <v>2552.4618000000005</v>
      </c>
      <c r="E25" s="506">
        <f t="shared" si="1"/>
        <v>137.98050000000001</v>
      </c>
      <c r="F25" s="497">
        <f t="shared" si="2"/>
        <v>5706.8734800000011</v>
      </c>
      <c r="G25" s="507">
        <f t="shared" si="10"/>
        <v>35993.415780000003</v>
      </c>
      <c r="H25" s="520">
        <f t="shared" si="3"/>
        <v>27596.100000000002</v>
      </c>
      <c r="I25" s="521">
        <v>5519.2200000000012</v>
      </c>
      <c r="J25" s="521">
        <f t="shared" si="4"/>
        <v>33115.320000000007</v>
      </c>
      <c r="K25" s="521">
        <f t="shared" si="5"/>
        <v>3314.1141600000014</v>
      </c>
      <c r="L25" s="521">
        <f t="shared" si="6"/>
        <v>165.57660000000004</v>
      </c>
      <c r="M25" s="521">
        <f t="shared" si="7"/>
        <v>6848.2481760000019</v>
      </c>
      <c r="N25" s="521">
        <f t="shared" si="8"/>
        <v>43443.258936000013</v>
      </c>
      <c r="O25" s="498"/>
      <c r="P25" s="748" t="s">
        <v>915</v>
      </c>
      <c r="Q25" s="149" t="s">
        <v>919</v>
      </c>
      <c r="R25" s="501">
        <f>G57</f>
        <v>76155.162510000009</v>
      </c>
      <c r="S25" s="737">
        <v>1560</v>
      </c>
      <c r="T25" s="504">
        <f t="shared" si="9"/>
        <v>48.82</v>
      </c>
      <c r="U25" s="502">
        <v>0.3</v>
      </c>
      <c r="V25" s="749">
        <v>0.6</v>
      </c>
    </row>
    <row r="26" spans="1:22" x14ac:dyDescent="0.25">
      <c r="A26" s="515">
        <v>5</v>
      </c>
      <c r="B26" s="505" t="s">
        <v>920</v>
      </c>
      <c r="C26" s="497">
        <v>28407.75</v>
      </c>
      <c r="D26" s="497">
        <f t="shared" si="0"/>
        <v>2664.4695000000002</v>
      </c>
      <c r="E26" s="506">
        <f t="shared" si="1"/>
        <v>142.03874999999999</v>
      </c>
      <c r="F26" s="497">
        <f t="shared" si="2"/>
        <v>5874.7227000000003</v>
      </c>
      <c r="G26" s="507">
        <f t="shared" si="10"/>
        <v>37088.980949999997</v>
      </c>
      <c r="H26" s="520">
        <f t="shared" si="3"/>
        <v>28407.75</v>
      </c>
      <c r="I26" s="521">
        <v>5681.55</v>
      </c>
      <c r="J26" s="521">
        <f t="shared" si="4"/>
        <v>34089.300000000003</v>
      </c>
      <c r="K26" s="521">
        <f t="shared" si="5"/>
        <v>3448.5234000000005</v>
      </c>
      <c r="L26" s="521">
        <f t="shared" si="6"/>
        <v>170.44650000000001</v>
      </c>
      <c r="M26" s="521">
        <f t="shared" si="7"/>
        <v>7049.6672400000007</v>
      </c>
      <c r="N26" s="521">
        <f t="shared" si="8"/>
        <v>44757.937140000002</v>
      </c>
      <c r="O26" s="498"/>
      <c r="P26" s="748" t="s">
        <v>921</v>
      </c>
      <c r="Q26" s="149" t="s">
        <v>922</v>
      </c>
      <c r="R26" s="501">
        <f>G58</f>
        <v>78344.875560000015</v>
      </c>
      <c r="S26" s="737">
        <v>1560</v>
      </c>
      <c r="T26" s="504">
        <f t="shared" si="9"/>
        <v>50.22</v>
      </c>
      <c r="U26" s="502">
        <v>0.3</v>
      </c>
      <c r="V26" s="749">
        <v>0.6</v>
      </c>
    </row>
    <row r="27" spans="1:22" x14ac:dyDescent="0.25">
      <c r="A27" s="515">
        <v>5</v>
      </c>
      <c r="B27" s="505" t="s">
        <v>923</v>
      </c>
      <c r="C27" s="497">
        <v>28407.75</v>
      </c>
      <c r="D27" s="497">
        <f t="shared" si="0"/>
        <v>2664.4695000000002</v>
      </c>
      <c r="E27" s="506">
        <f t="shared" si="1"/>
        <v>142.03874999999999</v>
      </c>
      <c r="F27" s="497">
        <f t="shared" si="2"/>
        <v>5874.7227000000003</v>
      </c>
      <c r="G27" s="507">
        <f t="shared" si="10"/>
        <v>37088.980949999997</v>
      </c>
      <c r="H27" s="520">
        <f t="shared" si="3"/>
        <v>28407.75</v>
      </c>
      <c r="I27" s="521">
        <v>5681.55</v>
      </c>
      <c r="J27" s="521">
        <f t="shared" si="4"/>
        <v>34089.300000000003</v>
      </c>
      <c r="K27" s="521">
        <f t="shared" si="5"/>
        <v>3448.5234000000005</v>
      </c>
      <c r="L27" s="521">
        <f t="shared" si="6"/>
        <v>170.44650000000001</v>
      </c>
      <c r="M27" s="521">
        <f t="shared" si="7"/>
        <v>7049.6672400000007</v>
      </c>
      <c r="N27" s="521">
        <f t="shared" si="8"/>
        <v>44757.937140000002</v>
      </c>
      <c r="O27" s="498"/>
      <c r="P27" s="748" t="s">
        <v>921</v>
      </c>
      <c r="Q27" s="149" t="s">
        <v>924</v>
      </c>
      <c r="R27" s="501">
        <f>G60</f>
        <v>78344.875560000015</v>
      </c>
      <c r="S27" s="737">
        <v>1560</v>
      </c>
      <c r="T27" s="504">
        <f t="shared" si="9"/>
        <v>50.22</v>
      </c>
      <c r="U27" s="502">
        <v>0.3</v>
      </c>
      <c r="V27" s="749">
        <v>0.6</v>
      </c>
    </row>
    <row r="28" spans="1:22" x14ac:dyDescent="0.25">
      <c r="A28" s="515">
        <v>5</v>
      </c>
      <c r="B28" s="505" t="s">
        <v>925</v>
      </c>
      <c r="C28" s="497">
        <v>30639</v>
      </c>
      <c r="D28" s="497">
        <f t="shared" si="0"/>
        <v>2972.3820000000001</v>
      </c>
      <c r="E28" s="506">
        <f t="shared" si="1"/>
        <v>153.19499999999999</v>
      </c>
      <c r="F28" s="497">
        <f t="shared" si="2"/>
        <v>6336.1451999999999</v>
      </c>
      <c r="G28" s="507">
        <f t="shared" si="10"/>
        <v>40100.722199999997</v>
      </c>
      <c r="H28" s="520">
        <f t="shared" si="3"/>
        <v>30639</v>
      </c>
      <c r="I28" s="521">
        <v>6127.8</v>
      </c>
      <c r="J28" s="521">
        <f t="shared" si="4"/>
        <v>36766.800000000003</v>
      </c>
      <c r="K28" s="521">
        <f t="shared" si="5"/>
        <v>3818.0184000000008</v>
      </c>
      <c r="L28" s="521">
        <f t="shared" si="6"/>
        <v>183.83400000000003</v>
      </c>
      <c r="M28" s="521">
        <f t="shared" si="7"/>
        <v>7603.374240000001</v>
      </c>
      <c r="N28" s="521">
        <f t="shared" si="8"/>
        <v>48372.026640000011</v>
      </c>
      <c r="O28" s="498"/>
      <c r="P28" s="748" t="s">
        <v>921</v>
      </c>
      <c r="Q28" s="149" t="s">
        <v>926</v>
      </c>
      <c r="R28" s="501">
        <f>G63</f>
        <v>91239.379980000012</v>
      </c>
      <c r="S28" s="737">
        <v>1560</v>
      </c>
      <c r="T28" s="504">
        <f t="shared" si="9"/>
        <v>58.49</v>
      </c>
      <c r="U28" s="502">
        <v>0.3</v>
      </c>
      <c r="V28" s="749">
        <v>0.6</v>
      </c>
    </row>
    <row r="29" spans="1:22" x14ac:dyDescent="0.25">
      <c r="A29" s="515">
        <v>5</v>
      </c>
      <c r="B29" s="505" t="s">
        <v>927</v>
      </c>
      <c r="C29" s="497">
        <v>30639</v>
      </c>
      <c r="D29" s="497">
        <f t="shared" si="0"/>
        <v>2972.3820000000001</v>
      </c>
      <c r="E29" s="506">
        <f t="shared" si="1"/>
        <v>153.19499999999999</v>
      </c>
      <c r="F29" s="497">
        <f t="shared" si="2"/>
        <v>6336.1451999999999</v>
      </c>
      <c r="G29" s="507">
        <f t="shared" si="10"/>
        <v>40100.722199999997</v>
      </c>
      <c r="H29" s="520">
        <f t="shared" si="3"/>
        <v>30639</v>
      </c>
      <c r="I29" s="521">
        <v>6127.8</v>
      </c>
      <c r="J29" s="521">
        <f t="shared" si="4"/>
        <v>36766.800000000003</v>
      </c>
      <c r="K29" s="521">
        <f t="shared" si="5"/>
        <v>3818.0184000000008</v>
      </c>
      <c r="L29" s="521">
        <f t="shared" si="6"/>
        <v>183.83400000000003</v>
      </c>
      <c r="M29" s="521">
        <f t="shared" si="7"/>
        <v>7603.374240000001</v>
      </c>
      <c r="N29" s="521">
        <f t="shared" si="8"/>
        <v>48372.026640000011</v>
      </c>
      <c r="O29" s="498"/>
      <c r="P29" s="748" t="s">
        <v>928</v>
      </c>
      <c r="Q29" s="149" t="s">
        <v>929</v>
      </c>
      <c r="R29" s="501">
        <f>G64</f>
        <v>93793.336559999996</v>
      </c>
      <c r="S29" s="737">
        <v>1560</v>
      </c>
      <c r="T29" s="504">
        <f t="shared" si="9"/>
        <v>60.12</v>
      </c>
      <c r="U29" s="502">
        <v>0.3</v>
      </c>
      <c r="V29" s="749">
        <v>0.6</v>
      </c>
    </row>
    <row r="30" spans="1:22" x14ac:dyDescent="0.25">
      <c r="A30" s="515">
        <v>5</v>
      </c>
      <c r="B30" s="505" t="s">
        <v>930</v>
      </c>
      <c r="C30" s="497">
        <v>34580.700000000004</v>
      </c>
      <c r="D30" s="497">
        <f t="shared" si="0"/>
        <v>3516.336600000001</v>
      </c>
      <c r="E30" s="506">
        <f t="shared" si="1"/>
        <v>172.90350000000004</v>
      </c>
      <c r="F30" s="497">
        <f t="shared" si="2"/>
        <v>7151.2887600000013</v>
      </c>
      <c r="G30" s="507">
        <f t="shared" si="10"/>
        <v>45421.22886000001</v>
      </c>
      <c r="H30" s="520">
        <f t="shared" si="3"/>
        <v>34580.700000000004</v>
      </c>
      <c r="I30" s="521">
        <v>6916.14</v>
      </c>
      <c r="J30" s="521">
        <f t="shared" si="4"/>
        <v>41496.840000000004</v>
      </c>
      <c r="K30" s="521">
        <f t="shared" si="5"/>
        <v>4470.7639200000012</v>
      </c>
      <c r="L30" s="521">
        <f t="shared" si="6"/>
        <v>207.48420000000002</v>
      </c>
      <c r="M30" s="521">
        <f t="shared" si="7"/>
        <v>8581.5465120000008</v>
      </c>
      <c r="N30" s="521">
        <f t="shared" si="8"/>
        <v>54756.634632000008</v>
      </c>
      <c r="O30" s="498"/>
      <c r="P30" s="748" t="s">
        <v>928</v>
      </c>
      <c r="Q30" s="149" t="s">
        <v>931</v>
      </c>
      <c r="R30" s="501">
        <f>G66</f>
        <v>93793.336559999996</v>
      </c>
      <c r="S30" s="737">
        <v>1560</v>
      </c>
      <c r="T30" s="504">
        <f t="shared" si="9"/>
        <v>60.12</v>
      </c>
      <c r="U30" s="502">
        <v>0.3</v>
      </c>
      <c r="V30" s="749">
        <v>0.6</v>
      </c>
    </row>
    <row r="31" spans="1:22" x14ac:dyDescent="0.25">
      <c r="A31" s="515">
        <v>5</v>
      </c>
      <c r="B31" s="505" t="s">
        <v>932</v>
      </c>
      <c r="C31" s="497">
        <v>34580.700000000004</v>
      </c>
      <c r="D31" s="497">
        <f t="shared" si="0"/>
        <v>3516.336600000001</v>
      </c>
      <c r="E31" s="506">
        <f t="shared" si="1"/>
        <v>172.90350000000004</v>
      </c>
      <c r="F31" s="497">
        <f t="shared" si="2"/>
        <v>7151.2887600000013</v>
      </c>
      <c r="G31" s="507">
        <f t="shared" si="10"/>
        <v>45421.22886000001</v>
      </c>
      <c r="H31" s="520">
        <f t="shared" si="3"/>
        <v>34580.700000000004</v>
      </c>
      <c r="I31" s="521">
        <v>6916.14</v>
      </c>
      <c r="J31" s="521">
        <f t="shared" si="4"/>
        <v>41496.840000000004</v>
      </c>
      <c r="K31" s="521">
        <f t="shared" si="5"/>
        <v>4470.7639200000012</v>
      </c>
      <c r="L31" s="521">
        <f t="shared" si="6"/>
        <v>207.48420000000002</v>
      </c>
      <c r="M31" s="521">
        <f t="shared" si="7"/>
        <v>8581.5465120000008</v>
      </c>
      <c r="N31" s="521">
        <f t="shared" si="8"/>
        <v>54756.634632000008</v>
      </c>
      <c r="O31" s="498"/>
      <c r="P31" s="748" t="s">
        <v>928</v>
      </c>
      <c r="Q31" s="149" t="s">
        <v>933</v>
      </c>
      <c r="R31" s="501">
        <f>G69</f>
        <v>108263.86746000001</v>
      </c>
      <c r="S31" s="737">
        <v>1560</v>
      </c>
      <c r="T31" s="504">
        <f t="shared" si="9"/>
        <v>69.400000000000006</v>
      </c>
      <c r="U31" s="502">
        <v>0.3</v>
      </c>
      <c r="V31" s="749">
        <v>0.6</v>
      </c>
    </row>
    <row r="32" spans="1:22" x14ac:dyDescent="0.25">
      <c r="A32" s="515">
        <v>5</v>
      </c>
      <c r="B32" s="505" t="s">
        <v>934</v>
      </c>
      <c r="C32" s="497">
        <v>34580.700000000004</v>
      </c>
      <c r="D32" s="497">
        <f t="shared" si="0"/>
        <v>3516.336600000001</v>
      </c>
      <c r="E32" s="506">
        <f t="shared" si="1"/>
        <v>172.90350000000004</v>
      </c>
      <c r="F32" s="497">
        <f t="shared" si="2"/>
        <v>7151.2887600000013</v>
      </c>
      <c r="G32" s="507">
        <f t="shared" si="10"/>
        <v>45421.22886000001</v>
      </c>
      <c r="H32" s="520">
        <f t="shared" si="3"/>
        <v>34580.700000000004</v>
      </c>
      <c r="I32" s="521">
        <v>6916.14</v>
      </c>
      <c r="J32" s="521">
        <f t="shared" si="4"/>
        <v>41496.840000000004</v>
      </c>
      <c r="K32" s="521">
        <f t="shared" si="5"/>
        <v>4470.7639200000012</v>
      </c>
      <c r="L32" s="521">
        <f t="shared" si="6"/>
        <v>207.48420000000002</v>
      </c>
      <c r="M32" s="521">
        <f t="shared" si="7"/>
        <v>8581.5465120000008</v>
      </c>
      <c r="N32" s="521">
        <f t="shared" si="8"/>
        <v>54756.634632000008</v>
      </c>
      <c r="O32" s="498"/>
      <c r="P32" s="748" t="s">
        <v>935</v>
      </c>
      <c r="Q32" s="149" t="s">
        <v>936</v>
      </c>
      <c r="R32" s="501">
        <f>G70</f>
        <v>111549.14568</v>
      </c>
      <c r="S32" s="737">
        <v>1560</v>
      </c>
      <c r="T32" s="504">
        <f t="shared" si="9"/>
        <v>71.510000000000005</v>
      </c>
      <c r="U32" s="502">
        <v>0.3</v>
      </c>
      <c r="V32" s="749">
        <v>0.6</v>
      </c>
    </row>
    <row r="33" spans="1:22" x14ac:dyDescent="0.25">
      <c r="A33" s="515">
        <v>5</v>
      </c>
      <c r="B33" s="505" t="s">
        <v>937</v>
      </c>
      <c r="C33" s="497">
        <v>34580.700000000004</v>
      </c>
      <c r="D33" s="497">
        <f t="shared" si="0"/>
        <v>3516.336600000001</v>
      </c>
      <c r="E33" s="506">
        <f t="shared" si="1"/>
        <v>172.90350000000004</v>
      </c>
      <c r="F33" s="497">
        <f t="shared" si="2"/>
        <v>7151.2887600000013</v>
      </c>
      <c r="G33" s="507">
        <f t="shared" si="10"/>
        <v>45421.22886000001</v>
      </c>
      <c r="H33" s="520">
        <f t="shared" si="3"/>
        <v>34580.700000000004</v>
      </c>
      <c r="I33" s="521">
        <v>6916.14</v>
      </c>
      <c r="J33" s="521">
        <f t="shared" si="4"/>
        <v>41496.840000000004</v>
      </c>
      <c r="K33" s="521">
        <f t="shared" si="5"/>
        <v>4470.7639200000012</v>
      </c>
      <c r="L33" s="521">
        <f t="shared" si="6"/>
        <v>207.48420000000002</v>
      </c>
      <c r="M33" s="521">
        <f t="shared" si="7"/>
        <v>8581.5465120000008</v>
      </c>
      <c r="N33" s="521">
        <f t="shared" si="8"/>
        <v>54756.634632000008</v>
      </c>
      <c r="O33" s="498"/>
      <c r="P33" s="748" t="s">
        <v>935</v>
      </c>
      <c r="Q33" s="149" t="s">
        <v>938</v>
      </c>
      <c r="R33" s="501">
        <f>G72</f>
        <v>111549.14568</v>
      </c>
      <c r="S33" s="737">
        <v>1560</v>
      </c>
      <c r="T33" s="504">
        <f t="shared" si="9"/>
        <v>71.510000000000005</v>
      </c>
      <c r="U33" s="502">
        <v>0.3</v>
      </c>
      <c r="V33" s="749">
        <v>0.6</v>
      </c>
    </row>
    <row r="34" spans="1:22" x14ac:dyDescent="0.25">
      <c r="A34" s="515">
        <v>6</v>
      </c>
      <c r="B34" s="505" t="s">
        <v>939</v>
      </c>
      <c r="C34" s="497">
        <v>35391.300000000003</v>
      </c>
      <c r="D34" s="497">
        <f t="shared" si="0"/>
        <v>3628.1994000000009</v>
      </c>
      <c r="E34" s="506">
        <f t="shared" si="1"/>
        <v>176.95650000000001</v>
      </c>
      <c r="F34" s="497">
        <f t="shared" si="2"/>
        <v>7318.9208400000007</v>
      </c>
      <c r="G34" s="507">
        <f t="shared" si="10"/>
        <v>46515.37674</v>
      </c>
      <c r="H34" s="520">
        <f t="shared" si="3"/>
        <v>35391.300000000003</v>
      </c>
      <c r="I34" s="521">
        <v>7078.2600000000011</v>
      </c>
      <c r="J34" s="521">
        <f t="shared" si="4"/>
        <v>42469.560000000005</v>
      </c>
      <c r="K34" s="521">
        <f t="shared" si="5"/>
        <v>4604.9992800000009</v>
      </c>
      <c r="L34" s="521">
        <f t="shared" si="6"/>
        <v>212.34780000000003</v>
      </c>
      <c r="M34" s="521">
        <f t="shared" si="7"/>
        <v>8782.7050080000008</v>
      </c>
      <c r="N34" s="521">
        <f t="shared" si="8"/>
        <v>56069.612088000009</v>
      </c>
      <c r="O34" s="498"/>
      <c r="P34" s="748" t="s">
        <v>935</v>
      </c>
      <c r="Q34" s="149" t="s">
        <v>940</v>
      </c>
      <c r="R34" s="501">
        <f>G75</f>
        <v>128832.99723000001</v>
      </c>
      <c r="S34" s="737">
        <v>1560</v>
      </c>
      <c r="T34" s="504">
        <f t="shared" si="9"/>
        <v>82.59</v>
      </c>
      <c r="U34" s="502">
        <v>0.3</v>
      </c>
      <c r="V34" s="749">
        <v>0.6</v>
      </c>
    </row>
    <row r="35" spans="1:22" x14ac:dyDescent="0.25">
      <c r="A35" s="515">
        <v>6</v>
      </c>
      <c r="B35" s="505" t="s">
        <v>941</v>
      </c>
      <c r="C35" s="497">
        <v>35391.300000000003</v>
      </c>
      <c r="D35" s="497">
        <f t="shared" si="0"/>
        <v>3628.1994000000009</v>
      </c>
      <c r="E35" s="506">
        <f t="shared" si="1"/>
        <v>176.95650000000001</v>
      </c>
      <c r="F35" s="497">
        <f t="shared" si="2"/>
        <v>7318.9208400000007</v>
      </c>
      <c r="G35" s="507">
        <f t="shared" si="10"/>
        <v>46515.37674</v>
      </c>
      <c r="H35" s="520">
        <f t="shared" si="3"/>
        <v>35391.300000000003</v>
      </c>
      <c r="I35" s="521">
        <v>7078.2600000000011</v>
      </c>
      <c r="J35" s="521">
        <f t="shared" si="4"/>
        <v>42469.560000000005</v>
      </c>
      <c r="K35" s="521">
        <f t="shared" si="5"/>
        <v>4604.9992800000009</v>
      </c>
      <c r="L35" s="521">
        <f t="shared" si="6"/>
        <v>212.34780000000003</v>
      </c>
      <c r="M35" s="521">
        <f t="shared" si="7"/>
        <v>8782.7050080000008</v>
      </c>
      <c r="N35" s="521">
        <f t="shared" si="8"/>
        <v>56069.612088000009</v>
      </c>
      <c r="O35" s="498"/>
      <c r="P35" s="748" t="s">
        <v>942</v>
      </c>
      <c r="Q35" s="149" t="s">
        <v>943</v>
      </c>
      <c r="R35" s="501">
        <f>G76</f>
        <v>133578.08415000001</v>
      </c>
      <c r="S35" s="737">
        <v>1560</v>
      </c>
      <c r="T35" s="504">
        <f t="shared" si="9"/>
        <v>85.63</v>
      </c>
      <c r="U35" s="502">
        <v>0.3</v>
      </c>
      <c r="V35" s="749">
        <v>0.6</v>
      </c>
    </row>
    <row r="36" spans="1:22" x14ac:dyDescent="0.25">
      <c r="A36" s="515">
        <v>6</v>
      </c>
      <c r="B36" s="505" t="s">
        <v>944</v>
      </c>
      <c r="C36" s="497">
        <v>37350.6</v>
      </c>
      <c r="D36" s="497">
        <f t="shared" si="0"/>
        <v>3898.5828000000001</v>
      </c>
      <c r="E36" s="506">
        <f t="shared" si="1"/>
        <v>186.75299999999999</v>
      </c>
      <c r="F36" s="497">
        <f t="shared" si="2"/>
        <v>7724.1040800000001</v>
      </c>
      <c r="G36" s="507">
        <f t="shared" si="10"/>
        <v>49160.039879999989</v>
      </c>
      <c r="H36" s="520">
        <f t="shared" si="3"/>
        <v>37350.6</v>
      </c>
      <c r="I36" s="521">
        <v>7470.1200000000008</v>
      </c>
      <c r="J36" s="521">
        <f t="shared" si="4"/>
        <v>44820.72</v>
      </c>
      <c r="K36" s="521">
        <f t="shared" si="5"/>
        <v>4929.4593600000007</v>
      </c>
      <c r="L36" s="521">
        <f t="shared" si="6"/>
        <v>224.1036</v>
      </c>
      <c r="M36" s="521">
        <f t="shared" si="7"/>
        <v>9268.9248960000004</v>
      </c>
      <c r="N36" s="521">
        <f t="shared" si="8"/>
        <v>59243.207856000008</v>
      </c>
      <c r="O36" s="498"/>
      <c r="P36" s="748" t="s">
        <v>942</v>
      </c>
      <c r="Q36" s="149" t="s">
        <v>945</v>
      </c>
      <c r="R36" s="501">
        <f>G78</f>
        <v>133578.08415000001</v>
      </c>
      <c r="S36" s="737">
        <v>1560</v>
      </c>
      <c r="T36" s="504">
        <f t="shared" si="9"/>
        <v>85.63</v>
      </c>
      <c r="U36" s="502">
        <v>0.3</v>
      </c>
      <c r="V36" s="749">
        <v>0.6</v>
      </c>
    </row>
    <row r="37" spans="1:22" x14ac:dyDescent="0.25">
      <c r="A37" s="515">
        <v>6</v>
      </c>
      <c r="B37" s="505" t="s">
        <v>946</v>
      </c>
      <c r="C37" s="497">
        <v>37350.6</v>
      </c>
      <c r="D37" s="497">
        <f t="shared" ref="D37:D68" si="11">(C37-$A$109)*0.138</f>
        <v>3898.5828000000001</v>
      </c>
      <c r="E37" s="506">
        <f t="shared" si="1"/>
        <v>186.75299999999999</v>
      </c>
      <c r="F37" s="497">
        <f t="shared" si="2"/>
        <v>7724.1040800000001</v>
      </c>
      <c r="G37" s="507">
        <f t="shared" si="10"/>
        <v>49160.039879999989</v>
      </c>
      <c r="H37" s="520">
        <f t="shared" si="3"/>
        <v>37350.6</v>
      </c>
      <c r="I37" s="521">
        <v>7470.1200000000008</v>
      </c>
      <c r="J37" s="521">
        <f t="shared" si="4"/>
        <v>44820.72</v>
      </c>
      <c r="K37" s="521">
        <f t="shared" ref="K37:K68" si="12">(J37-$A$109)*0.138</f>
        <v>4929.4593600000007</v>
      </c>
      <c r="L37" s="521">
        <f t="shared" si="6"/>
        <v>224.1036</v>
      </c>
      <c r="M37" s="521">
        <f t="shared" si="7"/>
        <v>9268.9248960000004</v>
      </c>
      <c r="N37" s="521">
        <f t="shared" si="8"/>
        <v>59243.207856000008</v>
      </c>
      <c r="O37" s="498"/>
      <c r="P37" s="748" t="s">
        <v>942</v>
      </c>
      <c r="Q37" s="149" t="s">
        <v>947</v>
      </c>
      <c r="R37" s="501">
        <f>G81</f>
        <v>153902.02275</v>
      </c>
      <c r="S37" s="737">
        <v>1560</v>
      </c>
      <c r="T37" s="504">
        <f t="shared" si="9"/>
        <v>98.66</v>
      </c>
      <c r="U37" s="502">
        <v>0.3</v>
      </c>
      <c r="V37" s="749">
        <v>0.6</v>
      </c>
    </row>
    <row r="38" spans="1:22" x14ac:dyDescent="0.25">
      <c r="A38" s="515">
        <v>6</v>
      </c>
      <c r="B38" s="505" t="s">
        <v>948</v>
      </c>
      <c r="C38" s="497">
        <v>37350.6</v>
      </c>
      <c r="D38" s="497">
        <f t="shared" si="11"/>
        <v>3898.5828000000001</v>
      </c>
      <c r="E38" s="506">
        <f t="shared" si="1"/>
        <v>186.75299999999999</v>
      </c>
      <c r="F38" s="497">
        <f t="shared" si="2"/>
        <v>7724.1040800000001</v>
      </c>
      <c r="G38" s="507">
        <f t="shared" si="10"/>
        <v>49160.039879999989</v>
      </c>
      <c r="H38" s="520">
        <f t="shared" si="3"/>
        <v>37350.6</v>
      </c>
      <c r="I38" s="521">
        <v>7470.1200000000008</v>
      </c>
      <c r="J38" s="521">
        <f t="shared" si="4"/>
        <v>44820.72</v>
      </c>
      <c r="K38" s="521">
        <f t="shared" si="12"/>
        <v>4929.4593600000007</v>
      </c>
      <c r="L38" s="521">
        <f t="shared" si="6"/>
        <v>224.1036</v>
      </c>
      <c r="M38" s="521">
        <f t="shared" si="7"/>
        <v>9268.9248960000004</v>
      </c>
      <c r="N38" s="521">
        <f t="shared" si="8"/>
        <v>59243.207856000008</v>
      </c>
      <c r="O38" s="498"/>
      <c r="P38" s="748" t="s">
        <v>949</v>
      </c>
      <c r="Q38" s="149" t="s">
        <v>950</v>
      </c>
      <c r="R38" s="501">
        <f>G82</f>
        <v>118017.92720000001</v>
      </c>
      <c r="S38" s="737">
        <v>1376</v>
      </c>
      <c r="T38" s="504">
        <f t="shared" si="9"/>
        <v>85.77</v>
      </c>
      <c r="U38" s="503">
        <v>0</v>
      </c>
      <c r="V38" s="750">
        <v>0</v>
      </c>
    </row>
    <row r="39" spans="1:22" x14ac:dyDescent="0.25">
      <c r="A39" s="515">
        <v>6</v>
      </c>
      <c r="B39" s="505" t="s">
        <v>951</v>
      </c>
      <c r="C39" s="497">
        <v>42617.4</v>
      </c>
      <c r="D39" s="497">
        <f t="shared" si="11"/>
        <v>4625.4012000000002</v>
      </c>
      <c r="E39" s="506">
        <f t="shared" si="1"/>
        <v>213.08700000000002</v>
      </c>
      <c r="F39" s="497">
        <f t="shared" si="2"/>
        <v>8813.2783200000013</v>
      </c>
      <c r="G39" s="507">
        <f t="shared" si="10"/>
        <v>56269.166519999999</v>
      </c>
      <c r="H39" s="520">
        <f t="shared" si="3"/>
        <v>42617.4</v>
      </c>
      <c r="I39" s="521">
        <v>7745.85</v>
      </c>
      <c r="J39" s="521">
        <f t="shared" si="4"/>
        <v>50363.25</v>
      </c>
      <c r="K39" s="521">
        <f t="shared" si="12"/>
        <v>5694.3285000000005</v>
      </c>
      <c r="L39" s="521">
        <f t="shared" si="6"/>
        <v>251.81625</v>
      </c>
      <c r="M39" s="521">
        <f t="shared" si="7"/>
        <v>10415.1201</v>
      </c>
      <c r="N39" s="521">
        <f t="shared" si="8"/>
        <v>66724.514850000007</v>
      </c>
      <c r="O39" s="498"/>
      <c r="P39" s="748" t="s">
        <v>949</v>
      </c>
      <c r="Q39" s="149" t="s">
        <v>702</v>
      </c>
      <c r="R39" s="501">
        <f>G91</f>
        <v>141817.60079999999</v>
      </c>
      <c r="S39" s="737">
        <v>1376</v>
      </c>
      <c r="T39" s="504">
        <f t="shared" si="9"/>
        <v>103.07</v>
      </c>
      <c r="U39" s="503">
        <v>0</v>
      </c>
      <c r="V39" s="750">
        <v>0</v>
      </c>
    </row>
    <row r="40" spans="1:22" x14ac:dyDescent="0.25">
      <c r="A40" s="515">
        <v>6</v>
      </c>
      <c r="B40" s="505" t="s">
        <v>952</v>
      </c>
      <c r="C40" s="497">
        <v>42617.4</v>
      </c>
      <c r="D40" s="497">
        <f t="shared" si="11"/>
        <v>4625.4012000000002</v>
      </c>
      <c r="E40" s="506">
        <f t="shared" si="1"/>
        <v>213.08700000000002</v>
      </c>
      <c r="F40" s="497">
        <f t="shared" si="2"/>
        <v>8813.2783200000013</v>
      </c>
      <c r="G40" s="507">
        <f t="shared" si="10"/>
        <v>56269.166519999999</v>
      </c>
      <c r="H40" s="520">
        <f t="shared" si="3"/>
        <v>42617.4</v>
      </c>
      <c r="I40" s="521">
        <v>7745.85</v>
      </c>
      <c r="J40" s="521">
        <f t="shared" si="4"/>
        <v>50363.25</v>
      </c>
      <c r="K40" s="521">
        <f t="shared" si="12"/>
        <v>5694.3285000000005</v>
      </c>
      <c r="L40" s="521">
        <f t="shared" si="6"/>
        <v>251.81625</v>
      </c>
      <c r="M40" s="521">
        <f t="shared" si="7"/>
        <v>10415.1201</v>
      </c>
      <c r="N40" s="521">
        <f t="shared" si="8"/>
        <v>66724.514850000007</v>
      </c>
      <c r="O40" s="498"/>
      <c r="P40" s="748" t="s">
        <v>949</v>
      </c>
      <c r="Q40" s="149" t="s">
        <v>953</v>
      </c>
      <c r="R40" s="501">
        <f>G100</f>
        <v>159549.92340000003</v>
      </c>
      <c r="S40" s="737">
        <v>1376</v>
      </c>
      <c r="T40" s="504">
        <f t="shared" si="9"/>
        <v>115.95</v>
      </c>
      <c r="U40" s="503">
        <v>0</v>
      </c>
      <c r="V40" s="750">
        <v>0</v>
      </c>
    </row>
    <row r="41" spans="1:22" x14ac:dyDescent="0.25">
      <c r="A41" s="515">
        <v>6</v>
      </c>
      <c r="B41" s="505" t="s">
        <v>954</v>
      </c>
      <c r="C41" s="497">
        <v>42617.4</v>
      </c>
      <c r="D41" s="497">
        <f t="shared" si="11"/>
        <v>4625.4012000000002</v>
      </c>
      <c r="E41" s="506">
        <f t="shared" si="1"/>
        <v>213.08700000000002</v>
      </c>
      <c r="F41" s="497">
        <f t="shared" si="2"/>
        <v>8813.2783200000013</v>
      </c>
      <c r="G41" s="507">
        <f t="shared" si="10"/>
        <v>56269.166519999999</v>
      </c>
      <c r="H41" s="520">
        <f t="shared" si="3"/>
        <v>42617.4</v>
      </c>
      <c r="I41" s="521">
        <v>7745.85</v>
      </c>
      <c r="J41" s="521">
        <f t="shared" si="4"/>
        <v>50363.25</v>
      </c>
      <c r="K41" s="521">
        <f t="shared" si="12"/>
        <v>5694.3285000000005</v>
      </c>
      <c r="L41" s="521">
        <f t="shared" si="6"/>
        <v>251.81625</v>
      </c>
      <c r="M41" s="521">
        <f t="shared" si="7"/>
        <v>10415.1201</v>
      </c>
      <c r="N41" s="521">
        <f t="shared" si="8"/>
        <v>66724.514850000007</v>
      </c>
      <c r="O41" s="498"/>
      <c r="P41" s="748" t="s">
        <v>955</v>
      </c>
      <c r="Q41" s="149" t="s">
        <v>1027</v>
      </c>
      <c r="R41" s="501">
        <f>G103</f>
        <v>91501.78</v>
      </c>
      <c r="S41" s="737">
        <f>S72</f>
        <v>1287</v>
      </c>
      <c r="T41" s="504">
        <f t="shared" si="9"/>
        <v>71.099999999999994</v>
      </c>
      <c r="U41" s="503">
        <v>0</v>
      </c>
      <c r="V41" s="750">
        <v>0</v>
      </c>
    </row>
    <row r="42" spans="1:22" x14ac:dyDescent="0.25">
      <c r="A42" s="515">
        <v>6</v>
      </c>
      <c r="B42" s="505" t="s">
        <v>956</v>
      </c>
      <c r="C42" s="497">
        <v>42617.4</v>
      </c>
      <c r="D42" s="497">
        <f t="shared" si="11"/>
        <v>4625.4012000000002</v>
      </c>
      <c r="E42" s="506">
        <f t="shared" si="1"/>
        <v>213.08700000000002</v>
      </c>
      <c r="F42" s="497">
        <f t="shared" si="2"/>
        <v>8813.2783200000013</v>
      </c>
      <c r="G42" s="507">
        <f t="shared" si="10"/>
        <v>56269.166519999999</v>
      </c>
      <c r="H42" s="520">
        <f t="shared" si="3"/>
        <v>42617.4</v>
      </c>
      <c r="I42" s="521">
        <v>7745.85</v>
      </c>
      <c r="J42" s="521">
        <f t="shared" si="4"/>
        <v>50363.25</v>
      </c>
      <c r="K42" s="521">
        <f t="shared" si="12"/>
        <v>5694.3285000000005</v>
      </c>
      <c r="L42" s="521">
        <f t="shared" si="6"/>
        <v>251.81625</v>
      </c>
      <c r="M42" s="521">
        <f t="shared" si="7"/>
        <v>10415.1201</v>
      </c>
      <c r="N42" s="521">
        <f t="shared" si="8"/>
        <v>66724.514850000007</v>
      </c>
      <c r="O42" s="498"/>
      <c r="P42" s="748" t="s">
        <v>955</v>
      </c>
      <c r="Q42" s="149" t="s">
        <v>1028</v>
      </c>
      <c r="R42" s="501">
        <f t="shared" ref="R42:R43" si="13">G104</f>
        <v>115109.74400000001</v>
      </c>
      <c r="S42" s="737">
        <f>S72</f>
        <v>1287</v>
      </c>
      <c r="T42" s="504">
        <f t="shared" ref="T42:T43" si="14">ROUND(R42/S42,2)</f>
        <v>89.44</v>
      </c>
      <c r="U42" s="503">
        <v>0</v>
      </c>
      <c r="V42" s="750">
        <v>0</v>
      </c>
    </row>
    <row r="43" spans="1:22" ht="15.75" thickBot="1" x14ac:dyDescent="0.3">
      <c r="A43" s="515">
        <v>7</v>
      </c>
      <c r="B43" s="505" t="s">
        <v>957</v>
      </c>
      <c r="C43" s="497">
        <v>43741.950000000004</v>
      </c>
      <c r="D43" s="497">
        <f t="shared" si="11"/>
        <v>4780.5891000000011</v>
      </c>
      <c r="E43" s="506">
        <f t="shared" si="1"/>
        <v>218.70975000000001</v>
      </c>
      <c r="F43" s="497">
        <f t="shared" si="2"/>
        <v>9045.8352600000017</v>
      </c>
      <c r="G43" s="507">
        <f t="shared" si="10"/>
        <v>57787.084110000011</v>
      </c>
      <c r="H43" s="520">
        <f t="shared" si="3"/>
        <v>43741.950000000004</v>
      </c>
      <c r="I43" s="521">
        <v>7745.85</v>
      </c>
      <c r="J43" s="521">
        <f t="shared" si="4"/>
        <v>51487.8</v>
      </c>
      <c r="K43" s="521">
        <f t="shared" si="12"/>
        <v>5849.5164000000013</v>
      </c>
      <c r="L43" s="521">
        <f t="shared" si="6"/>
        <v>257.43900000000002</v>
      </c>
      <c r="M43" s="521">
        <f>J43*0.2068</f>
        <v>10647.67704</v>
      </c>
      <c r="N43" s="521">
        <f t="shared" si="8"/>
        <v>68242.432440000004</v>
      </c>
      <c r="O43" s="498"/>
      <c r="P43" s="751" t="s">
        <v>955</v>
      </c>
      <c r="Q43" s="508" t="s">
        <v>1029</v>
      </c>
      <c r="R43" s="752">
        <f t="shared" si="13"/>
        <v>138717.70799999998</v>
      </c>
      <c r="S43" s="753">
        <f>S72</f>
        <v>1287</v>
      </c>
      <c r="T43" s="754">
        <f t="shared" si="14"/>
        <v>107.78</v>
      </c>
      <c r="U43" s="755">
        <v>0</v>
      </c>
      <c r="V43" s="756">
        <v>0</v>
      </c>
    </row>
    <row r="44" spans="1:22" x14ac:dyDescent="0.25">
      <c r="A44" s="515">
        <v>7</v>
      </c>
      <c r="B44" s="505" t="s">
        <v>958</v>
      </c>
      <c r="C44" s="497">
        <v>43741.950000000004</v>
      </c>
      <c r="D44" s="497">
        <f t="shared" si="11"/>
        <v>4780.5891000000011</v>
      </c>
      <c r="E44" s="506">
        <f t="shared" si="1"/>
        <v>218.70975000000001</v>
      </c>
      <c r="F44" s="497">
        <f t="shared" si="2"/>
        <v>9045.8352600000017</v>
      </c>
      <c r="G44" s="507">
        <f t="shared" si="10"/>
        <v>57787.084110000011</v>
      </c>
      <c r="H44" s="520">
        <f t="shared" si="3"/>
        <v>43741.950000000004</v>
      </c>
      <c r="I44" s="521">
        <v>7745.85</v>
      </c>
      <c r="J44" s="521">
        <f t="shared" si="4"/>
        <v>51487.8</v>
      </c>
      <c r="K44" s="521">
        <f t="shared" si="12"/>
        <v>5849.5164000000013</v>
      </c>
      <c r="L44" s="521">
        <f t="shared" si="6"/>
        <v>257.43900000000002</v>
      </c>
      <c r="M44" s="521">
        <f t="shared" si="7"/>
        <v>10647.67704</v>
      </c>
      <c r="N44" s="521">
        <f t="shared" si="8"/>
        <v>68242.432440000004</v>
      </c>
      <c r="O44" s="498"/>
    </row>
    <row r="45" spans="1:22" x14ac:dyDescent="0.25">
      <c r="A45" s="515">
        <v>7</v>
      </c>
      <c r="B45" s="505" t="s">
        <v>959</v>
      </c>
      <c r="C45" s="497">
        <v>45996.3</v>
      </c>
      <c r="D45" s="497">
        <f t="shared" si="11"/>
        <v>5091.6894000000011</v>
      </c>
      <c r="E45" s="506">
        <f t="shared" si="1"/>
        <v>229.98150000000001</v>
      </c>
      <c r="F45" s="497">
        <f t="shared" si="2"/>
        <v>9512.0348400000003</v>
      </c>
      <c r="G45" s="507">
        <f t="shared" si="10"/>
        <v>60830.005740000008</v>
      </c>
      <c r="H45" s="520">
        <f t="shared" si="3"/>
        <v>45996.3</v>
      </c>
      <c r="I45" s="521">
        <v>7745.85</v>
      </c>
      <c r="J45" s="521">
        <f t="shared" si="4"/>
        <v>53742.15</v>
      </c>
      <c r="K45" s="521">
        <f t="shared" si="12"/>
        <v>6160.6167000000005</v>
      </c>
      <c r="L45" s="521">
        <f t="shared" si="6"/>
        <v>268.71075000000002</v>
      </c>
      <c r="M45" s="521">
        <f t="shared" si="7"/>
        <v>11113.876620000001</v>
      </c>
      <c r="N45" s="521">
        <f t="shared" si="8"/>
        <v>71285.354070000001</v>
      </c>
      <c r="O45" s="498"/>
      <c r="R45" s="574"/>
    </row>
    <row r="46" spans="1:22" x14ac:dyDescent="0.25">
      <c r="A46" s="515">
        <v>7</v>
      </c>
      <c r="B46" s="505" t="s">
        <v>961</v>
      </c>
      <c r="C46" s="497">
        <v>45996.3</v>
      </c>
      <c r="D46" s="497">
        <f t="shared" si="11"/>
        <v>5091.6894000000011</v>
      </c>
      <c r="E46" s="506">
        <f t="shared" si="1"/>
        <v>229.98150000000001</v>
      </c>
      <c r="F46" s="497">
        <f t="shared" si="2"/>
        <v>9512.0348400000003</v>
      </c>
      <c r="G46" s="507">
        <f t="shared" si="10"/>
        <v>60830.005740000008</v>
      </c>
      <c r="H46" s="520">
        <f t="shared" si="3"/>
        <v>45996.3</v>
      </c>
      <c r="I46" s="521">
        <v>7745.85</v>
      </c>
      <c r="J46" s="521">
        <f t="shared" si="4"/>
        <v>53742.15</v>
      </c>
      <c r="K46" s="521">
        <f t="shared" si="12"/>
        <v>6160.6167000000005</v>
      </c>
      <c r="L46" s="521">
        <f t="shared" si="6"/>
        <v>268.71075000000002</v>
      </c>
      <c r="M46" s="521">
        <f t="shared" si="7"/>
        <v>11113.876620000001</v>
      </c>
      <c r="N46" s="521">
        <f t="shared" si="8"/>
        <v>71285.354070000001</v>
      </c>
      <c r="O46" s="498"/>
      <c r="P46" s="172"/>
      <c r="Q46" s="331"/>
      <c r="S46" s="331"/>
      <c r="T46" s="157"/>
    </row>
    <row r="47" spans="1:22" x14ac:dyDescent="0.25">
      <c r="A47" s="515">
        <v>7</v>
      </c>
      <c r="B47" s="505" t="s">
        <v>962</v>
      </c>
      <c r="C47" s="497">
        <v>45996.3</v>
      </c>
      <c r="D47" s="497">
        <f t="shared" si="11"/>
        <v>5091.6894000000011</v>
      </c>
      <c r="E47" s="506">
        <f t="shared" si="1"/>
        <v>229.98150000000001</v>
      </c>
      <c r="F47" s="497">
        <f t="shared" si="2"/>
        <v>9512.0348400000003</v>
      </c>
      <c r="G47" s="507">
        <f t="shared" si="10"/>
        <v>60830.005740000008</v>
      </c>
      <c r="H47" s="520">
        <f t="shared" si="3"/>
        <v>45996.3</v>
      </c>
      <c r="I47" s="521">
        <v>7745.85</v>
      </c>
      <c r="J47" s="521">
        <f t="shared" si="4"/>
        <v>53742.15</v>
      </c>
      <c r="K47" s="521">
        <f t="shared" si="12"/>
        <v>6160.6167000000005</v>
      </c>
      <c r="L47" s="521">
        <f t="shared" si="6"/>
        <v>268.71075000000002</v>
      </c>
      <c r="M47" s="521">
        <f t="shared" si="7"/>
        <v>11113.876620000001</v>
      </c>
      <c r="N47" s="521">
        <f t="shared" si="8"/>
        <v>71285.354070000001</v>
      </c>
      <c r="O47" s="498"/>
      <c r="P47" s="160" t="s">
        <v>960</v>
      </c>
      <c r="T47" s="159"/>
    </row>
    <row r="48" spans="1:22" x14ac:dyDescent="0.25">
      <c r="A48" s="515">
        <v>7</v>
      </c>
      <c r="B48" s="505" t="s">
        <v>964</v>
      </c>
      <c r="C48" s="497">
        <v>50055.6</v>
      </c>
      <c r="D48" s="497">
        <f t="shared" si="11"/>
        <v>5651.8728000000001</v>
      </c>
      <c r="E48" s="506">
        <f t="shared" si="1"/>
        <v>250.27799999999999</v>
      </c>
      <c r="F48" s="497">
        <f t="shared" si="2"/>
        <v>10351.498079999999</v>
      </c>
      <c r="G48" s="507">
        <f t="shared" si="10"/>
        <v>66309.248879999999</v>
      </c>
      <c r="H48" s="520">
        <f t="shared" si="3"/>
        <v>50055.6</v>
      </c>
      <c r="I48" s="521">
        <v>7745.85</v>
      </c>
      <c r="J48" s="521">
        <f t="shared" si="4"/>
        <v>57801.45</v>
      </c>
      <c r="K48" s="521">
        <f t="shared" si="12"/>
        <v>6720.8001000000004</v>
      </c>
      <c r="L48" s="521">
        <f t="shared" si="6"/>
        <v>289.00725</v>
      </c>
      <c r="M48" s="521">
        <f t="shared" si="7"/>
        <v>11953.33986</v>
      </c>
      <c r="N48" s="521">
        <f t="shared" si="8"/>
        <v>76764.597210000007</v>
      </c>
      <c r="O48" s="498"/>
      <c r="P48" s="160"/>
      <c r="T48" s="159"/>
    </row>
    <row r="49" spans="1:20" x14ac:dyDescent="0.25">
      <c r="A49" s="515">
        <v>7</v>
      </c>
      <c r="B49" s="505" t="s">
        <v>966</v>
      </c>
      <c r="C49" s="497">
        <v>50055.6</v>
      </c>
      <c r="D49" s="497">
        <f t="shared" si="11"/>
        <v>5651.8728000000001</v>
      </c>
      <c r="E49" s="506">
        <f t="shared" si="1"/>
        <v>250.27799999999999</v>
      </c>
      <c r="F49" s="497">
        <f t="shared" si="2"/>
        <v>10351.498079999999</v>
      </c>
      <c r="G49" s="507">
        <f t="shared" si="10"/>
        <v>66309.248879999999</v>
      </c>
      <c r="H49" s="520">
        <f t="shared" si="3"/>
        <v>50055.6</v>
      </c>
      <c r="I49" s="521">
        <v>7745.85</v>
      </c>
      <c r="J49" s="521">
        <f t="shared" si="4"/>
        <v>57801.45</v>
      </c>
      <c r="K49" s="521">
        <f t="shared" si="12"/>
        <v>6720.8001000000004</v>
      </c>
      <c r="L49" s="521">
        <f t="shared" si="6"/>
        <v>289.00725</v>
      </c>
      <c r="M49" s="521">
        <f t="shared" si="7"/>
        <v>11953.33986</v>
      </c>
      <c r="N49" s="521">
        <f t="shared" si="8"/>
        <v>76764.597210000007</v>
      </c>
      <c r="O49" s="498"/>
      <c r="P49" s="571" t="s">
        <v>963</v>
      </c>
      <c r="T49" s="159"/>
    </row>
    <row r="50" spans="1:20" x14ac:dyDescent="0.25">
      <c r="A50" s="515">
        <v>7</v>
      </c>
      <c r="B50" s="505" t="s">
        <v>968</v>
      </c>
      <c r="C50" s="497">
        <v>50055.6</v>
      </c>
      <c r="D50" s="497">
        <f t="shared" si="11"/>
        <v>5651.8728000000001</v>
      </c>
      <c r="E50" s="506">
        <f t="shared" si="1"/>
        <v>250.27799999999999</v>
      </c>
      <c r="F50" s="497">
        <f t="shared" si="2"/>
        <v>10351.498079999999</v>
      </c>
      <c r="G50" s="507">
        <f t="shared" si="10"/>
        <v>66309.248879999999</v>
      </c>
      <c r="H50" s="520">
        <f t="shared" si="3"/>
        <v>50055.6</v>
      </c>
      <c r="I50" s="521">
        <v>7745.85</v>
      </c>
      <c r="J50" s="521">
        <f t="shared" si="4"/>
        <v>57801.45</v>
      </c>
      <c r="K50" s="521">
        <f t="shared" si="12"/>
        <v>6720.8001000000004</v>
      </c>
      <c r="L50" s="521">
        <f t="shared" si="6"/>
        <v>289.00725</v>
      </c>
      <c r="M50" s="521">
        <f t="shared" si="7"/>
        <v>11953.33986</v>
      </c>
      <c r="N50" s="521">
        <f t="shared" si="8"/>
        <v>76764.597210000007</v>
      </c>
      <c r="O50" s="498"/>
      <c r="P50" s="572" t="s">
        <v>965</v>
      </c>
      <c r="S50">
        <v>260</v>
      </c>
      <c r="T50" s="159"/>
    </row>
    <row r="51" spans="1:20" x14ac:dyDescent="0.25">
      <c r="A51" s="515">
        <v>7</v>
      </c>
      <c r="B51" s="505" t="s">
        <v>970</v>
      </c>
      <c r="C51" s="497">
        <v>50055.6</v>
      </c>
      <c r="D51" s="497">
        <f t="shared" si="11"/>
        <v>5651.8728000000001</v>
      </c>
      <c r="E51" s="506">
        <f t="shared" si="1"/>
        <v>250.27799999999999</v>
      </c>
      <c r="F51" s="497">
        <f t="shared" si="2"/>
        <v>10351.498079999999</v>
      </c>
      <c r="G51" s="507">
        <f t="shared" si="10"/>
        <v>66309.248879999999</v>
      </c>
      <c r="H51" s="520">
        <f t="shared" si="3"/>
        <v>50055.6</v>
      </c>
      <c r="I51" s="521">
        <v>7745.85</v>
      </c>
      <c r="J51" s="521">
        <f t="shared" si="4"/>
        <v>57801.45</v>
      </c>
      <c r="K51" s="521">
        <f t="shared" si="12"/>
        <v>6720.8001000000004</v>
      </c>
      <c r="L51" s="521">
        <f t="shared" si="6"/>
        <v>289.00725</v>
      </c>
      <c r="M51" s="521">
        <f t="shared" si="7"/>
        <v>11953.33986</v>
      </c>
      <c r="N51" s="521">
        <f t="shared" si="8"/>
        <v>76764.597210000007</v>
      </c>
      <c r="O51" s="498"/>
      <c r="P51" s="572" t="s">
        <v>967</v>
      </c>
      <c r="S51">
        <v>-40</v>
      </c>
      <c r="T51" s="159"/>
    </row>
    <row r="52" spans="1:20" x14ac:dyDescent="0.25">
      <c r="A52" s="515" t="s">
        <v>972</v>
      </c>
      <c r="B52" s="505" t="s">
        <v>973</v>
      </c>
      <c r="C52" s="497">
        <v>50952.3</v>
      </c>
      <c r="D52" s="497">
        <f t="shared" si="11"/>
        <v>5775.617400000001</v>
      </c>
      <c r="E52" s="506">
        <f t="shared" si="1"/>
        <v>254.76150000000001</v>
      </c>
      <c r="F52" s="497">
        <f t="shared" si="2"/>
        <v>10536.935640000002</v>
      </c>
      <c r="G52" s="507">
        <f t="shared" si="10"/>
        <v>67519.61454000001</v>
      </c>
      <c r="H52" s="520">
        <f t="shared" si="3"/>
        <v>50952.3</v>
      </c>
      <c r="I52" s="521">
        <v>7745.85</v>
      </c>
      <c r="J52" s="521">
        <f t="shared" si="4"/>
        <v>58698.15</v>
      </c>
      <c r="K52" s="521">
        <f t="shared" si="12"/>
        <v>6844.5447000000004</v>
      </c>
      <c r="L52" s="521">
        <f t="shared" si="6"/>
        <v>293.49074999999999</v>
      </c>
      <c r="M52" s="521">
        <f t="shared" si="7"/>
        <v>12138.77742</v>
      </c>
      <c r="N52" s="521">
        <f t="shared" si="8"/>
        <v>77974.962870000003</v>
      </c>
      <c r="O52" s="498"/>
      <c r="P52" s="572" t="s">
        <v>969</v>
      </c>
      <c r="S52">
        <v>-2</v>
      </c>
      <c r="T52" s="159"/>
    </row>
    <row r="53" spans="1:20" x14ac:dyDescent="0.25">
      <c r="A53" s="515" t="s">
        <v>972</v>
      </c>
      <c r="B53" s="505" t="s">
        <v>974</v>
      </c>
      <c r="C53" s="497">
        <v>50952.3</v>
      </c>
      <c r="D53" s="497">
        <f t="shared" si="11"/>
        <v>5775.617400000001</v>
      </c>
      <c r="E53" s="506">
        <f t="shared" si="1"/>
        <v>254.76150000000001</v>
      </c>
      <c r="F53" s="497">
        <f t="shared" si="2"/>
        <v>10536.935640000002</v>
      </c>
      <c r="G53" s="507">
        <f t="shared" si="10"/>
        <v>67519.61454000001</v>
      </c>
      <c r="H53" s="520">
        <f t="shared" si="3"/>
        <v>50952.3</v>
      </c>
      <c r="I53" s="521">
        <v>7745.85</v>
      </c>
      <c r="J53" s="521">
        <f t="shared" si="4"/>
        <v>58698.15</v>
      </c>
      <c r="K53" s="521">
        <f t="shared" si="12"/>
        <v>6844.5447000000004</v>
      </c>
      <c r="L53" s="521">
        <f t="shared" si="6"/>
        <v>293.49074999999999</v>
      </c>
      <c r="M53" s="521">
        <f t="shared" si="7"/>
        <v>12138.77742</v>
      </c>
      <c r="N53" s="521">
        <f t="shared" si="8"/>
        <v>77974.962870000003</v>
      </c>
      <c r="O53" s="498"/>
      <c r="P53" s="572" t="s">
        <v>971</v>
      </c>
      <c r="S53">
        <v>-10</v>
      </c>
      <c r="T53" s="159"/>
    </row>
    <row r="54" spans="1:20" x14ac:dyDescent="0.25">
      <c r="A54" s="515" t="s">
        <v>972</v>
      </c>
      <c r="B54" s="505" t="s">
        <v>976</v>
      </c>
      <c r="C54" s="497">
        <v>50952.3</v>
      </c>
      <c r="D54" s="497">
        <f t="shared" si="11"/>
        <v>5775.617400000001</v>
      </c>
      <c r="E54" s="506">
        <f t="shared" si="1"/>
        <v>254.76150000000001</v>
      </c>
      <c r="F54" s="497">
        <f t="shared" si="2"/>
        <v>10536.935640000002</v>
      </c>
      <c r="G54" s="507">
        <f t="shared" si="10"/>
        <v>67519.61454000001</v>
      </c>
      <c r="H54" s="520">
        <f t="shared" si="3"/>
        <v>50952.3</v>
      </c>
      <c r="I54" s="521">
        <v>7745.85</v>
      </c>
      <c r="J54" s="521">
        <f t="shared" si="4"/>
        <v>58698.15</v>
      </c>
      <c r="K54" s="521">
        <f t="shared" si="12"/>
        <v>6844.5447000000004</v>
      </c>
      <c r="L54" s="521">
        <f t="shared" si="6"/>
        <v>293.49074999999999</v>
      </c>
      <c r="M54" s="521">
        <f t="shared" si="7"/>
        <v>12138.77742</v>
      </c>
      <c r="N54" s="521">
        <f t="shared" si="8"/>
        <v>77974.962870000003</v>
      </c>
      <c r="O54" s="498"/>
      <c r="P54" s="572"/>
      <c r="S54" s="331">
        <v>208</v>
      </c>
      <c r="T54" s="159"/>
    </row>
    <row r="55" spans="1:20" x14ac:dyDescent="0.25">
      <c r="A55" s="515" t="s">
        <v>972</v>
      </c>
      <c r="B55" s="505" t="s">
        <v>977</v>
      </c>
      <c r="C55" s="497">
        <v>50952.3</v>
      </c>
      <c r="D55" s="497">
        <f t="shared" si="11"/>
        <v>5775.617400000001</v>
      </c>
      <c r="E55" s="506">
        <f t="shared" si="1"/>
        <v>254.76150000000001</v>
      </c>
      <c r="F55" s="497">
        <f t="shared" si="2"/>
        <v>10536.935640000002</v>
      </c>
      <c r="G55" s="507">
        <f t="shared" si="10"/>
        <v>67519.61454000001</v>
      </c>
      <c r="H55" s="520">
        <f t="shared" si="3"/>
        <v>50952.3</v>
      </c>
      <c r="I55" s="521">
        <v>7745.85</v>
      </c>
      <c r="J55" s="521">
        <f t="shared" si="4"/>
        <v>58698.15</v>
      </c>
      <c r="K55" s="521">
        <f t="shared" si="12"/>
        <v>6844.5447000000004</v>
      </c>
      <c r="L55" s="521">
        <f t="shared" si="6"/>
        <v>293.49074999999999</v>
      </c>
      <c r="M55" s="521">
        <f t="shared" si="7"/>
        <v>12138.77742</v>
      </c>
      <c r="N55" s="521">
        <f t="shared" si="8"/>
        <v>77974.962870000003</v>
      </c>
      <c r="O55" s="498"/>
      <c r="P55" s="572" t="s">
        <v>975</v>
      </c>
      <c r="S55" s="364">
        <f>7.5*S54</f>
        <v>1560</v>
      </c>
      <c r="T55" s="159"/>
    </row>
    <row r="56" spans="1:20" x14ac:dyDescent="0.25">
      <c r="A56" s="515" t="s">
        <v>972</v>
      </c>
      <c r="B56" s="505" t="s">
        <v>978</v>
      </c>
      <c r="C56" s="497">
        <v>50952.3</v>
      </c>
      <c r="D56" s="497">
        <f t="shared" si="11"/>
        <v>5775.617400000001</v>
      </c>
      <c r="E56" s="506">
        <f t="shared" si="1"/>
        <v>254.76150000000001</v>
      </c>
      <c r="F56" s="497">
        <f t="shared" si="2"/>
        <v>10536.935640000002</v>
      </c>
      <c r="G56" s="507">
        <f t="shared" si="10"/>
        <v>67519.61454000001</v>
      </c>
      <c r="H56" s="520">
        <f t="shared" si="3"/>
        <v>50952.3</v>
      </c>
      <c r="I56" s="521">
        <v>7745.85</v>
      </c>
      <c r="J56" s="521">
        <f t="shared" si="4"/>
        <v>58698.15</v>
      </c>
      <c r="K56" s="521">
        <f t="shared" si="12"/>
        <v>6844.5447000000004</v>
      </c>
      <c r="L56" s="521">
        <f t="shared" si="6"/>
        <v>293.49074999999999</v>
      </c>
      <c r="M56" s="521">
        <f t="shared" si="7"/>
        <v>12138.77742</v>
      </c>
      <c r="N56" s="521">
        <f t="shared" si="8"/>
        <v>77974.962870000003</v>
      </c>
      <c r="O56" s="498"/>
      <c r="P56" s="160"/>
      <c r="T56" s="159"/>
    </row>
    <row r="57" spans="1:20" x14ac:dyDescent="0.25">
      <c r="A57" s="515" t="s">
        <v>972</v>
      </c>
      <c r="B57" s="505" t="s">
        <v>979</v>
      </c>
      <c r="C57" s="497">
        <v>57349.950000000004</v>
      </c>
      <c r="D57" s="497">
        <f t="shared" si="11"/>
        <v>6658.4931000000015</v>
      </c>
      <c r="E57" s="506">
        <f t="shared" si="1"/>
        <v>286.74975000000001</v>
      </c>
      <c r="F57" s="497">
        <f t="shared" si="2"/>
        <v>11859.969660000002</v>
      </c>
      <c r="G57" s="507">
        <f t="shared" si="10"/>
        <v>76155.162510000009</v>
      </c>
      <c r="H57" s="520">
        <f t="shared" si="3"/>
        <v>57349.950000000004</v>
      </c>
      <c r="I57" s="521">
        <v>7745.85</v>
      </c>
      <c r="J57" s="521">
        <f t="shared" si="4"/>
        <v>65095.8</v>
      </c>
      <c r="K57" s="521">
        <f t="shared" si="12"/>
        <v>7727.4204000000009</v>
      </c>
      <c r="L57" s="521">
        <f t="shared" si="6"/>
        <v>325.47900000000004</v>
      </c>
      <c r="M57" s="521">
        <f t="shared" si="7"/>
        <v>13461.811440000001</v>
      </c>
      <c r="N57" s="521">
        <f t="shared" si="8"/>
        <v>86610.510840000017</v>
      </c>
      <c r="O57" s="498"/>
      <c r="P57" s="572"/>
      <c r="T57" s="159"/>
    </row>
    <row r="58" spans="1:20" x14ac:dyDescent="0.25">
      <c r="A58" s="515" t="s">
        <v>981</v>
      </c>
      <c r="B58" s="505" t="s">
        <v>982</v>
      </c>
      <c r="C58" s="497">
        <v>58972.200000000004</v>
      </c>
      <c r="D58" s="497">
        <f t="shared" si="11"/>
        <v>6882.3636000000015</v>
      </c>
      <c r="E58" s="506">
        <f t="shared" si="1"/>
        <v>294.86100000000005</v>
      </c>
      <c r="F58" s="497">
        <f t="shared" si="2"/>
        <v>12195.450960000002</v>
      </c>
      <c r="G58" s="507">
        <f t="shared" si="10"/>
        <v>78344.875560000015</v>
      </c>
      <c r="H58" s="520">
        <f t="shared" si="3"/>
        <v>58972.200000000004</v>
      </c>
      <c r="I58" s="521">
        <v>7745.85</v>
      </c>
      <c r="J58" s="521">
        <f t="shared" si="4"/>
        <v>66718.05</v>
      </c>
      <c r="K58" s="521">
        <f t="shared" si="12"/>
        <v>7951.2909000000009</v>
      </c>
      <c r="L58" s="521">
        <f t="shared" si="6"/>
        <v>333.59025000000003</v>
      </c>
      <c r="M58" s="521">
        <f t="shared" si="7"/>
        <v>13797.292740000001</v>
      </c>
      <c r="N58" s="521">
        <f t="shared" si="8"/>
        <v>88800.223890000008</v>
      </c>
      <c r="O58" s="498"/>
      <c r="P58" s="571" t="s">
        <v>949</v>
      </c>
      <c r="T58" s="159"/>
    </row>
    <row r="59" spans="1:20" x14ac:dyDescent="0.25">
      <c r="A59" s="515" t="s">
        <v>981</v>
      </c>
      <c r="B59" s="505" t="s">
        <v>983</v>
      </c>
      <c r="C59" s="497">
        <v>58972.200000000004</v>
      </c>
      <c r="D59" s="497">
        <f t="shared" si="11"/>
        <v>6882.3636000000015</v>
      </c>
      <c r="E59" s="506">
        <f t="shared" si="1"/>
        <v>294.86100000000005</v>
      </c>
      <c r="F59" s="497">
        <f t="shared" si="2"/>
        <v>12195.450960000002</v>
      </c>
      <c r="G59" s="507">
        <f t="shared" si="10"/>
        <v>78344.875560000015</v>
      </c>
      <c r="H59" s="520">
        <f t="shared" si="3"/>
        <v>58972.200000000004</v>
      </c>
      <c r="I59" s="521">
        <v>7745.85</v>
      </c>
      <c r="J59" s="521">
        <f t="shared" si="4"/>
        <v>66718.05</v>
      </c>
      <c r="K59" s="521">
        <f t="shared" si="12"/>
        <v>7951.2909000000009</v>
      </c>
      <c r="L59" s="521">
        <f t="shared" si="6"/>
        <v>333.59025000000003</v>
      </c>
      <c r="M59" s="521">
        <f t="shared" si="7"/>
        <v>13797.292740000001</v>
      </c>
      <c r="N59" s="521">
        <f t="shared" si="8"/>
        <v>88800.223890000008</v>
      </c>
      <c r="O59" s="498"/>
      <c r="P59" s="572" t="s">
        <v>980</v>
      </c>
      <c r="S59">
        <v>43</v>
      </c>
      <c r="T59" s="159"/>
    </row>
    <row r="60" spans="1:20" x14ac:dyDescent="0.25">
      <c r="A60" s="515" t="s">
        <v>981</v>
      </c>
      <c r="B60" s="505" t="s">
        <v>985</v>
      </c>
      <c r="C60" s="497">
        <v>58972.200000000004</v>
      </c>
      <c r="D60" s="497">
        <f t="shared" si="11"/>
        <v>6882.3636000000015</v>
      </c>
      <c r="E60" s="506">
        <f t="shared" si="1"/>
        <v>294.86100000000005</v>
      </c>
      <c r="F60" s="497">
        <f t="shared" si="2"/>
        <v>12195.450960000002</v>
      </c>
      <c r="G60" s="507">
        <f t="shared" si="10"/>
        <v>78344.875560000015</v>
      </c>
      <c r="H60" s="520">
        <f t="shared" si="3"/>
        <v>58972.200000000004</v>
      </c>
      <c r="I60" s="521">
        <v>7745.85</v>
      </c>
      <c r="J60" s="521">
        <f t="shared" si="4"/>
        <v>66718.05</v>
      </c>
      <c r="K60" s="521">
        <f t="shared" si="12"/>
        <v>7951.2909000000009</v>
      </c>
      <c r="L60" s="521">
        <f t="shared" si="6"/>
        <v>333.59025000000003</v>
      </c>
      <c r="M60" s="521">
        <f t="shared" si="7"/>
        <v>13797.292740000001</v>
      </c>
      <c r="N60" s="521">
        <f t="shared" si="8"/>
        <v>88800.223890000008</v>
      </c>
      <c r="O60" s="498"/>
      <c r="P60" s="572"/>
      <c r="T60" s="159"/>
    </row>
    <row r="61" spans="1:20" x14ac:dyDescent="0.25">
      <c r="A61" s="515" t="s">
        <v>981</v>
      </c>
      <c r="B61" s="505" t="s">
        <v>987</v>
      </c>
      <c r="C61" s="497">
        <v>58972.200000000004</v>
      </c>
      <c r="D61" s="497">
        <f t="shared" si="11"/>
        <v>6882.3636000000015</v>
      </c>
      <c r="E61" s="506">
        <f t="shared" si="1"/>
        <v>294.86100000000005</v>
      </c>
      <c r="F61" s="497">
        <f t="shared" si="2"/>
        <v>12195.450960000002</v>
      </c>
      <c r="G61" s="507">
        <f t="shared" si="10"/>
        <v>78344.875560000015</v>
      </c>
      <c r="H61" s="520">
        <f t="shared" si="3"/>
        <v>58972.200000000004</v>
      </c>
      <c r="I61" s="521">
        <v>7745.85</v>
      </c>
      <c r="J61" s="521">
        <f t="shared" si="4"/>
        <v>66718.05</v>
      </c>
      <c r="K61" s="521">
        <f t="shared" si="12"/>
        <v>7951.2909000000009</v>
      </c>
      <c r="L61" s="521">
        <f t="shared" si="6"/>
        <v>333.59025000000003</v>
      </c>
      <c r="M61" s="521">
        <f t="shared" si="7"/>
        <v>13797.292740000001</v>
      </c>
      <c r="N61" s="521">
        <f t="shared" si="8"/>
        <v>88800.223890000008</v>
      </c>
      <c r="O61" s="498"/>
      <c r="P61" s="572" t="s">
        <v>984</v>
      </c>
      <c r="S61">
        <v>10</v>
      </c>
      <c r="T61" s="159"/>
    </row>
    <row r="62" spans="1:20" x14ac:dyDescent="0.25">
      <c r="A62" s="515" t="s">
        <v>981</v>
      </c>
      <c r="B62" s="505" t="s">
        <v>988</v>
      </c>
      <c r="C62" s="497">
        <v>58972.200000000004</v>
      </c>
      <c r="D62" s="497">
        <f t="shared" si="11"/>
        <v>6882.3636000000015</v>
      </c>
      <c r="E62" s="506">
        <f t="shared" si="1"/>
        <v>294.86100000000005</v>
      </c>
      <c r="F62" s="497">
        <f t="shared" si="2"/>
        <v>12195.450960000002</v>
      </c>
      <c r="G62" s="507">
        <f t="shared" si="10"/>
        <v>78344.875560000015</v>
      </c>
      <c r="H62" s="520">
        <f t="shared" si="3"/>
        <v>58972.200000000004</v>
      </c>
      <c r="I62" s="521">
        <v>7745.85</v>
      </c>
      <c r="J62" s="521">
        <f t="shared" si="4"/>
        <v>66718.05</v>
      </c>
      <c r="K62" s="521">
        <f t="shared" si="12"/>
        <v>7951.2909000000009</v>
      </c>
      <c r="L62" s="521">
        <f t="shared" si="6"/>
        <v>333.59025000000003</v>
      </c>
      <c r="M62" s="521">
        <f t="shared" si="7"/>
        <v>13797.292740000001</v>
      </c>
      <c r="N62" s="521">
        <f t="shared" si="8"/>
        <v>88800.223890000008</v>
      </c>
      <c r="O62" s="498"/>
      <c r="P62" s="572" t="s">
        <v>986</v>
      </c>
      <c r="S62">
        <v>-2</v>
      </c>
      <c r="T62" s="159"/>
    </row>
    <row r="63" spans="1:20" x14ac:dyDescent="0.25">
      <c r="A63" s="515" t="s">
        <v>981</v>
      </c>
      <c r="B63" s="505" t="s">
        <v>990</v>
      </c>
      <c r="C63" s="497">
        <v>68525.100000000006</v>
      </c>
      <c r="D63" s="497">
        <f t="shared" si="11"/>
        <v>8200.6638000000021</v>
      </c>
      <c r="E63" s="506">
        <f t="shared" si="1"/>
        <v>342.62550000000005</v>
      </c>
      <c r="F63" s="497">
        <f t="shared" si="2"/>
        <v>14170.990680000003</v>
      </c>
      <c r="G63" s="507">
        <f t="shared" si="10"/>
        <v>91239.379980000012</v>
      </c>
      <c r="H63" s="520">
        <f t="shared" si="3"/>
        <v>68525.100000000006</v>
      </c>
      <c r="I63" s="521">
        <v>7745.85</v>
      </c>
      <c r="J63" s="521">
        <f t="shared" si="4"/>
        <v>76270.950000000012</v>
      </c>
      <c r="K63" s="521">
        <f t="shared" si="12"/>
        <v>9269.5911000000033</v>
      </c>
      <c r="L63" s="521">
        <f t="shared" si="6"/>
        <v>381.35475000000008</v>
      </c>
      <c r="M63" s="521">
        <f t="shared" si="7"/>
        <v>15772.832460000003</v>
      </c>
      <c r="N63" s="521">
        <f t="shared" si="8"/>
        <v>101694.72831000002</v>
      </c>
      <c r="O63" s="498"/>
      <c r="P63" s="572"/>
      <c r="S63" s="331">
        <v>8</v>
      </c>
      <c r="T63" s="159"/>
    </row>
    <row r="64" spans="1:20" x14ac:dyDescent="0.25">
      <c r="A64" s="515" t="s">
        <v>991</v>
      </c>
      <c r="B64" s="505" t="s">
        <v>992</v>
      </c>
      <c r="C64" s="497">
        <v>70417.2</v>
      </c>
      <c r="D64" s="497">
        <f t="shared" si="11"/>
        <v>8461.7736000000004</v>
      </c>
      <c r="E64" s="506">
        <f t="shared" si="1"/>
        <v>352.08600000000001</v>
      </c>
      <c r="F64" s="497">
        <f t="shared" si="2"/>
        <v>14562.276960000001</v>
      </c>
      <c r="G64" s="507">
        <f t="shared" si="10"/>
        <v>93793.336559999996</v>
      </c>
      <c r="H64" s="520">
        <f t="shared" si="3"/>
        <v>70417.2</v>
      </c>
      <c r="I64" s="521">
        <v>7745.85</v>
      </c>
      <c r="J64" s="521">
        <f t="shared" si="4"/>
        <v>78163.05</v>
      </c>
      <c r="K64" s="521">
        <f t="shared" si="12"/>
        <v>9530.7009000000016</v>
      </c>
      <c r="L64" s="521">
        <f t="shared" si="6"/>
        <v>390.81525000000005</v>
      </c>
      <c r="M64" s="521">
        <f t="shared" si="7"/>
        <v>16164.118740000002</v>
      </c>
      <c r="N64" s="521">
        <f t="shared" si="8"/>
        <v>104248.68489</v>
      </c>
      <c r="O64" s="498"/>
      <c r="P64" s="572" t="s">
        <v>989</v>
      </c>
      <c r="S64" s="364">
        <f>S63*4*S59</f>
        <v>1376</v>
      </c>
      <c r="T64" s="159"/>
    </row>
    <row r="65" spans="1:20" x14ac:dyDescent="0.25">
      <c r="A65" s="515" t="s">
        <v>991</v>
      </c>
      <c r="B65" s="505" t="s">
        <v>993</v>
      </c>
      <c r="C65" s="497">
        <v>70417.2</v>
      </c>
      <c r="D65" s="497">
        <f t="shared" si="11"/>
        <v>8461.7736000000004</v>
      </c>
      <c r="E65" s="506">
        <f t="shared" si="1"/>
        <v>352.08600000000001</v>
      </c>
      <c r="F65" s="497">
        <f t="shared" si="2"/>
        <v>14562.276960000001</v>
      </c>
      <c r="G65" s="507">
        <f t="shared" si="10"/>
        <v>93793.336559999996</v>
      </c>
      <c r="H65" s="520">
        <f t="shared" si="3"/>
        <v>70417.2</v>
      </c>
      <c r="I65" s="521">
        <v>7745.85</v>
      </c>
      <c r="J65" s="521">
        <f t="shared" si="4"/>
        <v>78163.05</v>
      </c>
      <c r="K65" s="521">
        <f t="shared" si="12"/>
        <v>9530.7009000000016</v>
      </c>
      <c r="L65" s="521">
        <f t="shared" si="6"/>
        <v>390.81525000000005</v>
      </c>
      <c r="M65" s="521">
        <f t="shared" si="7"/>
        <v>16164.118740000002</v>
      </c>
      <c r="N65" s="521">
        <f t="shared" si="8"/>
        <v>104248.68489</v>
      </c>
      <c r="O65" s="498"/>
      <c r="P65" s="160"/>
      <c r="T65" s="159"/>
    </row>
    <row r="66" spans="1:20" x14ac:dyDescent="0.25">
      <c r="A66" s="515" t="s">
        <v>991</v>
      </c>
      <c r="B66" s="505" t="s">
        <v>994</v>
      </c>
      <c r="C66" s="497">
        <v>70417.2</v>
      </c>
      <c r="D66" s="497">
        <f t="shared" si="11"/>
        <v>8461.7736000000004</v>
      </c>
      <c r="E66" s="506">
        <f t="shared" si="1"/>
        <v>352.08600000000001</v>
      </c>
      <c r="F66" s="497">
        <f t="shared" si="2"/>
        <v>14562.276960000001</v>
      </c>
      <c r="G66" s="507">
        <f t="shared" si="10"/>
        <v>93793.336559999996</v>
      </c>
      <c r="H66" s="520">
        <f t="shared" si="3"/>
        <v>70417.2</v>
      </c>
      <c r="I66" s="521">
        <v>7745.85</v>
      </c>
      <c r="J66" s="521">
        <f t="shared" si="4"/>
        <v>78163.05</v>
      </c>
      <c r="K66" s="521">
        <f t="shared" si="12"/>
        <v>9530.7009000000016</v>
      </c>
      <c r="L66" s="521">
        <f t="shared" si="6"/>
        <v>390.81525000000005</v>
      </c>
      <c r="M66" s="521">
        <f t="shared" si="7"/>
        <v>16164.118740000002</v>
      </c>
      <c r="N66" s="521">
        <f t="shared" si="8"/>
        <v>104248.68489</v>
      </c>
      <c r="O66" s="498"/>
      <c r="P66" s="572"/>
      <c r="T66" s="159"/>
    </row>
    <row r="67" spans="1:20" x14ac:dyDescent="0.25">
      <c r="A67" s="515" t="s">
        <v>991</v>
      </c>
      <c r="B67" s="505" t="s">
        <v>996</v>
      </c>
      <c r="C67" s="497">
        <v>70417.2</v>
      </c>
      <c r="D67" s="497">
        <f t="shared" si="11"/>
        <v>8461.7736000000004</v>
      </c>
      <c r="E67" s="506">
        <f t="shared" si="1"/>
        <v>352.08600000000001</v>
      </c>
      <c r="F67" s="497">
        <f t="shared" si="2"/>
        <v>14562.276960000001</v>
      </c>
      <c r="G67" s="507">
        <f t="shared" si="10"/>
        <v>93793.336559999996</v>
      </c>
      <c r="H67" s="520">
        <f t="shared" si="3"/>
        <v>70417.2</v>
      </c>
      <c r="I67" s="521">
        <v>7745.85</v>
      </c>
      <c r="J67" s="521">
        <f t="shared" si="4"/>
        <v>78163.05</v>
      </c>
      <c r="K67" s="521">
        <f t="shared" si="12"/>
        <v>9530.7009000000016</v>
      </c>
      <c r="L67" s="521">
        <f t="shared" si="6"/>
        <v>390.81525000000005</v>
      </c>
      <c r="M67" s="521">
        <f t="shared" si="7"/>
        <v>16164.118740000002</v>
      </c>
      <c r="N67" s="521">
        <f t="shared" si="8"/>
        <v>104248.68489</v>
      </c>
      <c r="O67" s="498"/>
      <c r="P67" s="571" t="s">
        <v>955</v>
      </c>
      <c r="T67" s="159"/>
    </row>
    <row r="68" spans="1:20" x14ac:dyDescent="0.25">
      <c r="A68" s="515" t="s">
        <v>991</v>
      </c>
      <c r="B68" s="505" t="s">
        <v>998</v>
      </c>
      <c r="C68" s="497">
        <v>70417.2</v>
      </c>
      <c r="D68" s="497">
        <f t="shared" si="11"/>
        <v>8461.7736000000004</v>
      </c>
      <c r="E68" s="506">
        <f t="shared" si="1"/>
        <v>352.08600000000001</v>
      </c>
      <c r="F68" s="497">
        <f t="shared" si="2"/>
        <v>14562.276960000001</v>
      </c>
      <c r="G68" s="507">
        <f t="shared" si="10"/>
        <v>93793.336559999996</v>
      </c>
      <c r="H68" s="520">
        <f t="shared" si="3"/>
        <v>70417.2</v>
      </c>
      <c r="I68" s="521">
        <v>7745.85</v>
      </c>
      <c r="J68" s="521">
        <f t="shared" si="4"/>
        <v>78163.05</v>
      </c>
      <c r="K68" s="521">
        <f t="shared" si="12"/>
        <v>9530.7009000000016</v>
      </c>
      <c r="L68" s="521">
        <f t="shared" si="6"/>
        <v>390.81525000000005</v>
      </c>
      <c r="M68" s="521">
        <f t="shared" si="7"/>
        <v>16164.118740000002</v>
      </c>
      <c r="N68" s="521">
        <f t="shared" si="8"/>
        <v>104248.68489</v>
      </c>
      <c r="O68" s="498"/>
      <c r="P68" s="572" t="s">
        <v>995</v>
      </c>
      <c r="S68">
        <v>44.7</v>
      </c>
      <c r="T68" s="159"/>
    </row>
    <row r="69" spans="1:20" x14ac:dyDescent="0.25">
      <c r="A69" s="515" t="s">
        <v>991</v>
      </c>
      <c r="B69" s="505" t="s">
        <v>1000</v>
      </c>
      <c r="C69" s="497">
        <v>81137.7</v>
      </c>
      <c r="D69" s="497">
        <f t="shared" ref="D69:D100" si="15">(C69-$A$109)*0.138</f>
        <v>9941.2026000000005</v>
      </c>
      <c r="E69" s="506">
        <f t="shared" ref="E69:E100" si="16">C69*0.005</f>
        <v>405.68849999999998</v>
      </c>
      <c r="F69" s="497">
        <f t="shared" ref="F69:F100" si="17">C69*0.2068</f>
        <v>16779.27636</v>
      </c>
      <c r="G69" s="507">
        <f t="shared" ref="G69:G100" si="18">SUM(C69:F69)</f>
        <v>108263.86746000001</v>
      </c>
      <c r="H69" s="520">
        <f t="shared" ref="H69:H81" si="19">C69</f>
        <v>81137.7</v>
      </c>
      <c r="I69" s="521">
        <v>7745.85</v>
      </c>
      <c r="J69" s="521">
        <f t="shared" ref="J69:J81" si="20">C69+I69</f>
        <v>88883.55</v>
      </c>
      <c r="K69" s="521">
        <f t="shared" ref="K69:K81" si="21">(J69-$A$109)*0.138</f>
        <v>11010.129900000002</v>
      </c>
      <c r="L69" s="521">
        <f t="shared" ref="L69:L81" si="22">J69*0.005</f>
        <v>444.41775000000001</v>
      </c>
      <c r="M69" s="521">
        <f t="shared" ref="M69:M81" si="23">J69*0.2068</f>
        <v>18381.118140000002</v>
      </c>
      <c r="N69" s="521">
        <f t="shared" ref="N69:N81" si="24">SUM(J69:M69)</f>
        <v>118719.21579</v>
      </c>
      <c r="O69" s="498"/>
      <c r="P69" s="572" t="s">
        <v>997</v>
      </c>
      <c r="S69">
        <v>48</v>
      </c>
      <c r="T69" s="159"/>
    </row>
    <row r="70" spans="1:20" x14ac:dyDescent="0.25">
      <c r="A70" s="515" t="s">
        <v>1002</v>
      </c>
      <c r="B70" s="505" t="s">
        <v>1003</v>
      </c>
      <c r="C70" s="497">
        <v>83571.600000000006</v>
      </c>
      <c r="D70" s="497">
        <f t="shared" si="15"/>
        <v>10277.080800000002</v>
      </c>
      <c r="E70" s="506">
        <f t="shared" si="16"/>
        <v>417.85800000000006</v>
      </c>
      <c r="F70" s="497">
        <f t="shared" si="17"/>
        <v>17282.606880000003</v>
      </c>
      <c r="G70" s="507">
        <f t="shared" si="18"/>
        <v>111549.14568</v>
      </c>
      <c r="H70" s="520">
        <f t="shared" si="19"/>
        <v>83571.600000000006</v>
      </c>
      <c r="I70" s="521">
        <v>7745.85</v>
      </c>
      <c r="J70" s="521">
        <f t="shared" si="20"/>
        <v>91317.450000000012</v>
      </c>
      <c r="K70" s="521">
        <f t="shared" si="21"/>
        <v>11346.008100000003</v>
      </c>
      <c r="L70" s="521">
        <f t="shared" si="22"/>
        <v>456.58725000000004</v>
      </c>
      <c r="M70" s="521">
        <f t="shared" si="23"/>
        <v>18884.448660000002</v>
      </c>
      <c r="N70" s="521">
        <f t="shared" si="24"/>
        <v>122004.49401000002</v>
      </c>
      <c r="O70" s="498"/>
      <c r="P70" s="572" t="s">
        <v>999</v>
      </c>
      <c r="S70">
        <v>2145.6</v>
      </c>
      <c r="T70" s="159"/>
    </row>
    <row r="71" spans="1:20" x14ac:dyDescent="0.25">
      <c r="A71" s="515" t="s">
        <v>1002</v>
      </c>
      <c r="B71" s="505" t="s">
        <v>1005</v>
      </c>
      <c r="C71" s="497">
        <v>83571.600000000006</v>
      </c>
      <c r="D71" s="497">
        <f t="shared" si="15"/>
        <v>10277.080800000002</v>
      </c>
      <c r="E71" s="506">
        <f t="shared" si="16"/>
        <v>417.85800000000006</v>
      </c>
      <c r="F71" s="497">
        <f t="shared" si="17"/>
        <v>17282.606880000003</v>
      </c>
      <c r="G71" s="507">
        <f t="shared" si="18"/>
        <v>111549.14568</v>
      </c>
      <c r="H71" s="520">
        <f t="shared" si="19"/>
        <v>83571.600000000006</v>
      </c>
      <c r="I71" s="521">
        <v>7745.85</v>
      </c>
      <c r="J71" s="521">
        <f t="shared" si="20"/>
        <v>91317.450000000012</v>
      </c>
      <c r="K71" s="521">
        <f t="shared" si="21"/>
        <v>11346.008100000003</v>
      </c>
      <c r="L71" s="521">
        <f t="shared" si="22"/>
        <v>456.58725000000004</v>
      </c>
      <c r="M71" s="521">
        <f t="shared" si="23"/>
        <v>18884.448660000002</v>
      </c>
      <c r="N71" s="521">
        <f t="shared" si="24"/>
        <v>122004.49401000002</v>
      </c>
      <c r="O71" s="498"/>
      <c r="P71" s="572" t="s">
        <v>1001</v>
      </c>
      <c r="S71" s="573">
        <v>0.6</v>
      </c>
      <c r="T71" s="159"/>
    </row>
    <row r="72" spans="1:20" x14ac:dyDescent="0.25">
      <c r="A72" s="515" t="s">
        <v>1002</v>
      </c>
      <c r="B72" s="505" t="s">
        <v>1006</v>
      </c>
      <c r="C72" s="497">
        <v>83571.600000000006</v>
      </c>
      <c r="D72" s="497">
        <f t="shared" si="15"/>
        <v>10277.080800000002</v>
      </c>
      <c r="E72" s="506">
        <f t="shared" si="16"/>
        <v>417.85800000000006</v>
      </c>
      <c r="F72" s="497">
        <f t="shared" si="17"/>
        <v>17282.606880000003</v>
      </c>
      <c r="G72" s="507">
        <f t="shared" si="18"/>
        <v>111549.14568</v>
      </c>
      <c r="H72" s="520">
        <f t="shared" si="19"/>
        <v>83571.600000000006</v>
      </c>
      <c r="I72" s="521">
        <v>7745.85</v>
      </c>
      <c r="J72" s="521">
        <f t="shared" si="20"/>
        <v>91317.450000000012</v>
      </c>
      <c r="K72" s="521">
        <f t="shared" si="21"/>
        <v>11346.008100000003</v>
      </c>
      <c r="L72" s="521">
        <f t="shared" si="22"/>
        <v>456.58725000000004</v>
      </c>
      <c r="M72" s="521">
        <f t="shared" si="23"/>
        <v>18884.448660000002</v>
      </c>
      <c r="N72" s="521">
        <f t="shared" si="24"/>
        <v>122004.49401000002</v>
      </c>
      <c r="O72" s="498"/>
      <c r="P72" s="572" t="s">
        <v>1004</v>
      </c>
      <c r="S72" s="570">
        <f>ROUND(S71*S70,0)</f>
        <v>1287</v>
      </c>
      <c r="T72" s="159"/>
    </row>
    <row r="73" spans="1:20" x14ac:dyDescent="0.25">
      <c r="A73" s="515" t="s">
        <v>1002</v>
      </c>
      <c r="B73" s="505" t="s">
        <v>1007</v>
      </c>
      <c r="C73" s="497">
        <v>83571.600000000006</v>
      </c>
      <c r="D73" s="497">
        <f t="shared" si="15"/>
        <v>10277.080800000002</v>
      </c>
      <c r="E73" s="506">
        <f t="shared" si="16"/>
        <v>417.85800000000006</v>
      </c>
      <c r="F73" s="497">
        <f t="shared" si="17"/>
        <v>17282.606880000003</v>
      </c>
      <c r="G73" s="507">
        <f t="shared" si="18"/>
        <v>111549.14568</v>
      </c>
      <c r="H73" s="520">
        <f t="shared" si="19"/>
        <v>83571.600000000006</v>
      </c>
      <c r="I73" s="521">
        <v>7745.85</v>
      </c>
      <c r="J73" s="521">
        <f t="shared" si="20"/>
        <v>91317.450000000012</v>
      </c>
      <c r="K73" s="521">
        <f t="shared" si="21"/>
        <v>11346.008100000003</v>
      </c>
      <c r="L73" s="521">
        <f t="shared" si="22"/>
        <v>456.58725000000004</v>
      </c>
      <c r="M73" s="521">
        <f t="shared" si="23"/>
        <v>18884.448660000002</v>
      </c>
      <c r="N73" s="521">
        <f t="shared" si="24"/>
        <v>122004.49401000002</v>
      </c>
      <c r="O73" s="498"/>
      <c r="P73" s="161"/>
      <c r="Q73" s="162"/>
      <c r="R73" s="574"/>
      <c r="S73" s="162"/>
      <c r="T73" s="163"/>
    </row>
    <row r="74" spans="1:20" x14ac:dyDescent="0.25">
      <c r="A74" s="515" t="s">
        <v>1002</v>
      </c>
      <c r="B74" s="505" t="s">
        <v>1008</v>
      </c>
      <c r="C74" s="497">
        <v>83571.600000000006</v>
      </c>
      <c r="D74" s="497">
        <f t="shared" si="15"/>
        <v>10277.080800000002</v>
      </c>
      <c r="E74" s="506">
        <f t="shared" si="16"/>
        <v>417.85800000000006</v>
      </c>
      <c r="F74" s="497">
        <f t="shared" si="17"/>
        <v>17282.606880000003</v>
      </c>
      <c r="G74" s="507">
        <f t="shared" si="18"/>
        <v>111549.14568</v>
      </c>
      <c r="H74" s="520">
        <f t="shared" si="19"/>
        <v>83571.600000000006</v>
      </c>
      <c r="I74" s="521">
        <v>7745.85</v>
      </c>
      <c r="J74" s="521">
        <f t="shared" si="20"/>
        <v>91317.450000000012</v>
      </c>
      <c r="K74" s="521">
        <f t="shared" si="21"/>
        <v>11346.008100000003</v>
      </c>
      <c r="L74" s="521">
        <f t="shared" si="22"/>
        <v>456.58725000000004</v>
      </c>
      <c r="M74" s="521">
        <f t="shared" si="23"/>
        <v>18884.448660000002</v>
      </c>
      <c r="N74" s="521">
        <f t="shared" si="24"/>
        <v>122004.49401000002</v>
      </c>
      <c r="O74" s="498"/>
    </row>
    <row r="75" spans="1:20" x14ac:dyDescent="0.25">
      <c r="A75" s="515" t="s">
        <v>1002</v>
      </c>
      <c r="B75" s="505" t="s">
        <v>1009</v>
      </c>
      <c r="C75" s="497">
        <v>96376.35</v>
      </c>
      <c r="D75" s="497">
        <f t="shared" si="15"/>
        <v>12044.136300000002</v>
      </c>
      <c r="E75" s="506">
        <f t="shared" si="16"/>
        <v>481.88175000000001</v>
      </c>
      <c r="F75" s="497">
        <f t="shared" si="17"/>
        <v>19930.629180000004</v>
      </c>
      <c r="G75" s="507">
        <f t="shared" si="18"/>
        <v>128832.99723000001</v>
      </c>
      <c r="H75" s="520">
        <f t="shared" si="19"/>
        <v>96376.35</v>
      </c>
      <c r="I75" s="521">
        <v>7745.85</v>
      </c>
      <c r="J75" s="521">
        <f t="shared" si="20"/>
        <v>104122.20000000001</v>
      </c>
      <c r="K75" s="521">
        <f t="shared" si="21"/>
        <v>13113.063600000003</v>
      </c>
      <c r="L75" s="521">
        <f t="shared" si="22"/>
        <v>520.6110000000001</v>
      </c>
      <c r="M75" s="521">
        <f t="shared" si="23"/>
        <v>21532.470960000002</v>
      </c>
      <c r="N75" s="521">
        <f t="shared" si="24"/>
        <v>139288.34556000002</v>
      </c>
      <c r="O75" s="498"/>
    </row>
    <row r="76" spans="1:20" x14ac:dyDescent="0.25">
      <c r="A76" s="515">
        <v>9</v>
      </c>
      <c r="B76" s="505" t="s">
        <v>1010</v>
      </c>
      <c r="C76" s="497">
        <v>99891.75</v>
      </c>
      <c r="D76" s="497">
        <f t="shared" si="15"/>
        <v>12529.261500000001</v>
      </c>
      <c r="E76" s="506">
        <f t="shared" si="16"/>
        <v>499.45875000000001</v>
      </c>
      <c r="F76" s="497">
        <f t="shared" si="17"/>
        <v>20657.6139</v>
      </c>
      <c r="G76" s="507">
        <f t="shared" si="18"/>
        <v>133578.08415000001</v>
      </c>
      <c r="H76" s="520">
        <f t="shared" si="19"/>
        <v>99891.75</v>
      </c>
      <c r="I76" s="521">
        <v>7745.85</v>
      </c>
      <c r="J76" s="521">
        <f t="shared" si="20"/>
        <v>107637.6</v>
      </c>
      <c r="K76" s="521">
        <f t="shared" si="21"/>
        <v>13598.188800000002</v>
      </c>
      <c r="L76" s="521">
        <f t="shared" si="22"/>
        <v>538.18799999999999</v>
      </c>
      <c r="M76" s="521">
        <f t="shared" si="23"/>
        <v>22259.455680000003</v>
      </c>
      <c r="N76" s="521">
        <f t="shared" si="24"/>
        <v>144033.43248000002</v>
      </c>
      <c r="O76" s="498"/>
    </row>
    <row r="77" spans="1:20" x14ac:dyDescent="0.25">
      <c r="A77" s="515">
        <v>9</v>
      </c>
      <c r="B77" s="505" t="s">
        <v>1011</v>
      </c>
      <c r="C77" s="497">
        <v>99891.75</v>
      </c>
      <c r="D77" s="497">
        <f t="shared" si="15"/>
        <v>12529.261500000001</v>
      </c>
      <c r="E77" s="506">
        <f t="shared" si="16"/>
        <v>499.45875000000001</v>
      </c>
      <c r="F77" s="497">
        <f t="shared" si="17"/>
        <v>20657.6139</v>
      </c>
      <c r="G77" s="507">
        <f t="shared" si="18"/>
        <v>133578.08415000001</v>
      </c>
      <c r="H77" s="520">
        <f t="shared" si="19"/>
        <v>99891.75</v>
      </c>
      <c r="I77" s="521">
        <v>7745.85</v>
      </c>
      <c r="J77" s="521">
        <f t="shared" si="20"/>
        <v>107637.6</v>
      </c>
      <c r="K77" s="521">
        <f t="shared" si="21"/>
        <v>13598.188800000002</v>
      </c>
      <c r="L77" s="521">
        <f t="shared" si="22"/>
        <v>538.18799999999999</v>
      </c>
      <c r="M77" s="521">
        <f t="shared" si="23"/>
        <v>22259.455680000003</v>
      </c>
      <c r="N77" s="521">
        <f t="shared" si="24"/>
        <v>144033.43248000002</v>
      </c>
      <c r="O77" s="498"/>
      <c r="P77" s="498"/>
    </row>
    <row r="78" spans="1:20" x14ac:dyDescent="0.25">
      <c r="A78" s="515">
        <v>9</v>
      </c>
      <c r="B78" s="505" t="s">
        <v>1012</v>
      </c>
      <c r="C78" s="497">
        <v>99891.75</v>
      </c>
      <c r="D78" s="497">
        <f t="shared" si="15"/>
        <v>12529.261500000001</v>
      </c>
      <c r="E78" s="506">
        <f t="shared" si="16"/>
        <v>499.45875000000001</v>
      </c>
      <c r="F78" s="497">
        <f t="shared" si="17"/>
        <v>20657.6139</v>
      </c>
      <c r="G78" s="507">
        <f t="shared" si="18"/>
        <v>133578.08415000001</v>
      </c>
      <c r="H78" s="520">
        <f t="shared" si="19"/>
        <v>99891.75</v>
      </c>
      <c r="I78" s="521">
        <v>7745.85</v>
      </c>
      <c r="J78" s="521">
        <f t="shared" si="20"/>
        <v>107637.6</v>
      </c>
      <c r="K78" s="521">
        <f t="shared" si="21"/>
        <v>13598.188800000002</v>
      </c>
      <c r="L78" s="521">
        <f t="shared" si="22"/>
        <v>538.18799999999999</v>
      </c>
      <c r="M78" s="521">
        <f t="shared" si="23"/>
        <v>22259.455680000003</v>
      </c>
      <c r="N78" s="521">
        <f t="shared" si="24"/>
        <v>144033.43248000002</v>
      </c>
      <c r="O78" s="498"/>
      <c r="P78" s="498"/>
    </row>
    <row r="79" spans="1:20" x14ac:dyDescent="0.25">
      <c r="A79" s="515">
        <v>9</v>
      </c>
      <c r="B79" s="505" t="s">
        <v>1013</v>
      </c>
      <c r="C79" s="497">
        <v>99891.75</v>
      </c>
      <c r="D79" s="497">
        <f t="shared" si="15"/>
        <v>12529.261500000001</v>
      </c>
      <c r="E79" s="506">
        <f t="shared" si="16"/>
        <v>499.45875000000001</v>
      </c>
      <c r="F79" s="497">
        <f t="shared" si="17"/>
        <v>20657.6139</v>
      </c>
      <c r="G79" s="507">
        <f t="shared" si="18"/>
        <v>133578.08415000001</v>
      </c>
      <c r="H79" s="520">
        <f t="shared" si="19"/>
        <v>99891.75</v>
      </c>
      <c r="I79" s="521">
        <v>7745.85</v>
      </c>
      <c r="J79" s="521">
        <f t="shared" si="20"/>
        <v>107637.6</v>
      </c>
      <c r="K79" s="521">
        <f t="shared" si="21"/>
        <v>13598.188800000002</v>
      </c>
      <c r="L79" s="521">
        <f t="shared" si="22"/>
        <v>538.18799999999999</v>
      </c>
      <c r="M79" s="521">
        <f t="shared" si="23"/>
        <v>22259.455680000003</v>
      </c>
      <c r="N79" s="521">
        <f t="shared" si="24"/>
        <v>144033.43248000002</v>
      </c>
      <c r="O79" s="498"/>
      <c r="P79" s="498"/>
    </row>
    <row r="80" spans="1:20" x14ac:dyDescent="0.25">
      <c r="A80" s="515">
        <v>9</v>
      </c>
      <c r="B80" s="505" t="s">
        <v>1014</v>
      </c>
      <c r="C80" s="497">
        <v>99891.75</v>
      </c>
      <c r="D80" s="497">
        <f t="shared" si="15"/>
        <v>12529.261500000001</v>
      </c>
      <c r="E80" s="506">
        <f t="shared" si="16"/>
        <v>499.45875000000001</v>
      </c>
      <c r="F80" s="497">
        <f t="shared" si="17"/>
        <v>20657.6139</v>
      </c>
      <c r="G80" s="507">
        <f t="shared" si="18"/>
        <v>133578.08415000001</v>
      </c>
      <c r="H80" s="520">
        <f t="shared" si="19"/>
        <v>99891.75</v>
      </c>
      <c r="I80" s="521">
        <v>7745.85</v>
      </c>
      <c r="J80" s="521">
        <f t="shared" si="20"/>
        <v>107637.6</v>
      </c>
      <c r="K80" s="521">
        <f t="shared" si="21"/>
        <v>13598.188800000002</v>
      </c>
      <c r="L80" s="521">
        <f t="shared" si="22"/>
        <v>538.18799999999999</v>
      </c>
      <c r="M80" s="521">
        <f t="shared" si="23"/>
        <v>22259.455680000003</v>
      </c>
      <c r="N80" s="521">
        <f t="shared" si="24"/>
        <v>144033.43248000002</v>
      </c>
      <c r="O80" s="498"/>
      <c r="P80" s="498"/>
    </row>
    <row r="81" spans="1:16" x14ac:dyDescent="0.25">
      <c r="A81" s="515">
        <v>9</v>
      </c>
      <c r="B81" s="505" t="s">
        <v>1015</v>
      </c>
      <c r="C81" s="497">
        <v>114948.75</v>
      </c>
      <c r="D81" s="497">
        <f t="shared" si="15"/>
        <v>14607.127500000001</v>
      </c>
      <c r="E81" s="506">
        <f t="shared" si="16"/>
        <v>574.74374999999998</v>
      </c>
      <c r="F81" s="497">
        <f t="shared" si="17"/>
        <v>23771.4015</v>
      </c>
      <c r="G81" s="507">
        <f t="shared" si="18"/>
        <v>153902.02275</v>
      </c>
      <c r="H81" s="580">
        <f t="shared" si="19"/>
        <v>114948.75</v>
      </c>
      <c r="I81" s="521">
        <v>7745.85</v>
      </c>
      <c r="J81" s="521">
        <f t="shared" si="20"/>
        <v>122694.6</v>
      </c>
      <c r="K81" s="521">
        <f t="shared" si="21"/>
        <v>15676.054800000002</v>
      </c>
      <c r="L81" s="521">
        <f t="shared" si="22"/>
        <v>613.47300000000007</v>
      </c>
      <c r="M81" s="521">
        <f t="shared" si="23"/>
        <v>25373.243280000002</v>
      </c>
      <c r="N81" s="521">
        <f t="shared" si="24"/>
        <v>164357.37108000001</v>
      </c>
      <c r="O81" s="498"/>
      <c r="P81" s="498"/>
    </row>
    <row r="82" spans="1:16" x14ac:dyDescent="0.25">
      <c r="A82" s="515" t="s">
        <v>949</v>
      </c>
      <c r="B82" s="149">
        <v>1</v>
      </c>
      <c r="C82" s="497">
        <v>88364</v>
      </c>
      <c r="D82" s="497">
        <f t="shared" si="15"/>
        <v>10938.432000000001</v>
      </c>
      <c r="E82" s="355">
        <f t="shared" si="16"/>
        <v>441.82</v>
      </c>
      <c r="F82" s="497">
        <f t="shared" si="17"/>
        <v>18273.675200000001</v>
      </c>
      <c r="G82" s="507">
        <f t="shared" si="18"/>
        <v>118017.92720000001</v>
      </c>
      <c r="H82" s="581"/>
    </row>
    <row r="83" spans="1:16" x14ac:dyDescent="0.25">
      <c r="A83" s="515" t="s">
        <v>949</v>
      </c>
      <c r="B83" s="149">
        <v>2</v>
      </c>
      <c r="C83" s="497">
        <v>91131</v>
      </c>
      <c r="D83" s="497">
        <f t="shared" si="15"/>
        <v>11320.278</v>
      </c>
      <c r="E83" s="355">
        <f t="shared" si="16"/>
        <v>455.65500000000003</v>
      </c>
      <c r="F83" s="497">
        <f t="shared" si="17"/>
        <v>18845.890800000001</v>
      </c>
      <c r="G83" s="507">
        <f t="shared" si="18"/>
        <v>121752.82380000001</v>
      </c>
    </row>
    <row r="84" spans="1:16" x14ac:dyDescent="0.25">
      <c r="A84" s="515" t="s">
        <v>949</v>
      </c>
      <c r="B84" s="149">
        <v>3</v>
      </c>
      <c r="C84" s="497">
        <v>93898</v>
      </c>
      <c r="D84" s="497">
        <f t="shared" si="15"/>
        <v>11702.124000000002</v>
      </c>
      <c r="E84" s="355">
        <f t="shared" si="16"/>
        <v>469.49</v>
      </c>
      <c r="F84" s="497">
        <f t="shared" si="17"/>
        <v>19418.106400000001</v>
      </c>
      <c r="G84" s="507">
        <f t="shared" si="18"/>
        <v>125487.72040000001</v>
      </c>
    </row>
    <row r="85" spans="1:16" x14ac:dyDescent="0.25">
      <c r="A85" s="515" t="s">
        <v>949</v>
      </c>
      <c r="B85" s="149">
        <v>4</v>
      </c>
      <c r="C85" s="497">
        <v>96665</v>
      </c>
      <c r="D85" s="497">
        <f t="shared" si="15"/>
        <v>12083.970000000001</v>
      </c>
      <c r="E85" s="355">
        <f t="shared" si="16"/>
        <v>483.32499999999999</v>
      </c>
      <c r="F85" s="497">
        <f t="shared" si="17"/>
        <v>19990.322</v>
      </c>
      <c r="G85" s="507">
        <f t="shared" si="18"/>
        <v>129222.617</v>
      </c>
    </row>
    <row r="86" spans="1:16" x14ac:dyDescent="0.25">
      <c r="A86" s="515" t="s">
        <v>949</v>
      </c>
      <c r="B86" s="149">
        <v>5</v>
      </c>
      <c r="C86" s="497">
        <v>99425</v>
      </c>
      <c r="D86" s="497">
        <f t="shared" si="15"/>
        <v>12464.85</v>
      </c>
      <c r="E86" s="355">
        <f t="shared" si="16"/>
        <v>497.125</v>
      </c>
      <c r="F86" s="497">
        <f t="shared" si="17"/>
        <v>20561.09</v>
      </c>
      <c r="G86" s="507">
        <f t="shared" si="18"/>
        <v>132948.065</v>
      </c>
    </row>
    <row r="87" spans="1:16" x14ac:dyDescent="0.25">
      <c r="A87" s="515" t="s">
        <v>949</v>
      </c>
      <c r="B87" s="149">
        <v>6</v>
      </c>
      <c r="C87" s="497">
        <v>99425</v>
      </c>
      <c r="D87" s="497">
        <f t="shared" si="15"/>
        <v>12464.85</v>
      </c>
      <c r="E87" s="355">
        <f t="shared" si="16"/>
        <v>497.125</v>
      </c>
      <c r="F87" s="497">
        <f t="shared" si="17"/>
        <v>20561.09</v>
      </c>
      <c r="G87" s="507">
        <f t="shared" si="18"/>
        <v>132948.065</v>
      </c>
    </row>
    <row r="88" spans="1:16" x14ac:dyDescent="0.25">
      <c r="A88" s="515" t="s">
        <v>949</v>
      </c>
      <c r="B88" s="149">
        <v>7</v>
      </c>
      <c r="C88" s="497">
        <v>99425</v>
      </c>
      <c r="D88" s="497">
        <f t="shared" si="15"/>
        <v>12464.85</v>
      </c>
      <c r="E88" s="355">
        <f t="shared" si="16"/>
        <v>497.125</v>
      </c>
      <c r="F88" s="497">
        <f t="shared" si="17"/>
        <v>20561.09</v>
      </c>
      <c r="G88" s="507">
        <f t="shared" si="18"/>
        <v>132948.065</v>
      </c>
    </row>
    <row r="89" spans="1:16" x14ac:dyDescent="0.25">
      <c r="A89" s="515" t="s">
        <v>949</v>
      </c>
      <c r="B89" s="149">
        <v>8</v>
      </c>
      <c r="C89" s="497">
        <v>99425</v>
      </c>
      <c r="D89" s="497">
        <f t="shared" si="15"/>
        <v>12464.85</v>
      </c>
      <c r="E89" s="355">
        <f t="shared" si="16"/>
        <v>497.125</v>
      </c>
      <c r="F89" s="497">
        <f t="shared" si="17"/>
        <v>20561.09</v>
      </c>
      <c r="G89" s="507">
        <f t="shared" si="18"/>
        <v>132948.065</v>
      </c>
    </row>
    <row r="90" spans="1:16" x14ac:dyDescent="0.25">
      <c r="A90" s="515" t="s">
        <v>949</v>
      </c>
      <c r="B90" s="149">
        <v>9</v>
      </c>
      <c r="C90" s="497">
        <v>105996</v>
      </c>
      <c r="D90" s="497">
        <f t="shared" si="15"/>
        <v>13371.648000000001</v>
      </c>
      <c r="E90" s="355">
        <f t="shared" si="16"/>
        <v>529.98</v>
      </c>
      <c r="F90" s="497">
        <f t="shared" si="17"/>
        <v>21919.9728</v>
      </c>
      <c r="G90" s="507">
        <f t="shared" si="18"/>
        <v>141817.60079999999</v>
      </c>
    </row>
    <row r="91" spans="1:16" x14ac:dyDescent="0.25">
      <c r="A91" s="515" t="s">
        <v>949</v>
      </c>
      <c r="B91" s="149">
        <v>10</v>
      </c>
      <c r="C91" s="497">
        <v>105996</v>
      </c>
      <c r="D91" s="497">
        <f t="shared" si="15"/>
        <v>13371.648000000001</v>
      </c>
      <c r="E91" s="355">
        <f t="shared" si="16"/>
        <v>529.98</v>
      </c>
      <c r="F91" s="497">
        <f t="shared" si="17"/>
        <v>21919.9728</v>
      </c>
      <c r="G91" s="507">
        <f t="shared" si="18"/>
        <v>141817.60079999999</v>
      </c>
    </row>
    <row r="92" spans="1:16" x14ac:dyDescent="0.25">
      <c r="A92" s="515" t="s">
        <v>949</v>
      </c>
      <c r="B92" s="149">
        <v>11</v>
      </c>
      <c r="C92" s="497">
        <v>105996</v>
      </c>
      <c r="D92" s="497">
        <f t="shared" si="15"/>
        <v>13371.648000000001</v>
      </c>
      <c r="E92" s="355">
        <f t="shared" si="16"/>
        <v>529.98</v>
      </c>
      <c r="F92" s="497">
        <f t="shared" si="17"/>
        <v>21919.9728</v>
      </c>
      <c r="G92" s="507">
        <f t="shared" si="18"/>
        <v>141817.60079999999</v>
      </c>
    </row>
    <row r="93" spans="1:16" x14ac:dyDescent="0.25">
      <c r="A93" s="515" t="s">
        <v>949</v>
      </c>
      <c r="B93" s="149">
        <v>12</v>
      </c>
      <c r="C93" s="497">
        <v>105996</v>
      </c>
      <c r="D93" s="497">
        <f t="shared" si="15"/>
        <v>13371.648000000001</v>
      </c>
      <c r="E93" s="355">
        <f t="shared" si="16"/>
        <v>529.98</v>
      </c>
      <c r="F93" s="497">
        <f t="shared" si="17"/>
        <v>21919.9728</v>
      </c>
      <c r="G93" s="507">
        <f t="shared" si="18"/>
        <v>141817.60079999999</v>
      </c>
    </row>
    <row r="94" spans="1:16" x14ac:dyDescent="0.25">
      <c r="A94" s="515" t="s">
        <v>949</v>
      </c>
      <c r="B94" s="149">
        <v>13</v>
      </c>
      <c r="C94" s="497">
        <v>105996</v>
      </c>
      <c r="D94" s="497">
        <f t="shared" si="15"/>
        <v>13371.648000000001</v>
      </c>
      <c r="E94" s="355">
        <f t="shared" si="16"/>
        <v>529.98</v>
      </c>
      <c r="F94" s="497">
        <f t="shared" si="17"/>
        <v>21919.9728</v>
      </c>
      <c r="G94" s="507">
        <f t="shared" si="18"/>
        <v>141817.60079999999</v>
      </c>
    </row>
    <row r="95" spans="1:16" x14ac:dyDescent="0.25">
      <c r="A95" s="515" t="s">
        <v>949</v>
      </c>
      <c r="B95" s="149">
        <v>14</v>
      </c>
      <c r="C95" s="497">
        <v>112569</v>
      </c>
      <c r="D95" s="497">
        <f t="shared" si="15"/>
        <v>14278.722000000002</v>
      </c>
      <c r="E95" s="355">
        <f t="shared" si="16"/>
        <v>562.84500000000003</v>
      </c>
      <c r="F95" s="497">
        <f t="shared" si="17"/>
        <v>23279.269200000002</v>
      </c>
      <c r="G95" s="507">
        <f t="shared" si="18"/>
        <v>150689.83620000002</v>
      </c>
    </row>
    <row r="96" spans="1:16" x14ac:dyDescent="0.25">
      <c r="A96" s="515" t="s">
        <v>949</v>
      </c>
      <c r="B96" s="149">
        <v>15</v>
      </c>
      <c r="C96" s="497">
        <v>112569</v>
      </c>
      <c r="D96" s="497">
        <f t="shared" si="15"/>
        <v>14278.722000000002</v>
      </c>
      <c r="E96" s="355">
        <f t="shared" si="16"/>
        <v>562.84500000000003</v>
      </c>
      <c r="F96" s="497">
        <f t="shared" si="17"/>
        <v>23279.269200000002</v>
      </c>
      <c r="G96" s="507">
        <f t="shared" si="18"/>
        <v>150689.83620000002</v>
      </c>
    </row>
    <row r="97" spans="1:18" x14ac:dyDescent="0.25">
      <c r="A97" s="515" t="s">
        <v>949</v>
      </c>
      <c r="B97" s="149">
        <v>16</v>
      </c>
      <c r="C97" s="497">
        <v>112569</v>
      </c>
      <c r="D97" s="497">
        <f t="shared" si="15"/>
        <v>14278.722000000002</v>
      </c>
      <c r="E97" s="355">
        <f t="shared" si="16"/>
        <v>562.84500000000003</v>
      </c>
      <c r="F97" s="497">
        <f t="shared" si="17"/>
        <v>23279.269200000002</v>
      </c>
      <c r="G97" s="507">
        <f t="shared" si="18"/>
        <v>150689.83620000002</v>
      </c>
    </row>
    <row r="98" spans="1:18" x14ac:dyDescent="0.25">
      <c r="A98" s="515" t="s">
        <v>949</v>
      </c>
      <c r="B98" s="149">
        <v>17</v>
      </c>
      <c r="C98" s="497">
        <v>112569</v>
      </c>
      <c r="D98" s="497">
        <f t="shared" si="15"/>
        <v>14278.722000000002</v>
      </c>
      <c r="E98" s="355">
        <f t="shared" si="16"/>
        <v>562.84500000000003</v>
      </c>
      <c r="F98" s="497">
        <f t="shared" si="17"/>
        <v>23279.269200000002</v>
      </c>
      <c r="G98" s="507">
        <f t="shared" si="18"/>
        <v>150689.83620000002</v>
      </c>
    </row>
    <row r="99" spans="1:18" x14ac:dyDescent="0.25">
      <c r="A99" s="515" t="s">
        <v>949</v>
      </c>
      <c r="B99" s="149">
        <v>18</v>
      </c>
      <c r="C99" s="497">
        <v>112569</v>
      </c>
      <c r="D99" s="579">
        <f t="shared" si="15"/>
        <v>14278.722000000002</v>
      </c>
      <c r="E99" s="355">
        <f t="shared" si="16"/>
        <v>562.84500000000003</v>
      </c>
      <c r="F99" s="497">
        <f t="shared" si="17"/>
        <v>23279.269200000002</v>
      </c>
      <c r="G99" s="507">
        <f t="shared" si="18"/>
        <v>150689.83620000002</v>
      </c>
    </row>
    <row r="100" spans="1:18" ht="15.75" thickBot="1" x14ac:dyDescent="0.3">
      <c r="A100" s="516" t="s">
        <v>949</v>
      </c>
      <c r="B100" s="508">
        <v>19</v>
      </c>
      <c r="C100" s="736">
        <v>119133</v>
      </c>
      <c r="D100" s="509">
        <f t="shared" si="15"/>
        <v>15184.554000000002</v>
      </c>
      <c r="E100" s="578">
        <f t="shared" si="16"/>
        <v>595.66499999999996</v>
      </c>
      <c r="F100" s="509">
        <f t="shared" si="17"/>
        <v>24636.704400000002</v>
      </c>
      <c r="G100" s="510">
        <f t="shared" si="18"/>
        <v>159549.92340000003</v>
      </c>
    </row>
    <row r="101" spans="1:18" ht="23.45" customHeight="1" thickBot="1" x14ac:dyDescent="0.3">
      <c r="E101"/>
    </row>
    <row r="102" spans="1:18" ht="55.5" customHeight="1" x14ac:dyDescent="0.25">
      <c r="A102" s="731" t="s">
        <v>862</v>
      </c>
      <c r="B102" s="738" t="s">
        <v>1021</v>
      </c>
      <c r="C102" s="739" t="s">
        <v>1020</v>
      </c>
      <c r="D102" s="739" t="s">
        <v>1030</v>
      </c>
      <c r="E102" s="740" t="s">
        <v>866</v>
      </c>
      <c r="F102" s="739" t="s">
        <v>867</v>
      </c>
      <c r="G102" s="741" t="s">
        <v>868</v>
      </c>
    </row>
    <row r="103" spans="1:18" ht="23.45" customHeight="1" x14ac:dyDescent="0.25">
      <c r="A103" s="515" t="s">
        <v>955</v>
      </c>
      <c r="B103" s="149" t="s">
        <v>1022</v>
      </c>
      <c r="C103" s="497">
        <v>68975</v>
      </c>
      <c r="D103" s="497">
        <f>(C103-$A$109)*0.138</f>
        <v>8262.75</v>
      </c>
      <c r="E103" s="355">
        <v>0</v>
      </c>
      <c r="F103" s="497">
        <f t="shared" ref="F103:F105" si="25">C103*0.2068</f>
        <v>14264.03</v>
      </c>
      <c r="G103" s="507">
        <f t="shared" ref="G103:G105" si="26">SUM(C103:F103)</f>
        <v>91501.78</v>
      </c>
    </row>
    <row r="104" spans="1:18" ht="23.45" customHeight="1" x14ac:dyDescent="0.25">
      <c r="A104" s="515" t="s">
        <v>955</v>
      </c>
      <c r="B104" s="149" t="s">
        <v>1025</v>
      </c>
      <c r="C104" s="497">
        <f>(C103+C105)/2</f>
        <v>86530</v>
      </c>
      <c r="D104" s="497">
        <f>(C104-$A$109)*0.138</f>
        <v>10685.34</v>
      </c>
      <c r="E104" s="355">
        <v>0</v>
      </c>
      <c r="F104" s="497">
        <f t="shared" ref="F104" si="27">C104*0.2068</f>
        <v>17894.404000000002</v>
      </c>
      <c r="G104" s="507">
        <f t="shared" ref="G104" si="28">SUM(C104:F104)</f>
        <v>115109.74400000001</v>
      </c>
    </row>
    <row r="105" spans="1:18" ht="23.45" customHeight="1" thickBot="1" x14ac:dyDescent="0.3">
      <c r="A105" s="516" t="s">
        <v>955</v>
      </c>
      <c r="B105" s="508" t="s">
        <v>1023</v>
      </c>
      <c r="C105" s="509">
        <v>104085</v>
      </c>
      <c r="D105" s="509">
        <f>(C105-$A$109)*0.138</f>
        <v>13107.93</v>
      </c>
      <c r="E105" s="724">
        <v>0</v>
      </c>
      <c r="F105" s="509">
        <f t="shared" si="25"/>
        <v>21524.778000000002</v>
      </c>
      <c r="G105" s="510">
        <f t="shared" si="26"/>
        <v>138717.70799999998</v>
      </c>
    </row>
    <row r="106" spans="1:18" ht="23.45" customHeight="1" x14ac:dyDescent="0.25">
      <c r="A106" t="s">
        <v>1024</v>
      </c>
    </row>
    <row r="107" spans="1:18" ht="23.45" customHeight="1" x14ac:dyDescent="0.25"/>
    <row r="108" spans="1:18" x14ac:dyDescent="0.25">
      <c r="A108" s="729" t="s">
        <v>1016</v>
      </c>
      <c r="B108" s="730"/>
      <c r="C108" s="730"/>
      <c r="D108" s="208"/>
      <c r="R108"/>
    </row>
    <row r="109" spans="1:18" x14ac:dyDescent="0.25">
      <c r="A109" s="726">
        <v>9100</v>
      </c>
      <c r="B109" s="499">
        <v>0</v>
      </c>
      <c r="C109" s="725" t="s">
        <v>1017</v>
      </c>
      <c r="D109" s="728"/>
      <c r="R109"/>
    </row>
    <row r="110" spans="1:18" x14ac:dyDescent="0.25">
      <c r="A110" s="727" t="s">
        <v>1019</v>
      </c>
      <c r="B110" s="500">
        <v>0.13800000000000001</v>
      </c>
      <c r="C110" s="725" t="s">
        <v>1018</v>
      </c>
      <c r="D110" s="728"/>
      <c r="R110"/>
    </row>
    <row r="111" spans="1:18" x14ac:dyDescent="0.25">
      <c r="A111" t="s">
        <v>1026</v>
      </c>
    </row>
  </sheetData>
  <sheetProtection algorithmName="SHA-512" hashValue="/APuQLehjQML7WtHyZ+4vRlLXQvEZ72Kvd/LF0kLCjEnkUJ7nuaL1jS7ONmHCya35B8K8vn0syMaLLyee+DAiQ==" saltValue="rX1HQ1LxbAc0vzxEkbcyUg==" spinCount="100000" sheet="1" objects="1" scenarios="1"/>
  <mergeCells count="2">
    <mergeCell ref="B3:G3"/>
    <mergeCell ref="H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190F-2461-4196-BBE5-9FC4450E4E00}">
  <dimension ref="A1:N10"/>
  <sheetViews>
    <sheetView workbookViewId="0">
      <selection activeCell="B6" sqref="B6:F6"/>
    </sheetView>
  </sheetViews>
  <sheetFormatPr defaultRowHeight="15" x14ac:dyDescent="0.25"/>
  <cols>
    <col min="2" max="2" width="20" bestFit="1" customWidth="1"/>
    <col min="10" max="14" width="12.5703125" bestFit="1" customWidth="1"/>
  </cols>
  <sheetData>
    <row r="1" spans="1:14" x14ac:dyDescent="0.25">
      <c r="A1" t="s">
        <v>1035</v>
      </c>
    </row>
    <row r="2" spans="1:14" x14ac:dyDescent="0.25">
      <c r="A2" t="s">
        <v>1036</v>
      </c>
      <c r="B2" t="s">
        <v>1037</v>
      </c>
      <c r="C2" t="s">
        <v>1038</v>
      </c>
      <c r="D2" t="s">
        <v>1039</v>
      </c>
      <c r="E2" t="s">
        <v>1040</v>
      </c>
      <c r="F2" t="s">
        <v>1041</v>
      </c>
      <c r="H2" t="s">
        <v>1042</v>
      </c>
      <c r="I2" t="s">
        <v>1043</v>
      </c>
      <c r="J2" t="s">
        <v>1044</v>
      </c>
      <c r="K2" t="s">
        <v>1045</v>
      </c>
      <c r="L2" t="s">
        <v>1046</v>
      </c>
      <c r="M2" t="s">
        <v>1047</v>
      </c>
      <c r="N2" t="s">
        <v>1048</v>
      </c>
    </row>
    <row r="3" spans="1:14" x14ac:dyDescent="0.25">
      <c r="A3" s="758">
        <v>6.6699999999999995E-2</v>
      </c>
      <c r="B3" s="758">
        <v>6.7900000000000002E-2</v>
      </c>
      <c r="C3" s="758">
        <v>6.93E-2</v>
      </c>
      <c r="D3" s="758">
        <v>7.0800000000000002E-2</v>
      </c>
      <c r="E3" s="758">
        <v>7.1099999999999997E-2</v>
      </c>
      <c r="F3" s="758">
        <v>7.2599999999999998E-2</v>
      </c>
      <c r="G3" s="758"/>
      <c r="H3" s="758">
        <f>F3+$B$7</f>
        <v>7.3779999999999998E-2</v>
      </c>
      <c r="I3" s="758">
        <f>H3+$B$7</f>
        <v>7.4959999999999999E-2</v>
      </c>
      <c r="J3" s="758">
        <f>I3+$B$7</f>
        <v>7.6139999999999999E-2</v>
      </c>
      <c r="K3" s="758">
        <f>J3+$B$7</f>
        <v>7.732E-2</v>
      </c>
      <c r="L3" s="758">
        <f>K3+$B$7</f>
        <v>7.85E-2</v>
      </c>
      <c r="M3" s="758">
        <f t="shared" ref="M3" si="0">L3+$B$7</f>
        <v>7.9680000000000001E-2</v>
      </c>
      <c r="N3" s="758">
        <f>M3+$B$7</f>
        <v>8.0860000000000001E-2</v>
      </c>
    </row>
    <row r="5" spans="1:14" x14ac:dyDescent="0.25">
      <c r="B5" s="758">
        <f>B3-A3</f>
        <v>1.2000000000000066E-3</v>
      </c>
      <c r="C5" s="758">
        <f>C3-B3</f>
        <v>1.3999999999999985E-3</v>
      </c>
      <c r="D5" s="758">
        <f>D3-C3</f>
        <v>1.5000000000000013E-3</v>
      </c>
      <c r="E5" s="758">
        <f>E3-D3</f>
        <v>2.9999999999999472E-4</v>
      </c>
      <c r="F5" s="758">
        <f>F3-E3</f>
        <v>1.5000000000000013E-3</v>
      </c>
      <c r="G5" s="758"/>
    </row>
    <row r="6" spans="1:14" x14ac:dyDescent="0.25">
      <c r="B6" s="846">
        <f>B5/B3</f>
        <v>1.7673048600883749E-2</v>
      </c>
      <c r="C6" s="846">
        <f t="shared" ref="C6:F6" si="1">C5/C3</f>
        <v>2.0202020202020179E-2</v>
      </c>
      <c r="D6" s="846">
        <f t="shared" si="1"/>
        <v>2.1186440677966122E-2</v>
      </c>
      <c r="E6" s="846">
        <f t="shared" si="1"/>
        <v>4.2194092827003479E-3</v>
      </c>
      <c r="F6" s="846">
        <f t="shared" si="1"/>
        <v>2.0661157024793406E-2</v>
      </c>
      <c r="N6" s="846">
        <f>N3-F3</f>
        <v>8.2600000000000035E-3</v>
      </c>
    </row>
    <row r="7" spans="1:14" x14ac:dyDescent="0.25">
      <c r="A7" t="s">
        <v>1049</v>
      </c>
      <c r="B7" s="758">
        <f>AVERAGE(B5:F5)</f>
        <v>1.1800000000000005E-3</v>
      </c>
      <c r="N7" s="846">
        <f>N6/7</f>
        <v>1.1800000000000005E-3</v>
      </c>
    </row>
    <row r="9" spans="1:14" x14ac:dyDescent="0.25">
      <c r="J9" s="254"/>
      <c r="K9" s="254"/>
      <c r="L9" s="254"/>
      <c r="M9" s="254"/>
      <c r="N9" s="254"/>
    </row>
    <row r="10" spans="1:14" x14ac:dyDescent="0.25">
      <c r="J10" s="254"/>
      <c r="K10" s="254"/>
      <c r="L10" s="254"/>
      <c r="M10" s="254"/>
      <c r="N10" s="2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Q2" sqref="Q2"/>
    </sheetView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89" t="s">
        <v>2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8"/>
    </row>
    <row r="5" spans="2:17" x14ac:dyDescent="0.25">
      <c r="B5" s="226" t="s">
        <v>3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227"/>
    </row>
    <row r="6" spans="2:17" x14ac:dyDescent="0.25">
      <c r="B6" s="231" t="s">
        <v>4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32"/>
    </row>
    <row r="7" spans="2:17" x14ac:dyDescent="0.25">
      <c r="B7" s="229" t="s">
        <v>5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30"/>
    </row>
    <row r="9" spans="2:17" x14ac:dyDescent="0.25">
      <c r="N9" s="479"/>
      <c r="O9" s="479"/>
      <c r="P9" s="479"/>
    </row>
    <row r="10" spans="2:17" x14ac:dyDescent="0.25">
      <c r="B10" s="226"/>
      <c r="C10" s="410"/>
      <c r="D10" s="410"/>
      <c r="E10" s="410"/>
      <c r="F10" s="410"/>
      <c r="G10" s="410"/>
      <c r="H10" s="227"/>
      <c r="J10" s="226"/>
      <c r="K10" s="410"/>
      <c r="L10" s="410"/>
      <c r="M10" s="410"/>
      <c r="N10" s="224"/>
      <c r="O10" s="224"/>
      <c r="P10" s="224"/>
      <c r="Q10" s="160"/>
    </row>
    <row r="11" spans="2:17" ht="47.25" x14ac:dyDescent="0.25">
      <c r="B11" s="231"/>
      <c r="C11" s="374" t="s">
        <v>6</v>
      </c>
      <c r="D11" s="482"/>
      <c r="E11" s="374" t="s">
        <v>7</v>
      </c>
      <c r="F11" s="482"/>
      <c r="G11" s="478" t="s">
        <v>8</v>
      </c>
      <c r="H11" s="483"/>
      <c r="I11" s="375"/>
      <c r="J11" s="486"/>
      <c r="K11" s="376" t="s">
        <v>9</v>
      </c>
      <c r="L11" s="486"/>
      <c r="M11" s="376" t="s">
        <v>10</v>
      </c>
      <c r="N11" s="482"/>
      <c r="O11" s="376" t="s">
        <v>11</v>
      </c>
      <c r="P11" s="482"/>
      <c r="Q11" s="160"/>
    </row>
    <row r="12" spans="2:17" x14ac:dyDescent="0.25">
      <c r="B12" s="231"/>
      <c r="C12" s="224"/>
      <c r="D12" s="224"/>
      <c r="E12" s="224"/>
      <c r="F12" s="224"/>
      <c r="G12" s="224"/>
      <c r="H12" s="232"/>
      <c r="J12" s="231"/>
      <c r="K12" s="224"/>
      <c r="L12" s="224"/>
      <c r="M12" s="224"/>
      <c r="N12" s="224"/>
      <c r="O12" s="224"/>
      <c r="P12" s="224"/>
      <c r="Q12" s="160"/>
    </row>
    <row r="13" spans="2:17" ht="39.950000000000003" customHeight="1" x14ac:dyDescent="0.25">
      <c r="B13" s="231"/>
      <c r="C13" s="480"/>
      <c r="D13" s="196"/>
      <c r="E13" s="548" t="s">
        <v>12</v>
      </c>
      <c r="F13" s="196"/>
      <c r="G13" s="481"/>
      <c r="H13" s="232"/>
      <c r="J13" s="231"/>
      <c r="K13" s="480"/>
      <c r="L13" s="196"/>
      <c r="M13" s="549" t="s">
        <v>13</v>
      </c>
      <c r="N13" s="196"/>
      <c r="O13" s="481"/>
      <c r="P13" s="224"/>
      <c r="Q13" s="160"/>
    </row>
    <row r="14" spans="2:17" x14ac:dyDescent="0.25">
      <c r="B14" s="231"/>
      <c r="C14" s="224"/>
      <c r="D14" s="224"/>
      <c r="E14" s="224"/>
      <c r="F14" s="224"/>
      <c r="G14" s="224"/>
      <c r="H14" s="232"/>
      <c r="J14" s="231"/>
      <c r="K14" s="224"/>
      <c r="L14" s="224"/>
      <c r="M14" s="224"/>
      <c r="N14" s="224"/>
      <c r="O14" s="224"/>
      <c r="P14" s="224"/>
      <c r="Q14" s="160"/>
    </row>
    <row r="15" spans="2:17" ht="213.75" customHeight="1" x14ac:dyDescent="0.25">
      <c r="B15" s="231"/>
      <c r="C15" s="371" t="s">
        <v>14</v>
      </c>
      <c r="D15" s="484"/>
      <c r="E15" s="372" t="s">
        <v>15</v>
      </c>
      <c r="F15" s="484"/>
      <c r="G15" s="370" t="s">
        <v>16</v>
      </c>
      <c r="H15" s="485"/>
      <c r="I15" s="242"/>
      <c r="J15" s="487"/>
      <c r="K15" s="373" t="s">
        <v>17</v>
      </c>
      <c r="L15" s="487"/>
      <c r="M15" s="414" t="s">
        <v>18</v>
      </c>
      <c r="N15" s="484"/>
      <c r="O15" s="414" t="s">
        <v>19</v>
      </c>
      <c r="P15" s="484"/>
      <c r="Q15" s="160"/>
    </row>
    <row r="16" spans="2:17" x14ac:dyDescent="0.25">
      <c r="B16" s="229"/>
      <c r="C16" s="228"/>
      <c r="D16" s="228"/>
      <c r="E16" s="228"/>
      <c r="F16" s="228"/>
      <c r="G16" s="228"/>
      <c r="H16" s="230"/>
      <c r="J16" s="229"/>
      <c r="K16" s="228"/>
      <c r="L16" s="488"/>
      <c r="M16" s="488"/>
      <c r="N16" s="488"/>
      <c r="O16" s="488"/>
      <c r="P16" s="488"/>
      <c r="Q16" s="160"/>
    </row>
    <row r="19" spans="2:16" x14ac:dyDescent="0.25">
      <c r="B19" s="226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227"/>
    </row>
    <row r="20" spans="2:16" x14ac:dyDescent="0.25">
      <c r="B20" s="231" t="s">
        <v>20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32"/>
    </row>
    <row r="21" spans="2:16" x14ac:dyDescent="0.25">
      <c r="B21" s="489" t="s">
        <v>21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32"/>
    </row>
    <row r="22" spans="2:16" x14ac:dyDescent="0.25">
      <c r="B22" s="490" t="s">
        <v>22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32"/>
    </row>
    <row r="23" spans="2:16" x14ac:dyDescent="0.25">
      <c r="B23" s="491" t="s">
        <v>23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32"/>
    </row>
    <row r="24" spans="2:16" x14ac:dyDescent="0.25">
      <c r="B24" s="490" t="s">
        <v>24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32"/>
    </row>
    <row r="25" spans="2:16" x14ac:dyDescent="0.25">
      <c r="B25" s="490" t="s">
        <v>25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32"/>
    </row>
    <row r="26" spans="2:16" x14ac:dyDescent="0.25">
      <c r="B26" s="231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32"/>
    </row>
    <row r="27" spans="2:16" x14ac:dyDescent="0.25">
      <c r="B27" s="492" t="s">
        <v>26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32"/>
    </row>
    <row r="28" spans="2:16" x14ac:dyDescent="0.25">
      <c r="B28" s="229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30"/>
    </row>
  </sheetData>
  <sheetProtection algorithmName="SHA-512" hashValue="xh1S60V5lGREXPh1zp/MqBeZdca1FwAo+EbeQDy7im1kvFn0pLkSBvymUSFxtqxFSDwwiF024S+wLw6bZvZGDA==" saltValue="5PV9IHT/VN6sHBuJ7z4CJg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4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/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23" width="10.85546875" style="12" customWidth="1"/>
    <col min="24" max="42" width="10.85546875" style="12" hidden="1" customWidth="1"/>
    <col min="43" max="50" width="10.85546875" style="13" hidden="1" customWidth="1"/>
    <col min="51" max="100" width="10.85546875" style="1" hidden="1" customWidth="1"/>
    <col min="101" max="106" width="10.85546875" style="1" customWidth="1"/>
    <col min="107" max="190" width="10.85546875" style="11" hidden="1" customWidth="1"/>
    <col min="191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27</v>
      </c>
      <c r="C1" s="102"/>
      <c r="D1" s="22"/>
      <c r="E1" s="10" t="s">
        <v>28</v>
      </c>
      <c r="F1" s="7"/>
      <c r="G1" s="7"/>
    </row>
    <row r="3" spans="2:106" x14ac:dyDescent="0.2">
      <c r="B3" s="92" t="s">
        <v>29</v>
      </c>
      <c r="C3" s="553"/>
      <c r="D3" s="554"/>
      <c r="E3" s="554"/>
      <c r="F3" s="554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30</v>
      </c>
      <c r="M4" s="9" t="s">
        <v>30</v>
      </c>
      <c r="N4" s="9" t="s">
        <v>31</v>
      </c>
      <c r="O4" s="9" t="s">
        <v>31</v>
      </c>
      <c r="P4" s="9" t="s">
        <v>32</v>
      </c>
      <c r="R4" s="169" t="s">
        <v>33</v>
      </c>
      <c r="S4" s="169" t="s">
        <v>34</v>
      </c>
      <c r="T4" s="169" t="s">
        <v>35</v>
      </c>
      <c r="V4" s="169" t="s">
        <v>36</v>
      </c>
    </row>
    <row r="5" spans="2:106" ht="28.5" x14ac:dyDescent="0.2">
      <c r="B5" s="97" t="s">
        <v>37</v>
      </c>
      <c r="C5" s="95"/>
      <c r="D5" s="7"/>
      <c r="E5" s="7"/>
      <c r="F5" s="7"/>
      <c r="G5" s="96"/>
      <c r="L5" s="16" t="s">
        <v>38</v>
      </c>
      <c r="M5" s="16" t="s">
        <v>39</v>
      </c>
      <c r="N5" s="16" t="s">
        <v>40</v>
      </c>
      <c r="O5" s="16" t="s">
        <v>41</v>
      </c>
      <c r="P5" s="19"/>
      <c r="Q5" s="17"/>
      <c r="R5" s="16" t="s">
        <v>41</v>
      </c>
      <c r="S5" s="138" t="s">
        <v>42</v>
      </c>
      <c r="V5" s="139">
        <v>4</v>
      </c>
    </row>
    <row r="6" spans="2:106" ht="15" x14ac:dyDescent="0.25">
      <c r="B6" s="97" t="s">
        <v>43</v>
      </c>
      <c r="C6" s="95"/>
      <c r="D6" s="7"/>
      <c r="E6" s="7"/>
      <c r="F6" s="7"/>
      <c r="G6" s="96"/>
      <c r="J6" s="134"/>
      <c r="L6" s="21" t="s">
        <v>44</v>
      </c>
      <c r="M6" s="21" t="s">
        <v>45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1" t="s">
        <v>46</v>
      </c>
      <c r="S6" s="138" t="s">
        <v>47</v>
      </c>
      <c r="V6" s="139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48</v>
      </c>
      <c r="M7" s="21" t="s">
        <v>49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1" t="s">
        <v>50</v>
      </c>
      <c r="S7" s="409"/>
      <c r="V7" s="139">
        <v>6</v>
      </c>
    </row>
    <row r="8" spans="2:106" ht="19.5" customHeight="1" x14ac:dyDescent="0.2">
      <c r="B8" s="98" t="s">
        <v>51</v>
      </c>
      <c r="C8" s="99"/>
      <c r="D8" s="100"/>
      <c r="E8" s="100"/>
      <c r="F8" s="100"/>
      <c r="G8" s="101"/>
      <c r="L8" s="21" t="s">
        <v>52</v>
      </c>
      <c r="M8" s="21" t="s">
        <v>53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2">
      <c r="B9" s="14"/>
      <c r="L9" s="21" t="s">
        <v>54</v>
      </c>
      <c r="M9" s="21" t="s">
        <v>55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56</v>
      </c>
    </row>
    <row r="10" spans="2:106" x14ac:dyDescent="0.2">
      <c r="B10" s="14"/>
      <c r="K10" s="24"/>
      <c r="L10" s="21" t="s">
        <v>57</v>
      </c>
      <c r="M10" s="21" t="s">
        <v>58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59</v>
      </c>
    </row>
    <row r="11" spans="2:106" ht="15" x14ac:dyDescent="0.25">
      <c r="B11" s="9" t="s">
        <v>60</v>
      </c>
      <c r="C11" s="24"/>
      <c r="D11" s="24"/>
      <c r="E11" s="24"/>
      <c r="K11" s="24"/>
      <c r="L11" s="111" t="s">
        <v>61</v>
      </c>
      <c r="M11" s="21" t="s">
        <v>62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63</v>
      </c>
    </row>
    <row r="12" spans="2:106" ht="43.5" customHeight="1" x14ac:dyDescent="0.2">
      <c r="B12" s="15"/>
      <c r="D12" s="200" t="s">
        <v>64</v>
      </c>
      <c r="E12" s="200" t="s">
        <v>64</v>
      </c>
      <c r="L12" s="21" t="s">
        <v>65</v>
      </c>
      <c r="M12" s="21" t="s">
        <v>66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67</v>
      </c>
    </row>
    <row r="13" spans="2:106" s="19" customFormat="1" ht="45.95" customHeight="1" x14ac:dyDescent="0.2">
      <c r="B13" s="201" t="s">
        <v>68</v>
      </c>
      <c r="C13" s="201" t="s">
        <v>69</v>
      </c>
      <c r="D13" s="26" t="s">
        <v>70</v>
      </c>
      <c r="E13" s="26" t="s">
        <v>71</v>
      </c>
      <c r="F13" s="201" t="s">
        <v>72</v>
      </c>
      <c r="G13" s="11"/>
      <c r="H13" s="11"/>
      <c r="I13" s="11"/>
      <c r="K13" s="11"/>
      <c r="L13" s="21" t="s">
        <v>73</v>
      </c>
      <c r="M13" s="21" t="s">
        <v>74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21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02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75</v>
      </c>
      <c r="M14" s="21" t="s">
        <v>76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77</v>
      </c>
    </row>
    <row r="15" spans="2:106" x14ac:dyDescent="0.2">
      <c r="B15" s="202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78</v>
      </c>
    </row>
    <row r="16" spans="2:106" ht="15" x14ac:dyDescent="0.25">
      <c r="B16" s="203" t="s">
        <v>79</v>
      </c>
      <c r="C16" s="204">
        <f>IF(C15&gt;0,C14,C15)</f>
        <v>57106398</v>
      </c>
      <c r="D16" s="204">
        <f>IF(D15&gt;0,D14,D15)</f>
        <v>21895402</v>
      </c>
      <c r="E16" s="204">
        <f>IF(E15&gt;0,E14,E15)</f>
        <v>23324090</v>
      </c>
      <c r="F16" s="204">
        <f>SUM(F15)</f>
        <v>45219492</v>
      </c>
      <c r="L16" s="22"/>
      <c r="M16" s="22"/>
      <c r="P16" s="407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0"/>
      <c r="C18" s="143"/>
      <c r="D18" s="26" t="s">
        <v>64</v>
      </c>
      <c r="E18" s="26" t="s">
        <v>64</v>
      </c>
      <c r="F18" s="90"/>
      <c r="I18" s="90"/>
      <c r="J18" s="90"/>
      <c r="K18" s="24"/>
      <c r="N18" s="24"/>
    </row>
    <row r="19" spans="1:194" ht="23.1" customHeight="1" x14ac:dyDescent="0.25">
      <c r="D19" s="205">
        <v>2</v>
      </c>
      <c r="E19" s="205">
        <v>3</v>
      </c>
      <c r="F19" s="205">
        <v>4</v>
      </c>
      <c r="G19" s="205">
        <v>5</v>
      </c>
      <c r="H19" s="205">
        <v>6</v>
      </c>
      <c r="K19" s="24"/>
    </row>
    <row r="20" spans="1:194" s="1" customFormat="1" ht="48" customHeight="1" x14ac:dyDescent="0.25">
      <c r="A20" s="124" t="s">
        <v>40</v>
      </c>
      <c r="B20" s="123" t="s">
        <v>80</v>
      </c>
      <c r="C20" s="123" t="s">
        <v>81</v>
      </c>
      <c r="D20" s="82" t="s">
        <v>82</v>
      </c>
      <c r="E20" s="82" t="s">
        <v>82</v>
      </c>
      <c r="F20" s="82" t="s">
        <v>83</v>
      </c>
      <c r="G20" s="82" t="s">
        <v>83</v>
      </c>
      <c r="H20" s="82" t="s">
        <v>83</v>
      </c>
      <c r="I20" s="123" t="s">
        <v>82</v>
      </c>
      <c r="J20" s="123" t="s">
        <v>82</v>
      </c>
      <c r="K20" s="123" t="s">
        <v>84</v>
      </c>
      <c r="L20" s="123" t="s">
        <v>84</v>
      </c>
      <c r="M20" s="125" t="s">
        <v>85</v>
      </c>
      <c r="N20" s="555"/>
      <c r="O20" s="555"/>
      <c r="P20" s="555"/>
      <c r="Q20" s="555"/>
      <c r="R20" s="555"/>
      <c r="S20" s="555"/>
      <c r="T20" s="555"/>
      <c r="U20" s="555"/>
      <c r="V20" s="555"/>
      <c r="W20" s="555"/>
      <c r="X20" s="555"/>
      <c r="Y20" s="555"/>
      <c r="Z20" s="555"/>
      <c r="AA20" s="555"/>
      <c r="AB20" s="555"/>
      <c r="AC20" s="555"/>
      <c r="AD20" s="555"/>
      <c r="AE20" s="555"/>
      <c r="AF20" s="555"/>
      <c r="AG20" s="555"/>
      <c r="AH20" s="555"/>
      <c r="AI20" s="555"/>
      <c r="AJ20" s="555"/>
      <c r="AK20" s="555"/>
      <c r="AL20" s="555"/>
      <c r="AM20" s="555"/>
      <c r="AN20" s="555"/>
      <c r="AO20" s="555"/>
      <c r="AP20" s="555"/>
      <c r="AQ20" s="555"/>
      <c r="AR20" s="555"/>
      <c r="AS20" s="555"/>
      <c r="AT20" s="555"/>
      <c r="AU20" s="555"/>
      <c r="AV20" s="555"/>
      <c r="AW20" s="555"/>
      <c r="AX20" s="555"/>
      <c r="AY20" s="555"/>
      <c r="AZ20" s="555"/>
      <c r="BA20" s="555"/>
      <c r="BB20" s="555"/>
      <c r="BC20" s="555"/>
      <c r="BD20" s="555"/>
      <c r="BE20" s="555"/>
      <c r="BF20" s="555"/>
      <c r="BG20" s="555"/>
      <c r="BH20" s="555"/>
      <c r="BI20" s="555"/>
      <c r="BJ20" s="555"/>
      <c r="BK20" s="555"/>
      <c r="BL20" s="555"/>
      <c r="BM20" s="555"/>
      <c r="BN20" s="555"/>
      <c r="BO20" s="555"/>
      <c r="BP20" s="555"/>
      <c r="BQ20" s="555"/>
      <c r="BR20" s="555"/>
      <c r="BS20" s="555"/>
      <c r="BT20" s="555"/>
      <c r="BU20" s="555"/>
      <c r="BV20" s="555"/>
      <c r="BW20" s="555"/>
      <c r="BX20" s="555"/>
      <c r="BY20" s="555"/>
      <c r="BZ20" s="555"/>
      <c r="CA20" s="555"/>
      <c r="CB20" s="555"/>
      <c r="CC20" s="555"/>
      <c r="CD20" s="555"/>
      <c r="CE20" s="555"/>
      <c r="CF20" s="555"/>
      <c r="CG20" s="555"/>
      <c r="CH20" s="555"/>
      <c r="CI20" s="555"/>
      <c r="CJ20" s="555"/>
      <c r="CK20" s="555"/>
      <c r="CL20" s="555"/>
      <c r="CM20" s="555"/>
      <c r="CN20" s="555"/>
      <c r="CO20" s="555"/>
      <c r="CP20" s="555"/>
      <c r="CQ20" s="555"/>
      <c r="CR20" s="555"/>
      <c r="CS20" s="555"/>
      <c r="CT20" s="555"/>
      <c r="CU20" s="555"/>
      <c r="CV20" s="555"/>
      <c r="CW20" s="555"/>
      <c r="CX20" s="555"/>
      <c r="CY20" s="126"/>
      <c r="CZ20" s="556" t="s">
        <v>86</v>
      </c>
      <c r="DA20" s="556"/>
      <c r="DB20" s="556"/>
      <c r="DC20" s="556"/>
      <c r="DD20" s="556"/>
      <c r="DE20" s="556"/>
      <c r="DF20" s="556"/>
      <c r="DG20" s="556"/>
      <c r="DH20" s="556"/>
      <c r="DI20" s="556"/>
      <c r="DJ20" s="556"/>
      <c r="DK20" s="556"/>
      <c r="DL20" s="556"/>
      <c r="DM20" s="556"/>
      <c r="DN20" s="556"/>
      <c r="DO20" s="556"/>
      <c r="DP20" s="556"/>
      <c r="DQ20" s="556"/>
      <c r="DR20" s="556"/>
      <c r="DS20" s="556"/>
      <c r="DT20" s="556"/>
      <c r="DU20" s="556"/>
      <c r="DV20" s="556"/>
      <c r="DW20" s="556"/>
      <c r="DX20" s="556"/>
      <c r="DY20" s="556"/>
      <c r="DZ20" s="556"/>
      <c r="EA20" s="556"/>
      <c r="EB20" s="556"/>
      <c r="EC20" s="556"/>
      <c r="ED20" s="556"/>
      <c r="EE20" s="556"/>
      <c r="EF20" s="556"/>
      <c r="EG20" s="556"/>
      <c r="EH20" s="556"/>
      <c r="EI20" s="556"/>
      <c r="EJ20" s="556"/>
      <c r="EK20" s="556"/>
      <c r="EL20" s="556"/>
      <c r="EM20" s="556"/>
      <c r="EN20" s="556"/>
      <c r="EO20" s="556"/>
      <c r="EP20" s="556"/>
      <c r="EQ20" s="556"/>
      <c r="ER20" s="556"/>
      <c r="ES20" s="556"/>
      <c r="ET20" s="556"/>
      <c r="EU20" s="556"/>
      <c r="EV20" s="556"/>
      <c r="EW20" s="556"/>
      <c r="EX20" s="556"/>
      <c r="EY20" s="556"/>
      <c r="EZ20" s="556"/>
      <c r="FA20" s="556"/>
      <c r="FB20" s="556"/>
      <c r="FC20" s="556"/>
      <c r="FD20" s="556"/>
      <c r="FE20" s="556"/>
      <c r="FF20" s="556"/>
      <c r="FG20" s="556"/>
      <c r="FH20" s="556"/>
      <c r="FI20" s="556"/>
      <c r="FJ20" s="556"/>
      <c r="FK20" s="556"/>
      <c r="FL20" s="556"/>
      <c r="FM20" s="556"/>
      <c r="FN20" s="556"/>
      <c r="FO20" s="556"/>
      <c r="FP20" s="556"/>
      <c r="FQ20" s="556"/>
      <c r="FR20" s="556"/>
      <c r="FS20" s="556"/>
      <c r="FT20" s="556"/>
      <c r="FU20" s="556"/>
      <c r="FV20" s="556"/>
      <c r="FW20" s="556"/>
      <c r="FX20" s="556"/>
      <c r="FY20" s="556"/>
      <c r="FZ20" s="556"/>
      <c r="GA20" s="556"/>
      <c r="GB20" s="556"/>
      <c r="GC20" s="556"/>
      <c r="GD20" s="556"/>
      <c r="GE20" s="556"/>
      <c r="GF20" s="556"/>
      <c r="GG20" s="556"/>
      <c r="GH20" s="556"/>
      <c r="GI20" s="556"/>
      <c r="GJ20" s="556"/>
      <c r="GK20" s="556"/>
      <c r="GL20" s="122"/>
    </row>
    <row r="21" spans="1:194" s="8" customFormat="1" ht="30" x14ac:dyDescent="0.25">
      <c r="A21" s="124"/>
      <c r="B21" s="123"/>
      <c r="C21" s="123"/>
      <c r="D21" s="25" t="s">
        <v>70</v>
      </c>
      <c r="E21" s="26" t="s">
        <v>71</v>
      </c>
      <c r="F21" s="82" t="s">
        <v>87</v>
      </c>
      <c r="G21" s="81" t="s">
        <v>85</v>
      </c>
      <c r="H21" s="81" t="s">
        <v>86</v>
      </c>
      <c r="I21" s="82" t="s">
        <v>85</v>
      </c>
      <c r="J21" s="81" t="s">
        <v>86</v>
      </c>
      <c r="K21" s="82" t="s">
        <v>85</v>
      </c>
      <c r="L21" s="27" t="s">
        <v>86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88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88</v>
      </c>
    </row>
    <row r="22" spans="1:194" s="1" customFormat="1" x14ac:dyDescent="0.2">
      <c r="A22" s="30"/>
      <c r="B22" s="72"/>
      <c r="C22" s="60"/>
      <c r="D22" s="78"/>
      <c r="E22" s="78"/>
      <c r="F22" s="557"/>
      <c r="G22" s="557"/>
      <c r="H22" s="78"/>
      <c r="I22" s="78"/>
      <c r="J22" s="78"/>
      <c r="K22" s="557"/>
      <c r="L22" s="78"/>
      <c r="M22" s="557"/>
      <c r="N22" s="557"/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  <c r="AO22" s="557"/>
      <c r="AP22" s="557"/>
      <c r="AQ22" s="557"/>
      <c r="AR22" s="557"/>
      <c r="AS22" s="557"/>
      <c r="AT22" s="557"/>
      <c r="AU22" s="557"/>
      <c r="AV22" s="557"/>
      <c r="AW22" s="557"/>
      <c r="AX22" s="557"/>
      <c r="AY22" s="557"/>
      <c r="AZ22" s="557"/>
      <c r="BA22" s="557"/>
      <c r="BB22" s="557"/>
      <c r="BC22" s="557"/>
      <c r="BD22" s="557"/>
      <c r="BE22" s="557"/>
      <c r="BF22" s="557"/>
      <c r="BG22" s="557"/>
      <c r="BH22" s="557"/>
      <c r="BI22" s="557"/>
      <c r="BJ22" s="557"/>
      <c r="BK22" s="557"/>
      <c r="BL22" s="557"/>
      <c r="BM22" s="557"/>
      <c r="BN22" s="557"/>
      <c r="BO22" s="557"/>
      <c r="BP22" s="557"/>
      <c r="BQ22" s="557"/>
      <c r="BR22" s="557"/>
      <c r="BS22" s="557"/>
      <c r="BT22" s="557"/>
      <c r="BU22" s="557"/>
      <c r="BV22" s="557"/>
      <c r="BW22" s="557"/>
      <c r="BX22" s="557"/>
      <c r="BY22" s="557"/>
      <c r="BZ22" s="557"/>
      <c r="CA22" s="557"/>
      <c r="CB22" s="557"/>
      <c r="CC22" s="557"/>
      <c r="CD22" s="557"/>
      <c r="CE22" s="557"/>
      <c r="CF22" s="557"/>
      <c r="CG22" s="557"/>
      <c r="CH22" s="557"/>
      <c r="CI22" s="557"/>
      <c r="CJ22" s="557"/>
      <c r="CK22" s="557"/>
      <c r="CL22" s="557"/>
      <c r="CM22" s="557"/>
      <c r="CN22" s="557"/>
      <c r="CO22" s="557"/>
      <c r="CP22" s="557"/>
      <c r="CQ22" s="557"/>
      <c r="CR22" s="557"/>
      <c r="CS22" s="557"/>
      <c r="CT22" s="557"/>
      <c r="CU22" s="557"/>
      <c r="CV22" s="557"/>
      <c r="CW22" s="557"/>
      <c r="CX22" s="557"/>
      <c r="CY22" s="78"/>
      <c r="CZ22" s="557"/>
      <c r="DA22" s="557"/>
      <c r="DB22" s="557"/>
      <c r="DC22" s="557"/>
      <c r="DD22" s="557"/>
      <c r="DE22" s="557"/>
      <c r="DF22" s="557"/>
      <c r="DG22" s="557"/>
      <c r="DH22" s="557"/>
      <c r="DI22" s="557"/>
      <c r="DJ22" s="557"/>
      <c r="DK22" s="557"/>
      <c r="DL22" s="557"/>
      <c r="DM22" s="557"/>
      <c r="DN22" s="557"/>
      <c r="DO22" s="557"/>
      <c r="DP22" s="557"/>
      <c r="DQ22" s="557"/>
      <c r="DR22" s="557"/>
      <c r="DS22" s="557"/>
      <c r="DT22" s="557"/>
      <c r="DU22" s="557"/>
      <c r="DV22" s="557"/>
      <c r="DW22" s="557"/>
      <c r="DX22" s="557"/>
      <c r="DY22" s="557"/>
      <c r="DZ22" s="557"/>
      <c r="EA22" s="557"/>
      <c r="EB22" s="557"/>
      <c r="EC22" s="557"/>
      <c r="ED22" s="557"/>
      <c r="EE22" s="557"/>
      <c r="EF22" s="557"/>
      <c r="EG22" s="557"/>
      <c r="EH22" s="557"/>
      <c r="EI22" s="557"/>
      <c r="EJ22" s="557"/>
      <c r="EK22" s="557"/>
      <c r="EL22" s="557"/>
      <c r="EM22" s="557"/>
      <c r="EN22" s="557"/>
      <c r="EO22" s="557"/>
      <c r="EP22" s="557"/>
      <c r="EQ22" s="557"/>
      <c r="ER22" s="557"/>
      <c r="ES22" s="557"/>
      <c r="ET22" s="557"/>
      <c r="EU22" s="557"/>
      <c r="EV22" s="557"/>
      <c r="EW22" s="557"/>
      <c r="EX22" s="557"/>
      <c r="EY22" s="557"/>
      <c r="EZ22" s="557"/>
      <c r="FA22" s="557"/>
      <c r="FB22" s="557"/>
      <c r="FC22" s="557"/>
      <c r="FD22" s="557"/>
      <c r="FE22" s="557"/>
      <c r="FF22" s="557"/>
      <c r="FG22" s="557"/>
      <c r="FH22" s="557"/>
      <c r="FI22" s="557"/>
      <c r="FJ22" s="557"/>
      <c r="FK22" s="557"/>
      <c r="FL22" s="557"/>
      <c r="FM22" s="557"/>
      <c r="FN22" s="557"/>
      <c r="FO22" s="557"/>
      <c r="FP22" s="557"/>
      <c r="FQ22" s="557"/>
      <c r="FR22" s="557"/>
      <c r="FS22" s="557"/>
      <c r="FT22" s="557"/>
      <c r="FU22" s="557"/>
      <c r="FV22" s="557"/>
      <c r="FW22" s="557"/>
      <c r="FX22" s="557"/>
      <c r="FY22" s="557"/>
      <c r="FZ22" s="557"/>
      <c r="GA22" s="557"/>
      <c r="GB22" s="557"/>
      <c r="GC22" s="557"/>
      <c r="GD22" s="557"/>
      <c r="GE22" s="557"/>
      <c r="GF22" s="557"/>
      <c r="GG22" s="557"/>
      <c r="GH22" s="557"/>
      <c r="GI22" s="557"/>
      <c r="GJ22" s="557"/>
      <c r="GK22" s="557"/>
      <c r="GL22" s="78"/>
    </row>
    <row r="23" spans="1:194" s="70" customFormat="1" ht="21.75" customHeight="1" x14ac:dyDescent="0.25">
      <c r="A23" s="65" t="s">
        <v>38</v>
      </c>
      <c r="B23" s="66" t="s">
        <v>38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48</v>
      </c>
      <c r="B25" s="606" t="s">
        <v>89</v>
      </c>
      <c r="C25" s="75" t="s">
        <v>90</v>
      </c>
      <c r="D25" s="77">
        <f t="shared" ref="D25:E27" si="3">I25</f>
        <v>21895402</v>
      </c>
      <c r="E25" s="77">
        <f t="shared" si="3"/>
        <v>23324090</v>
      </c>
      <c r="F25" s="558">
        <f>G25+H25</f>
        <v>57106398</v>
      </c>
      <c r="G25" s="558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59">
        <f>SUM(M25:AD25)</f>
        <v>6087888</v>
      </c>
      <c r="L25" s="77">
        <f>SUM(CZ25:DQ25)</f>
        <v>5799018</v>
      </c>
      <c r="M25" s="558">
        <v>305120</v>
      </c>
      <c r="N25" s="558">
        <v>303019</v>
      </c>
      <c r="O25" s="558">
        <v>314737</v>
      </c>
      <c r="P25" s="558">
        <v>321299</v>
      </c>
      <c r="Q25" s="558">
        <v>325230</v>
      </c>
      <c r="R25" s="558">
        <v>333023</v>
      </c>
      <c r="S25" s="558">
        <v>343154</v>
      </c>
      <c r="T25" s="558">
        <v>339729</v>
      </c>
      <c r="U25" s="558">
        <v>341966</v>
      </c>
      <c r="V25" s="558">
        <v>351482</v>
      </c>
      <c r="W25" s="558">
        <v>360539</v>
      </c>
      <c r="X25" s="558">
        <v>361688</v>
      </c>
      <c r="Y25" s="558">
        <v>356777</v>
      </c>
      <c r="Z25" s="558">
        <v>354079</v>
      </c>
      <c r="AA25" s="558">
        <v>357199</v>
      </c>
      <c r="AB25" s="558">
        <v>344190</v>
      </c>
      <c r="AC25" s="558">
        <v>336612</v>
      </c>
      <c r="AD25" s="558">
        <v>338045</v>
      </c>
      <c r="AE25" s="558">
        <v>339142</v>
      </c>
      <c r="AF25" s="558">
        <v>339234</v>
      </c>
      <c r="AG25" s="558">
        <v>338398</v>
      </c>
      <c r="AH25" s="558">
        <v>338465</v>
      </c>
      <c r="AI25" s="558">
        <v>345338</v>
      </c>
      <c r="AJ25" s="558">
        <v>358287</v>
      </c>
      <c r="AK25" s="558">
        <v>360304</v>
      </c>
      <c r="AL25" s="558">
        <v>365799</v>
      </c>
      <c r="AM25" s="558">
        <v>360324</v>
      </c>
      <c r="AN25" s="558">
        <v>364086</v>
      </c>
      <c r="AO25" s="558">
        <v>372653</v>
      </c>
      <c r="AP25" s="558">
        <v>372807</v>
      </c>
      <c r="AQ25" s="558">
        <v>383710</v>
      </c>
      <c r="AR25" s="558">
        <v>389563</v>
      </c>
      <c r="AS25" s="558">
        <v>387640</v>
      </c>
      <c r="AT25" s="558">
        <v>384620</v>
      </c>
      <c r="AU25" s="558">
        <v>387905</v>
      </c>
      <c r="AV25" s="558">
        <v>378829</v>
      </c>
      <c r="AW25" s="558">
        <v>378199</v>
      </c>
      <c r="AX25" s="558">
        <v>377186</v>
      </c>
      <c r="AY25" s="558">
        <v>365502</v>
      </c>
      <c r="AZ25" s="558">
        <v>366111</v>
      </c>
      <c r="BA25" s="558">
        <v>365728</v>
      </c>
      <c r="BB25" s="558">
        <v>369097</v>
      </c>
      <c r="BC25" s="558">
        <v>371802</v>
      </c>
      <c r="BD25" s="558">
        <v>357560</v>
      </c>
      <c r="BE25" s="558">
        <v>334069</v>
      </c>
      <c r="BF25" s="558">
        <v>328458</v>
      </c>
      <c r="BG25" s="558">
        <v>335746</v>
      </c>
      <c r="BH25" s="558">
        <v>342585</v>
      </c>
      <c r="BI25" s="558">
        <v>346685</v>
      </c>
      <c r="BJ25" s="558">
        <v>360442</v>
      </c>
      <c r="BK25" s="558">
        <v>373390</v>
      </c>
      <c r="BL25" s="558">
        <v>385375</v>
      </c>
      <c r="BM25" s="558">
        <v>375807</v>
      </c>
      <c r="BN25" s="558">
        <v>383988</v>
      </c>
      <c r="BO25" s="558">
        <v>382566</v>
      </c>
      <c r="BP25" s="558">
        <v>385629</v>
      </c>
      <c r="BQ25" s="558">
        <v>381742</v>
      </c>
      <c r="BR25" s="558">
        <v>381998</v>
      </c>
      <c r="BS25" s="558">
        <v>376164</v>
      </c>
      <c r="BT25" s="558">
        <v>367036</v>
      </c>
      <c r="BU25" s="558">
        <v>357672</v>
      </c>
      <c r="BV25" s="558">
        <v>344928</v>
      </c>
      <c r="BW25" s="558">
        <v>329857</v>
      </c>
      <c r="BX25" s="558">
        <v>319451</v>
      </c>
      <c r="BY25" s="558">
        <v>309724</v>
      </c>
      <c r="BZ25" s="558">
        <v>294558</v>
      </c>
      <c r="CA25" s="558">
        <v>282293</v>
      </c>
      <c r="CB25" s="558">
        <v>268536</v>
      </c>
      <c r="CC25" s="558">
        <v>266443</v>
      </c>
      <c r="CD25" s="558">
        <v>260410</v>
      </c>
      <c r="CE25" s="558">
        <v>249450</v>
      </c>
      <c r="CF25" s="558">
        <v>249080</v>
      </c>
      <c r="CG25" s="558">
        <v>249070</v>
      </c>
      <c r="CH25" s="558">
        <v>252982</v>
      </c>
      <c r="CI25" s="558">
        <v>263625</v>
      </c>
      <c r="CJ25" s="558">
        <v>283090</v>
      </c>
      <c r="CK25" s="558">
        <v>211587</v>
      </c>
      <c r="CL25" s="558">
        <v>200401</v>
      </c>
      <c r="CM25" s="558">
        <v>195036</v>
      </c>
      <c r="CN25" s="558">
        <v>174093</v>
      </c>
      <c r="CO25" s="558">
        <v>149572</v>
      </c>
      <c r="CP25" s="558">
        <v>127665</v>
      </c>
      <c r="CQ25" s="558">
        <v>127183</v>
      </c>
      <c r="CR25" s="558">
        <v>120061</v>
      </c>
      <c r="CS25" s="558">
        <v>109873</v>
      </c>
      <c r="CT25" s="558">
        <v>97456</v>
      </c>
      <c r="CU25" s="558">
        <v>84705</v>
      </c>
      <c r="CV25" s="558">
        <v>73428</v>
      </c>
      <c r="CW25" s="558">
        <v>60864</v>
      </c>
      <c r="CX25" s="558">
        <v>51376</v>
      </c>
      <c r="CY25" s="558">
        <v>170964</v>
      </c>
      <c r="CZ25" s="558">
        <v>291186</v>
      </c>
      <c r="DA25" s="558">
        <v>289546</v>
      </c>
      <c r="DB25" s="558">
        <v>300800</v>
      </c>
      <c r="DC25" s="558">
        <v>305906</v>
      </c>
      <c r="DD25" s="558">
        <v>310539</v>
      </c>
      <c r="DE25" s="558">
        <v>318263</v>
      </c>
      <c r="DF25" s="558">
        <v>326932</v>
      </c>
      <c r="DG25" s="558">
        <v>324633</v>
      </c>
      <c r="DH25" s="558">
        <v>326780</v>
      </c>
      <c r="DI25" s="558">
        <v>334543</v>
      </c>
      <c r="DJ25" s="558">
        <v>344341</v>
      </c>
      <c r="DK25" s="558">
        <v>343967</v>
      </c>
      <c r="DL25" s="558">
        <v>339949</v>
      </c>
      <c r="DM25" s="558">
        <v>337345</v>
      </c>
      <c r="DN25" s="558">
        <v>340474</v>
      </c>
      <c r="DO25" s="558">
        <v>326885</v>
      </c>
      <c r="DP25" s="558">
        <v>319023</v>
      </c>
      <c r="DQ25" s="558">
        <v>317906</v>
      </c>
      <c r="DR25" s="558">
        <v>318297</v>
      </c>
      <c r="DS25" s="558">
        <v>319325</v>
      </c>
      <c r="DT25" s="558">
        <v>325075</v>
      </c>
      <c r="DU25" s="558">
        <v>327194</v>
      </c>
      <c r="DV25" s="558">
        <v>333614</v>
      </c>
      <c r="DW25" s="558">
        <v>350669</v>
      </c>
      <c r="DX25" s="558">
        <v>358581</v>
      </c>
      <c r="DY25" s="558">
        <v>367839</v>
      </c>
      <c r="DZ25" s="558">
        <v>363988</v>
      </c>
      <c r="EA25" s="558">
        <v>374022</v>
      </c>
      <c r="EB25" s="558">
        <v>387522</v>
      </c>
      <c r="EC25" s="558">
        <v>390671</v>
      </c>
      <c r="ED25" s="558">
        <v>404331</v>
      </c>
      <c r="EE25" s="558">
        <v>410921</v>
      </c>
      <c r="EF25" s="558">
        <v>413176</v>
      </c>
      <c r="EG25" s="558">
        <v>411450</v>
      </c>
      <c r="EH25" s="558">
        <v>417983</v>
      </c>
      <c r="EI25" s="558">
        <v>409203</v>
      </c>
      <c r="EJ25" s="558">
        <v>404000</v>
      </c>
      <c r="EK25" s="558">
        <v>401928</v>
      </c>
      <c r="EL25" s="558">
        <v>389436</v>
      </c>
      <c r="EM25" s="558">
        <v>389518</v>
      </c>
      <c r="EN25" s="558">
        <v>386124</v>
      </c>
      <c r="EO25" s="558">
        <v>390735</v>
      </c>
      <c r="EP25" s="558">
        <v>390956</v>
      </c>
      <c r="EQ25" s="558">
        <v>373536</v>
      </c>
      <c r="ER25" s="558">
        <v>346385</v>
      </c>
      <c r="ES25" s="558">
        <v>339293</v>
      </c>
      <c r="ET25" s="558">
        <v>345871</v>
      </c>
      <c r="EU25" s="558">
        <v>353016</v>
      </c>
      <c r="EV25" s="558">
        <v>356906</v>
      </c>
      <c r="EW25" s="558">
        <v>370244</v>
      </c>
      <c r="EX25" s="558">
        <v>384214</v>
      </c>
      <c r="EY25" s="558">
        <v>399644</v>
      </c>
      <c r="EZ25" s="558">
        <v>389031</v>
      </c>
      <c r="FA25" s="558">
        <v>397139</v>
      </c>
      <c r="FB25" s="558">
        <v>395547</v>
      </c>
      <c r="FC25" s="558">
        <v>396676</v>
      </c>
      <c r="FD25" s="558">
        <v>396578</v>
      </c>
      <c r="FE25" s="558">
        <v>396708</v>
      </c>
      <c r="FF25" s="558">
        <v>390539</v>
      </c>
      <c r="FG25" s="558">
        <v>380695</v>
      </c>
      <c r="FH25" s="558">
        <v>371143</v>
      </c>
      <c r="FI25" s="558">
        <v>355407</v>
      </c>
      <c r="FJ25" s="558">
        <v>340408</v>
      </c>
      <c r="FK25" s="558">
        <v>331322</v>
      </c>
      <c r="FL25" s="558">
        <v>321164</v>
      </c>
      <c r="FM25" s="558">
        <v>308551</v>
      </c>
      <c r="FN25" s="558">
        <v>295719</v>
      </c>
      <c r="FO25" s="558">
        <v>284931</v>
      </c>
      <c r="FP25" s="558">
        <v>285437</v>
      </c>
      <c r="FQ25" s="558">
        <v>278929</v>
      </c>
      <c r="FR25" s="558">
        <v>271460</v>
      </c>
      <c r="FS25" s="558">
        <v>271487</v>
      </c>
      <c r="FT25" s="558">
        <v>275610</v>
      </c>
      <c r="FU25" s="558">
        <v>280129</v>
      </c>
      <c r="FV25" s="558">
        <v>294843</v>
      </c>
      <c r="FW25" s="558">
        <v>316380</v>
      </c>
      <c r="FX25" s="558">
        <v>240292</v>
      </c>
      <c r="FY25" s="558">
        <v>230370</v>
      </c>
      <c r="FZ25" s="558">
        <v>225985</v>
      </c>
      <c r="GA25" s="558">
        <v>206546</v>
      </c>
      <c r="GB25" s="558">
        <v>181398</v>
      </c>
      <c r="GC25" s="558">
        <v>159103</v>
      </c>
      <c r="GD25" s="558">
        <v>161482</v>
      </c>
      <c r="GE25" s="558">
        <v>155577</v>
      </c>
      <c r="GF25" s="558">
        <v>145759</v>
      </c>
      <c r="GG25" s="558">
        <v>132931</v>
      </c>
      <c r="GH25" s="558">
        <v>120255</v>
      </c>
      <c r="GI25" s="558">
        <v>107758</v>
      </c>
      <c r="GJ25" s="558">
        <v>93505</v>
      </c>
      <c r="GK25" s="558">
        <v>82264</v>
      </c>
      <c r="GL25" s="558">
        <v>349365</v>
      </c>
    </row>
    <row r="26" spans="1:194" s="8" customFormat="1" ht="15" x14ac:dyDescent="0.25">
      <c r="A26" s="32" t="s">
        <v>48</v>
      </c>
      <c r="B26" s="607" t="s">
        <v>91</v>
      </c>
      <c r="C26" s="33" t="s">
        <v>92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48</v>
      </c>
      <c r="B27" s="608" t="s">
        <v>93</v>
      </c>
      <c r="C27" s="39" t="s">
        <v>94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609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">
      <c r="A29" s="83" t="s">
        <v>75</v>
      </c>
      <c r="B29" s="610" t="s">
        <v>95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60">
        <f>G29+H29</f>
        <v>246482</v>
      </c>
      <c r="G29" s="560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61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">
      <c r="A30" s="87" t="s">
        <v>75</v>
      </c>
      <c r="B30" s="610" t="s">
        <v>96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">
      <c r="A31" s="87" t="s">
        <v>75</v>
      </c>
      <c r="B31" s="610" t="s">
        <v>97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">
      <c r="A32" s="87" t="s">
        <v>75</v>
      </c>
      <c r="B32" s="610" t="s">
        <v>98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">
      <c r="A33" s="87" t="s">
        <v>75</v>
      </c>
      <c r="B33" s="610" t="s">
        <v>99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">
      <c r="A34" s="87" t="s">
        <v>75</v>
      </c>
      <c r="B34" s="610" t="s">
        <v>100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">
      <c r="A35" s="87" t="s">
        <v>75</v>
      </c>
      <c r="B35" s="610" t="s">
        <v>101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">
      <c r="A36" s="87" t="s">
        <v>75</v>
      </c>
      <c r="B36" s="610" t="s">
        <v>102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">
      <c r="A37" s="87" t="s">
        <v>75</v>
      </c>
      <c r="B37" s="610" t="s">
        <v>103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">
      <c r="A38" s="87" t="s">
        <v>75</v>
      </c>
      <c r="B38" s="610" t="s">
        <v>104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">
      <c r="A39" s="87" t="s">
        <v>75</v>
      </c>
      <c r="B39" s="610" t="s">
        <v>105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">
      <c r="A40" s="87" t="s">
        <v>75</v>
      </c>
      <c r="B40" s="610" t="s">
        <v>106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">
      <c r="A41" s="87" t="s">
        <v>75</v>
      </c>
      <c r="B41" s="610" t="s">
        <v>107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">
      <c r="A42" s="87" t="s">
        <v>75</v>
      </c>
      <c r="B42" s="610" t="s">
        <v>108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">
      <c r="A43" s="87" t="s">
        <v>75</v>
      </c>
      <c r="B43" s="610" t="s">
        <v>109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">
      <c r="A44" s="87" t="s">
        <v>75</v>
      </c>
      <c r="B44" s="610" t="s">
        <v>110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">
      <c r="A45" s="87" t="s">
        <v>75</v>
      </c>
      <c r="B45" s="610" t="s">
        <v>111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">
      <c r="A46" s="87" t="s">
        <v>75</v>
      </c>
      <c r="B46" s="610" t="s">
        <v>112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">
      <c r="A47" s="87" t="s">
        <v>75</v>
      </c>
      <c r="B47" s="610" t="s">
        <v>113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">
      <c r="A48" s="87" t="s">
        <v>75</v>
      </c>
      <c r="B48" s="610" t="s">
        <v>114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">
      <c r="A49" s="87" t="s">
        <v>75</v>
      </c>
      <c r="B49" s="610" t="s">
        <v>115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">
      <c r="A50" s="87" t="s">
        <v>75</v>
      </c>
      <c r="B50" s="610" t="s">
        <v>116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">
      <c r="A51" s="87" t="s">
        <v>75</v>
      </c>
      <c r="B51" s="610" t="s">
        <v>117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">
      <c r="A52" s="87" t="s">
        <v>75</v>
      </c>
      <c r="B52" s="610" t="s">
        <v>118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">
      <c r="A53" s="87" t="s">
        <v>75</v>
      </c>
      <c r="B53" s="610" t="s">
        <v>119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">
      <c r="A54" s="87" t="s">
        <v>75</v>
      </c>
      <c r="B54" s="610" t="s">
        <v>120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">
      <c r="A55" s="87" t="s">
        <v>75</v>
      </c>
      <c r="B55" s="610" t="s">
        <v>121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">
      <c r="A56" s="87" t="s">
        <v>75</v>
      </c>
      <c r="B56" s="610" t="s">
        <v>122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">
      <c r="A57" s="87" t="s">
        <v>75</v>
      </c>
      <c r="B57" s="610" t="s">
        <v>123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">
      <c r="A58" s="87" t="s">
        <v>75</v>
      </c>
      <c r="B58" s="610" t="s">
        <v>124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">
      <c r="A59" s="87" t="s">
        <v>75</v>
      </c>
      <c r="B59" s="610" t="s">
        <v>125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">
      <c r="A60" s="87" t="s">
        <v>75</v>
      </c>
      <c r="B60" s="610" t="s">
        <v>126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">
      <c r="A61" s="87" t="s">
        <v>75</v>
      </c>
      <c r="B61" s="610" t="s">
        <v>127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">
      <c r="A62" s="87" t="s">
        <v>75</v>
      </c>
      <c r="B62" s="610" t="s">
        <v>128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">
      <c r="A63" s="87" t="s">
        <v>75</v>
      </c>
      <c r="B63" s="610" t="s">
        <v>129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">
      <c r="A64" s="87" t="s">
        <v>75</v>
      </c>
      <c r="B64" s="610" t="s">
        <v>130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">
      <c r="A65" s="87" t="s">
        <v>75</v>
      </c>
      <c r="B65" s="610" t="s">
        <v>131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">
      <c r="A66" s="87" t="s">
        <v>75</v>
      </c>
      <c r="B66" s="610" t="s">
        <v>132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">
      <c r="A67" s="87" t="s">
        <v>75</v>
      </c>
      <c r="B67" s="610" t="s">
        <v>133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">
      <c r="A68" s="87" t="s">
        <v>75</v>
      </c>
      <c r="B68" s="610" t="s">
        <v>134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">
      <c r="A69" s="87" t="s">
        <v>75</v>
      </c>
      <c r="B69" s="610" t="s">
        <v>135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">
      <c r="A70" s="87" t="s">
        <v>75</v>
      </c>
      <c r="B70" s="610" t="s">
        <v>136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">
      <c r="A71" s="87" t="s">
        <v>75</v>
      </c>
      <c r="B71" s="610" t="s">
        <v>137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">
      <c r="A72" s="87" t="s">
        <v>75</v>
      </c>
      <c r="B72" s="610" t="s">
        <v>138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">
      <c r="A73" s="87" t="s">
        <v>75</v>
      </c>
      <c r="B73" s="610" t="s">
        <v>139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">
      <c r="A74" s="87" t="s">
        <v>75</v>
      </c>
      <c r="B74" s="610" t="s">
        <v>140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">
      <c r="A75" s="87" t="s">
        <v>75</v>
      </c>
      <c r="B75" s="610" t="s">
        <v>141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">
      <c r="A76" s="87" t="s">
        <v>75</v>
      </c>
      <c r="B76" s="610" t="s">
        <v>142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">
      <c r="A77" s="87" t="s">
        <v>75</v>
      </c>
      <c r="B77" s="610" t="s">
        <v>143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">
      <c r="A78" s="87" t="s">
        <v>75</v>
      </c>
      <c r="B78" s="610" t="s">
        <v>144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">
      <c r="A79" s="87" t="s">
        <v>75</v>
      </c>
      <c r="B79" s="610" t="s">
        <v>145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">
      <c r="A80" s="87" t="s">
        <v>75</v>
      </c>
      <c r="B80" s="610" t="s">
        <v>146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">
      <c r="A81" s="87" t="s">
        <v>75</v>
      </c>
      <c r="B81" s="610" t="s">
        <v>147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">
      <c r="A82" s="87" t="s">
        <v>75</v>
      </c>
      <c r="B82" s="610" t="s">
        <v>148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">
      <c r="A83" s="87" t="s">
        <v>75</v>
      </c>
      <c r="B83" s="610" t="s">
        <v>149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">
      <c r="A84" s="87" t="s">
        <v>75</v>
      </c>
      <c r="B84" s="610" t="s">
        <v>150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">
      <c r="A85" s="87" t="s">
        <v>75</v>
      </c>
      <c r="B85" s="610" t="s">
        <v>151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">
      <c r="A86" s="87" t="s">
        <v>75</v>
      </c>
      <c r="B86" s="610" t="s">
        <v>152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">
      <c r="A87" s="87" t="s">
        <v>75</v>
      </c>
      <c r="B87" s="610" t="s">
        <v>153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">
      <c r="A88" s="87" t="s">
        <v>75</v>
      </c>
      <c r="B88" s="610" t="s">
        <v>154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">
      <c r="A89" s="87" t="s">
        <v>75</v>
      </c>
      <c r="B89" s="610" t="s">
        <v>155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">
      <c r="A90" s="87" t="s">
        <v>75</v>
      </c>
      <c r="B90" s="610" t="s">
        <v>156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">
      <c r="A91" s="87" t="s">
        <v>75</v>
      </c>
      <c r="B91" s="610" t="s">
        <v>157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">
      <c r="A92" s="87" t="s">
        <v>75</v>
      </c>
      <c r="B92" s="610" t="s">
        <v>158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">
      <c r="A93" s="87" t="s">
        <v>75</v>
      </c>
      <c r="B93" s="610" t="s">
        <v>159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">
      <c r="A94" s="87" t="s">
        <v>75</v>
      </c>
      <c r="B94" s="610" t="s">
        <v>160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">
      <c r="A95" s="87" t="s">
        <v>75</v>
      </c>
      <c r="B95" s="610" t="s">
        <v>161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">
      <c r="A96" s="87" t="s">
        <v>75</v>
      </c>
      <c r="B96" s="610" t="s">
        <v>162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">
      <c r="A97" s="87" t="s">
        <v>75</v>
      </c>
      <c r="B97" s="610" t="s">
        <v>163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">
      <c r="A98" s="87" t="s">
        <v>75</v>
      </c>
      <c r="B98" s="610" t="s">
        <v>164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">
      <c r="A99" s="87" t="s">
        <v>75</v>
      </c>
      <c r="B99" s="610" t="s">
        <v>165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">
      <c r="A100" s="87" t="s">
        <v>75</v>
      </c>
      <c r="B100" s="610" t="s">
        <v>166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">
      <c r="A101" s="87" t="s">
        <v>75</v>
      </c>
      <c r="B101" s="610" t="s">
        <v>167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">
      <c r="A102" s="87" t="s">
        <v>75</v>
      </c>
      <c r="B102" s="610" t="s">
        <v>168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">
      <c r="A103" s="87" t="s">
        <v>75</v>
      </c>
      <c r="B103" s="610" t="s">
        <v>169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">
      <c r="A104" s="87" t="s">
        <v>75</v>
      </c>
      <c r="B104" s="610" t="s">
        <v>170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">
      <c r="A105" s="87" t="s">
        <v>75</v>
      </c>
      <c r="B105" s="610" t="s">
        <v>171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">
      <c r="A106" s="87" t="s">
        <v>75</v>
      </c>
      <c r="B106" s="610" t="s">
        <v>172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">
      <c r="A107" s="87" t="s">
        <v>75</v>
      </c>
      <c r="B107" s="610" t="s">
        <v>173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">
      <c r="A108" s="87" t="s">
        <v>75</v>
      </c>
      <c r="B108" s="610" t="s">
        <v>174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">
      <c r="A109" s="87" t="s">
        <v>75</v>
      </c>
      <c r="B109" s="610" t="s">
        <v>175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">
      <c r="A110" s="87" t="s">
        <v>75</v>
      </c>
      <c r="B110" s="610" t="s">
        <v>176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">
      <c r="A111" s="87" t="s">
        <v>75</v>
      </c>
      <c r="B111" s="610" t="s">
        <v>177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">
      <c r="A112" s="87" t="s">
        <v>75</v>
      </c>
      <c r="B112" s="610" t="s">
        <v>178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">
      <c r="A113" s="87" t="s">
        <v>75</v>
      </c>
      <c r="B113" s="610" t="s">
        <v>179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">
      <c r="A114" s="87" t="s">
        <v>75</v>
      </c>
      <c r="B114" s="610" t="s">
        <v>180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">
      <c r="A115" s="87" t="s">
        <v>75</v>
      </c>
      <c r="B115" s="610" t="s">
        <v>181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">
      <c r="A116" s="87" t="s">
        <v>75</v>
      </c>
      <c r="B116" s="610" t="s">
        <v>182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">
      <c r="A117" s="87" t="s">
        <v>75</v>
      </c>
      <c r="B117" s="610" t="s">
        <v>183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">
      <c r="A118" s="87" t="s">
        <v>75</v>
      </c>
      <c r="B118" s="610" t="s">
        <v>184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">
      <c r="A119" s="87" t="s">
        <v>75</v>
      </c>
      <c r="B119" s="610" t="s">
        <v>185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">
      <c r="A120" s="87" t="s">
        <v>75</v>
      </c>
      <c r="B120" s="610" t="s">
        <v>186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">
      <c r="A121" s="87" t="s">
        <v>75</v>
      </c>
      <c r="B121" s="610" t="s">
        <v>187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">
      <c r="A122" s="87" t="s">
        <v>75</v>
      </c>
      <c r="B122" s="610" t="s">
        <v>188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">
      <c r="A123" s="87" t="s">
        <v>75</v>
      </c>
      <c r="B123" s="610" t="s">
        <v>189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">
      <c r="A124" s="87" t="s">
        <v>75</v>
      </c>
      <c r="B124" s="610" t="s">
        <v>190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">
      <c r="A125" s="87" t="s">
        <v>75</v>
      </c>
      <c r="B125" s="610" t="s">
        <v>191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">
      <c r="A126" s="87" t="s">
        <v>75</v>
      </c>
      <c r="B126" s="610" t="s">
        <v>192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">
      <c r="A127" s="87" t="s">
        <v>75</v>
      </c>
      <c r="B127" s="610" t="s">
        <v>193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">
      <c r="A128" s="87" t="s">
        <v>75</v>
      </c>
      <c r="B128" s="610" t="s">
        <v>194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">
      <c r="A129" s="87" t="s">
        <v>75</v>
      </c>
      <c r="B129" s="610" t="s">
        <v>195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">
      <c r="A130" s="87" t="s">
        <v>75</v>
      </c>
      <c r="B130" s="610" t="s">
        <v>196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">
      <c r="A131" s="87" t="s">
        <v>75</v>
      </c>
      <c r="B131" s="610" t="s">
        <v>197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">
      <c r="A132" s="87" t="s">
        <v>75</v>
      </c>
      <c r="B132" s="610" t="s">
        <v>198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">
      <c r="A133" s="87" t="s">
        <v>75</v>
      </c>
      <c r="B133" s="610" t="s">
        <v>199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">
      <c r="A134" s="87" t="s">
        <v>75</v>
      </c>
      <c r="B134" s="610" t="s">
        <v>200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t="15" x14ac:dyDescent="0.25">
      <c r="A135" s="113"/>
      <c r="B135" s="611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2">
      <c r="A136" s="54" t="s">
        <v>54</v>
      </c>
      <c r="B136" s="612" t="s">
        <v>201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">
      <c r="A137" s="54" t="s">
        <v>54</v>
      </c>
      <c r="B137" s="613" t="s">
        <v>202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">
      <c r="A138" s="54" t="s">
        <v>54</v>
      </c>
      <c r="B138" s="613" t="s">
        <v>203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">
      <c r="A139" s="54" t="s">
        <v>54</v>
      </c>
      <c r="B139" s="613" t="s">
        <v>204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">
      <c r="A140" s="54" t="s">
        <v>54</v>
      </c>
      <c r="B140" s="613" t="s">
        <v>205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">
      <c r="A141" s="54" t="s">
        <v>54</v>
      </c>
      <c r="B141" s="613" t="s">
        <v>206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">
      <c r="A142" s="55" t="s">
        <v>54</v>
      </c>
      <c r="B142" s="614" t="s">
        <v>207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t="15" x14ac:dyDescent="0.25">
      <c r="A143" s="117"/>
      <c r="B143" s="615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">
      <c r="A144" s="59" t="s">
        <v>57</v>
      </c>
      <c r="B144" s="612" t="s">
        <v>208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60">
        <f>G144+H144</f>
        <v>364103.61922965694</v>
      </c>
      <c r="G144" s="560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61">
        <f>SUM(M144:AD144)</f>
        <v>38954.196552201036</v>
      </c>
      <c r="L144" s="61">
        <f>SUM(CZ144:DQ144)</f>
        <v>37048.788099800979</v>
      </c>
      <c r="M144" s="561">
        <v>2017.8952120383037</v>
      </c>
      <c r="N144" s="561">
        <v>2031.4154300095463</v>
      </c>
      <c r="O144" s="561">
        <v>2025.5722779004586</v>
      </c>
      <c r="P144" s="561">
        <v>2036.6363244919048</v>
      </c>
      <c r="Q144" s="561">
        <v>2174.8657606103957</v>
      </c>
      <c r="R144" s="561">
        <v>2139.1275684252282</v>
      </c>
      <c r="S144" s="561">
        <v>2269.8788621098379</v>
      </c>
      <c r="T144" s="561">
        <v>2199.8731034482757</v>
      </c>
      <c r="U144" s="561">
        <v>2214.1918960244648</v>
      </c>
      <c r="V144" s="561">
        <v>2323.0202012443356</v>
      </c>
      <c r="W144" s="561">
        <v>2319.2258355916892</v>
      </c>
      <c r="X144" s="561">
        <v>2302.9974595842955</v>
      </c>
      <c r="Y144" s="561">
        <v>2256.5049293083684</v>
      </c>
      <c r="Z144" s="561">
        <v>2212.0418107754977</v>
      </c>
      <c r="AA144" s="561">
        <v>2229.1199141767324</v>
      </c>
      <c r="AB144" s="561">
        <v>2134.8894582108355</v>
      </c>
      <c r="AC144" s="561">
        <v>2012.6591474539725</v>
      </c>
      <c r="AD144" s="561">
        <v>2054.2813607968933</v>
      </c>
      <c r="AE144" s="561">
        <v>2265.0450211864404</v>
      </c>
      <c r="AF144" s="561">
        <v>2804.7232134687529</v>
      </c>
      <c r="AG144" s="561">
        <v>2878.6458486407055</v>
      </c>
      <c r="AH144" s="561">
        <v>2648.2416475163518</v>
      </c>
      <c r="AI144" s="561">
        <v>2812.8031562871206</v>
      </c>
      <c r="AJ144" s="561">
        <v>2819.1729711141679</v>
      </c>
      <c r="AK144" s="561">
        <v>2731.7522704339053</v>
      </c>
      <c r="AL144" s="561">
        <v>2754.8174718956493</v>
      </c>
      <c r="AM144" s="561">
        <v>2792.2450211225105</v>
      </c>
      <c r="AN144" s="561">
        <v>2709.9772329246935</v>
      </c>
      <c r="AO144" s="561">
        <v>2693.0545391183132</v>
      </c>
      <c r="AP144" s="561">
        <v>2739.741847362131</v>
      </c>
      <c r="AQ144" s="561">
        <v>2738.9105892047796</v>
      </c>
      <c r="AR144" s="561">
        <v>2711.0666008067833</v>
      </c>
      <c r="AS144" s="561">
        <v>2782.8070289619263</v>
      </c>
      <c r="AT144" s="561">
        <v>2691.3420944220152</v>
      </c>
      <c r="AU144" s="561">
        <v>2575.2371291098634</v>
      </c>
      <c r="AV144" s="561">
        <v>2616.3572226656024</v>
      </c>
      <c r="AW144" s="561">
        <v>2585.9089460686691</v>
      </c>
      <c r="AX144" s="561">
        <v>2533.264568094025</v>
      </c>
      <c r="AY144" s="561">
        <v>2413.1614349775782</v>
      </c>
      <c r="AZ144" s="561">
        <v>2431.4496314496314</v>
      </c>
      <c r="BA144" s="561">
        <v>2293.8903732491299</v>
      </c>
      <c r="BB144" s="561">
        <v>2344.819097470061</v>
      </c>
      <c r="BC144" s="561">
        <v>2403.7633319021038</v>
      </c>
      <c r="BD144" s="561">
        <v>2239.8626248466794</v>
      </c>
      <c r="BE144" s="561">
        <v>2047.4737312365976</v>
      </c>
      <c r="BF144" s="561">
        <v>2052.8353243075835</v>
      </c>
      <c r="BG144" s="561">
        <v>1984.3233076189651</v>
      </c>
      <c r="BH144" s="561">
        <v>1967.3126347206103</v>
      </c>
      <c r="BI144" s="561">
        <v>1977.5348837209303</v>
      </c>
      <c r="BJ144" s="561">
        <v>2084.857469993683</v>
      </c>
      <c r="BK144" s="561">
        <v>2131.2999446158715</v>
      </c>
      <c r="BL144" s="561">
        <v>2143.6819436775263</v>
      </c>
      <c r="BM144" s="561">
        <v>2073.8563380281689</v>
      </c>
      <c r="BN144" s="561">
        <v>2300.7910402197972</v>
      </c>
      <c r="BO144" s="561">
        <v>2326.6164287385909</v>
      </c>
      <c r="BP144" s="561">
        <v>2307.9060786106033</v>
      </c>
      <c r="BQ144" s="561">
        <v>2344.6145362640732</v>
      </c>
      <c r="BR144" s="561">
        <v>2368.012116504854</v>
      </c>
      <c r="BS144" s="561">
        <v>2252.978437722139</v>
      </c>
      <c r="BT144" s="561">
        <v>2241.3179516972359</v>
      </c>
      <c r="BU144" s="561">
        <v>2297.6054466954502</v>
      </c>
      <c r="BV144" s="561">
        <v>2198.0522088353414</v>
      </c>
      <c r="BW144" s="561">
        <v>2021.5031326614003</v>
      </c>
      <c r="BX144" s="561">
        <v>2002.5265144540601</v>
      </c>
      <c r="BY144" s="561">
        <v>1890.3538506703198</v>
      </c>
      <c r="BZ144" s="561">
        <v>1822.7951142631994</v>
      </c>
      <c r="CA144" s="561">
        <v>1687.8206664564279</v>
      </c>
      <c r="CB144" s="561">
        <v>1588.8602704443015</v>
      </c>
      <c r="CC144" s="561">
        <v>1552.3684032476319</v>
      </c>
      <c r="CD144" s="561">
        <v>1527.1244533743056</v>
      </c>
      <c r="CE144" s="561">
        <v>1273.9034871433603</v>
      </c>
      <c r="CF144" s="561">
        <v>1290.2680573978055</v>
      </c>
      <c r="CG144" s="561">
        <v>1292.323121170439</v>
      </c>
      <c r="CH144" s="561">
        <v>1203.3575933400607</v>
      </c>
      <c r="CI144" s="561">
        <v>1137.5975561687032</v>
      </c>
      <c r="CJ144" s="561">
        <v>1181.2559576345984</v>
      </c>
      <c r="CK144" s="561">
        <v>1033.272138554217</v>
      </c>
      <c r="CL144" s="561">
        <v>966.99722735674675</v>
      </c>
      <c r="CM144" s="561">
        <v>986.02355350742448</v>
      </c>
      <c r="CN144" s="561">
        <v>974.00968523002427</v>
      </c>
      <c r="CO144" s="561">
        <v>796.9</v>
      </c>
      <c r="CP144" s="561">
        <v>696.19117288466236</v>
      </c>
      <c r="CQ144" s="561">
        <v>621.99595857539782</v>
      </c>
      <c r="CR144" s="561">
        <v>600.77992957746471</v>
      </c>
      <c r="CS144" s="561">
        <v>583.85111740635818</v>
      </c>
      <c r="CT144" s="561">
        <v>522.79582712369597</v>
      </c>
      <c r="CU144" s="561">
        <v>452.41860465116281</v>
      </c>
      <c r="CV144" s="561">
        <v>372.84571129707109</v>
      </c>
      <c r="CW144" s="561">
        <v>312.34061135371184</v>
      </c>
      <c r="CX144" s="561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">
      <c r="A145" s="59" t="s">
        <v>57</v>
      </c>
      <c r="B145" s="613" t="s">
        <v>209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">
      <c r="A146" s="59" t="s">
        <v>57</v>
      </c>
      <c r="B146" s="613" t="s">
        <v>210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">
      <c r="A147" s="59" t="s">
        <v>57</v>
      </c>
      <c r="B147" s="613" t="s">
        <v>211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">
      <c r="A148" s="63" t="s">
        <v>57</v>
      </c>
      <c r="B148" s="614" t="s">
        <v>212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t="15" x14ac:dyDescent="0.25">
      <c r="A149" s="117"/>
      <c r="B149" s="615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">
      <c r="A150" s="73" t="s">
        <v>52</v>
      </c>
      <c r="B150" s="616" t="s">
        <v>213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60">
        <f t="shared" ref="F150:F156" si="36">G150+H150</f>
        <v>6398497</v>
      </c>
      <c r="G150" s="560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61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">
      <c r="A151" s="64" t="s">
        <v>52</v>
      </c>
      <c r="B151" s="616" t="s">
        <v>214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">
      <c r="A152" s="64" t="s">
        <v>52</v>
      </c>
      <c r="B152" s="616" t="s">
        <v>215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">
      <c r="A153" s="64" t="s">
        <v>52</v>
      </c>
      <c r="B153" s="616" t="s">
        <v>216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">
      <c r="A154" s="64" t="s">
        <v>52</v>
      </c>
      <c r="B154" s="616" t="s">
        <v>217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">
      <c r="A155" s="64" t="s">
        <v>52</v>
      </c>
      <c r="B155" s="616" t="s">
        <v>218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40" t="s">
        <v>52</v>
      </c>
      <c r="B156" s="616" t="s">
        <v>219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ht="15" x14ac:dyDescent="0.25">
      <c r="A157" s="118"/>
      <c r="B157" s="617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59"/>
      <c r="O157" s="559"/>
      <c r="P157" s="559"/>
      <c r="Q157" s="559"/>
      <c r="R157" s="559"/>
      <c r="S157" s="559"/>
      <c r="T157" s="559"/>
      <c r="U157" s="559"/>
      <c r="V157" s="559"/>
      <c r="W157" s="559"/>
      <c r="X157" s="559"/>
      <c r="Y157" s="559"/>
      <c r="Z157" s="559"/>
      <c r="AA157" s="559"/>
      <c r="AB157" s="559"/>
      <c r="AC157" s="559"/>
      <c r="AD157" s="559"/>
      <c r="AE157" s="559"/>
      <c r="AF157" s="559"/>
      <c r="AG157" s="559"/>
      <c r="AH157" s="559"/>
      <c r="AI157" s="559"/>
      <c r="AJ157" s="559"/>
      <c r="AK157" s="559"/>
      <c r="AL157" s="559"/>
      <c r="AM157" s="559"/>
      <c r="AN157" s="559"/>
      <c r="AO157" s="559"/>
      <c r="AP157" s="559"/>
      <c r="AQ157" s="559"/>
      <c r="AR157" s="559"/>
      <c r="AS157" s="559"/>
      <c r="AT157" s="559"/>
      <c r="AU157" s="559"/>
      <c r="AV157" s="559"/>
      <c r="AW157" s="559"/>
      <c r="AX157" s="559"/>
      <c r="AY157" s="559"/>
      <c r="AZ157" s="559"/>
      <c r="BA157" s="559"/>
      <c r="BB157" s="559"/>
      <c r="BC157" s="559"/>
      <c r="BD157" s="559"/>
      <c r="BE157" s="559"/>
      <c r="BF157" s="559"/>
      <c r="BG157" s="559"/>
      <c r="BH157" s="559"/>
      <c r="BI157" s="559"/>
      <c r="BJ157" s="559"/>
      <c r="BK157" s="559"/>
      <c r="BL157" s="559"/>
      <c r="BM157" s="559"/>
      <c r="BN157" s="559"/>
      <c r="BO157" s="559"/>
      <c r="BP157" s="559"/>
      <c r="BQ157" s="559"/>
      <c r="BR157" s="559"/>
      <c r="BS157" s="559"/>
      <c r="BT157" s="559"/>
      <c r="BU157" s="559"/>
      <c r="BV157" s="559"/>
      <c r="BW157" s="559"/>
      <c r="BX157" s="559"/>
      <c r="BY157" s="559"/>
      <c r="BZ157" s="559"/>
      <c r="CA157" s="559"/>
      <c r="CB157" s="559"/>
      <c r="CC157" s="559"/>
      <c r="CD157" s="559"/>
      <c r="CE157" s="559"/>
      <c r="CF157" s="559"/>
      <c r="CG157" s="559"/>
      <c r="CH157" s="559"/>
      <c r="CI157" s="559"/>
      <c r="CJ157" s="559"/>
      <c r="CK157" s="559"/>
      <c r="CL157" s="559"/>
      <c r="CM157" s="559"/>
      <c r="CN157" s="559"/>
      <c r="CO157" s="559"/>
      <c r="CP157" s="559"/>
      <c r="CQ157" s="559"/>
      <c r="CR157" s="559"/>
      <c r="CS157" s="559"/>
      <c r="CT157" s="559"/>
      <c r="CU157" s="559"/>
      <c r="CV157" s="559"/>
      <c r="CW157" s="559"/>
      <c r="CX157" s="559"/>
      <c r="CY157" s="77"/>
      <c r="CZ157" s="119"/>
      <c r="DA157" s="559"/>
      <c r="DB157" s="559"/>
      <c r="DC157" s="559"/>
      <c r="DD157" s="559"/>
      <c r="DE157" s="559"/>
      <c r="DF157" s="559"/>
      <c r="DG157" s="559"/>
      <c r="DH157" s="559"/>
      <c r="DI157" s="559"/>
      <c r="DJ157" s="559"/>
      <c r="DK157" s="559"/>
      <c r="DL157" s="559"/>
      <c r="DM157" s="559"/>
      <c r="DN157" s="559"/>
      <c r="DO157" s="559"/>
      <c r="DP157" s="559"/>
      <c r="DQ157" s="559"/>
      <c r="DR157" s="559"/>
      <c r="DS157" s="559"/>
      <c r="DT157" s="559"/>
      <c r="DU157" s="559"/>
      <c r="DV157" s="559"/>
      <c r="DW157" s="559"/>
      <c r="DX157" s="559"/>
      <c r="DY157" s="559"/>
      <c r="DZ157" s="559"/>
      <c r="EA157" s="559"/>
      <c r="EB157" s="559"/>
      <c r="EC157" s="559"/>
      <c r="ED157" s="559"/>
      <c r="EE157" s="559"/>
      <c r="EF157" s="559"/>
      <c r="EG157" s="559"/>
      <c r="EH157" s="559"/>
      <c r="EI157" s="559"/>
      <c r="EJ157" s="559"/>
      <c r="EK157" s="559"/>
      <c r="EL157" s="559"/>
      <c r="EM157" s="559"/>
      <c r="EN157" s="559"/>
      <c r="EO157" s="559"/>
      <c r="EP157" s="559"/>
      <c r="EQ157" s="559"/>
      <c r="ER157" s="559"/>
      <c r="ES157" s="559"/>
      <c r="ET157" s="559"/>
      <c r="EU157" s="559"/>
      <c r="EV157" s="559"/>
      <c r="EW157" s="559"/>
      <c r="EX157" s="559"/>
      <c r="EY157" s="559"/>
      <c r="EZ157" s="559"/>
      <c r="FA157" s="559"/>
      <c r="FB157" s="559"/>
      <c r="FC157" s="559"/>
      <c r="FD157" s="559"/>
      <c r="FE157" s="559"/>
      <c r="FF157" s="559"/>
      <c r="FG157" s="559"/>
      <c r="FH157" s="559"/>
      <c r="FI157" s="559"/>
      <c r="FJ157" s="559"/>
      <c r="FK157" s="559"/>
      <c r="FL157" s="559"/>
      <c r="FM157" s="559"/>
      <c r="FN157" s="559"/>
      <c r="FO157" s="559"/>
      <c r="FP157" s="559"/>
      <c r="FQ157" s="559"/>
      <c r="FR157" s="559"/>
      <c r="FS157" s="559"/>
      <c r="FT157" s="559"/>
      <c r="FU157" s="559"/>
      <c r="FV157" s="559"/>
      <c r="FW157" s="559"/>
      <c r="FX157" s="559"/>
      <c r="FY157" s="559"/>
      <c r="FZ157" s="559"/>
      <c r="GA157" s="559"/>
      <c r="GB157" s="559"/>
      <c r="GC157" s="559"/>
      <c r="GD157" s="559"/>
      <c r="GE157" s="559"/>
      <c r="GF157" s="559"/>
      <c r="GG157" s="559"/>
      <c r="GH157" s="559"/>
      <c r="GI157" s="559"/>
      <c r="GJ157" s="559"/>
      <c r="GK157" s="559"/>
      <c r="GL157" s="77"/>
    </row>
    <row r="158" spans="1:194" s="1" customFormat="1" x14ac:dyDescent="0.2">
      <c r="A158" s="108" t="s">
        <v>44</v>
      </c>
      <c r="B158" s="618" t="s">
        <v>220</v>
      </c>
      <c r="C158" s="562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60">
        <f t="shared" ref="G158:G163" si="47">SUM(M158:CY158)</f>
        <v>470982</v>
      </c>
      <c r="H158" s="62">
        <f t="shared" ref="H158:H163" si="48">SUM(CZ158:GL158)</f>
        <v>482870</v>
      </c>
      <c r="I158" s="560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61">
        <v>4706</v>
      </c>
      <c r="O158" s="561">
        <v>4907</v>
      </c>
      <c r="P158" s="561">
        <v>5108</v>
      </c>
      <c r="Q158" s="561">
        <v>5293</v>
      </c>
      <c r="R158" s="561">
        <v>5287</v>
      </c>
      <c r="S158" s="561">
        <v>5628</v>
      </c>
      <c r="T158" s="561">
        <v>5623</v>
      </c>
      <c r="U158" s="561">
        <v>5617</v>
      </c>
      <c r="V158" s="561">
        <v>5799</v>
      </c>
      <c r="W158" s="561">
        <v>6160</v>
      </c>
      <c r="X158" s="561">
        <v>6033</v>
      </c>
      <c r="Y158" s="561">
        <v>5955</v>
      </c>
      <c r="Z158" s="561">
        <v>5803</v>
      </c>
      <c r="AA158" s="561">
        <v>5710</v>
      </c>
      <c r="AB158" s="561">
        <v>5605</v>
      </c>
      <c r="AC158" s="561">
        <v>5496</v>
      </c>
      <c r="AD158" s="561">
        <v>5413</v>
      </c>
      <c r="AE158" s="561">
        <v>5967</v>
      </c>
      <c r="AF158" s="561">
        <v>6678</v>
      </c>
      <c r="AG158" s="561">
        <v>6216</v>
      </c>
      <c r="AH158" s="561">
        <v>5569</v>
      </c>
      <c r="AI158" s="561">
        <v>5932</v>
      </c>
      <c r="AJ158" s="561">
        <v>5961</v>
      </c>
      <c r="AK158" s="561">
        <v>5644</v>
      </c>
      <c r="AL158" s="561">
        <v>5569</v>
      </c>
      <c r="AM158" s="561">
        <v>5603</v>
      </c>
      <c r="AN158" s="561">
        <v>5436</v>
      </c>
      <c r="AO158" s="561">
        <v>5723</v>
      </c>
      <c r="AP158" s="561">
        <v>5509</v>
      </c>
      <c r="AQ158" s="561">
        <v>5906</v>
      </c>
      <c r="AR158" s="561">
        <v>5926</v>
      </c>
      <c r="AS158" s="561">
        <v>5999</v>
      </c>
      <c r="AT158" s="561">
        <v>5968</v>
      </c>
      <c r="AU158" s="561">
        <v>6124</v>
      </c>
      <c r="AV158" s="561">
        <v>6089</v>
      </c>
      <c r="AW158" s="561">
        <v>6037</v>
      </c>
      <c r="AX158" s="561">
        <v>5950</v>
      </c>
      <c r="AY158" s="561">
        <v>6029</v>
      </c>
      <c r="AZ158" s="561">
        <v>5880</v>
      </c>
      <c r="BA158" s="561">
        <v>5821</v>
      </c>
      <c r="BB158" s="561">
        <v>5960</v>
      </c>
      <c r="BC158" s="561">
        <v>6033</v>
      </c>
      <c r="BD158" s="561">
        <v>5922</v>
      </c>
      <c r="BE158" s="561">
        <v>5375</v>
      </c>
      <c r="BF158" s="561">
        <v>5274</v>
      </c>
      <c r="BG158" s="561">
        <v>5437</v>
      </c>
      <c r="BH158" s="561">
        <v>5820</v>
      </c>
      <c r="BI158" s="561">
        <v>5866</v>
      </c>
      <c r="BJ158" s="561">
        <v>6432</v>
      </c>
      <c r="BK158" s="561">
        <v>6631</v>
      </c>
      <c r="BL158" s="561">
        <v>6700</v>
      </c>
      <c r="BM158" s="561">
        <v>6536</v>
      </c>
      <c r="BN158" s="561">
        <v>6527</v>
      </c>
      <c r="BO158" s="561">
        <v>6586</v>
      </c>
      <c r="BP158" s="561">
        <v>6746</v>
      </c>
      <c r="BQ158" s="561">
        <v>6723</v>
      </c>
      <c r="BR158" s="561">
        <v>6887</v>
      </c>
      <c r="BS158" s="561">
        <v>6661</v>
      </c>
      <c r="BT158" s="561">
        <v>6550</v>
      </c>
      <c r="BU158" s="561">
        <v>6440</v>
      </c>
      <c r="BV158" s="561">
        <v>6192</v>
      </c>
      <c r="BW158" s="561">
        <v>5977</v>
      </c>
      <c r="BX158" s="561">
        <v>5691</v>
      </c>
      <c r="BY158" s="561">
        <v>5371</v>
      </c>
      <c r="BZ158" s="561">
        <v>5135</v>
      </c>
      <c r="CA158" s="561">
        <v>4863</v>
      </c>
      <c r="CB158" s="561">
        <v>4730</v>
      </c>
      <c r="CC158" s="561">
        <v>4797</v>
      </c>
      <c r="CD158" s="561">
        <v>4544</v>
      </c>
      <c r="CE158" s="561">
        <v>4485</v>
      </c>
      <c r="CF158" s="561">
        <v>4422</v>
      </c>
      <c r="CG158" s="561">
        <v>4421</v>
      </c>
      <c r="CH158" s="561">
        <v>4529</v>
      </c>
      <c r="CI158" s="561">
        <v>4861</v>
      </c>
      <c r="CJ158" s="561">
        <v>5197</v>
      </c>
      <c r="CK158" s="561">
        <v>3865</v>
      </c>
      <c r="CL158" s="561">
        <v>3773</v>
      </c>
      <c r="CM158" s="561">
        <v>3497</v>
      </c>
      <c r="CN158" s="561">
        <v>3141</v>
      </c>
      <c r="CO158" s="561">
        <v>2804</v>
      </c>
      <c r="CP158" s="561">
        <v>2380</v>
      </c>
      <c r="CQ158" s="561">
        <v>2335</v>
      </c>
      <c r="CR158" s="561">
        <v>2209</v>
      </c>
      <c r="CS158" s="561">
        <v>2008</v>
      </c>
      <c r="CT158" s="561">
        <v>1804</v>
      </c>
      <c r="CU158" s="561">
        <v>1625</v>
      </c>
      <c r="CV158" s="561">
        <v>1368</v>
      </c>
      <c r="CW158" s="561">
        <v>1144</v>
      </c>
      <c r="CX158" s="561">
        <v>1023</v>
      </c>
      <c r="CY158" s="61">
        <v>3359</v>
      </c>
      <c r="CZ158" s="106">
        <v>4395</v>
      </c>
      <c r="DA158" s="561">
        <v>4569</v>
      </c>
      <c r="DB158" s="561">
        <v>4724</v>
      </c>
      <c r="DC158" s="561">
        <v>4830</v>
      </c>
      <c r="DD158" s="561">
        <v>5033</v>
      </c>
      <c r="DE158" s="561">
        <v>5193</v>
      </c>
      <c r="DF158" s="561">
        <v>5362</v>
      </c>
      <c r="DG158" s="561">
        <v>5295</v>
      </c>
      <c r="DH158" s="561">
        <v>5344</v>
      </c>
      <c r="DI158" s="561">
        <v>5565</v>
      </c>
      <c r="DJ158" s="561">
        <v>5551</v>
      </c>
      <c r="DK158" s="561">
        <v>5719</v>
      </c>
      <c r="DL158" s="561">
        <v>5546</v>
      </c>
      <c r="DM158" s="561">
        <v>5549</v>
      </c>
      <c r="DN158" s="561">
        <v>5624</v>
      </c>
      <c r="DO158" s="561">
        <v>5574</v>
      </c>
      <c r="DP158" s="561">
        <v>5184</v>
      </c>
      <c r="DQ158" s="561">
        <v>5221</v>
      </c>
      <c r="DR158" s="561">
        <v>5415</v>
      </c>
      <c r="DS158" s="561">
        <v>5600</v>
      </c>
      <c r="DT158" s="561">
        <v>5189</v>
      </c>
      <c r="DU158" s="561">
        <v>4912</v>
      </c>
      <c r="DV158" s="561">
        <v>5426</v>
      </c>
      <c r="DW158" s="561">
        <v>5137</v>
      </c>
      <c r="DX158" s="561">
        <v>5128</v>
      </c>
      <c r="DY158" s="561">
        <v>5294</v>
      </c>
      <c r="DZ158" s="561">
        <v>5013</v>
      </c>
      <c r="EA158" s="561">
        <v>5302</v>
      </c>
      <c r="EB158" s="561">
        <v>5698</v>
      </c>
      <c r="EC158" s="561">
        <v>5815</v>
      </c>
      <c r="ED158" s="561">
        <v>5939</v>
      </c>
      <c r="EE158" s="561">
        <v>6272</v>
      </c>
      <c r="EF158" s="561">
        <v>6263</v>
      </c>
      <c r="EG158" s="561">
        <v>6313</v>
      </c>
      <c r="EH158" s="561">
        <v>6318</v>
      </c>
      <c r="EI158" s="561">
        <v>6535</v>
      </c>
      <c r="EJ158" s="561">
        <v>6131</v>
      </c>
      <c r="EK158" s="561">
        <v>6244</v>
      </c>
      <c r="EL158" s="561">
        <v>6165</v>
      </c>
      <c r="EM158" s="561">
        <v>5942</v>
      </c>
      <c r="EN158" s="561">
        <v>6211</v>
      </c>
      <c r="EO158" s="561">
        <v>6218</v>
      </c>
      <c r="EP158" s="561">
        <v>6104</v>
      </c>
      <c r="EQ158" s="561">
        <v>5799</v>
      </c>
      <c r="ER158" s="561">
        <v>5574</v>
      </c>
      <c r="ES158" s="561">
        <v>5586</v>
      </c>
      <c r="ET158" s="561">
        <v>5770</v>
      </c>
      <c r="EU158" s="561">
        <v>5831</v>
      </c>
      <c r="EV158" s="561">
        <v>6251</v>
      </c>
      <c r="EW158" s="561">
        <v>6563</v>
      </c>
      <c r="EX158" s="561">
        <v>6923</v>
      </c>
      <c r="EY158" s="561">
        <v>6736</v>
      </c>
      <c r="EZ158" s="561">
        <v>6661</v>
      </c>
      <c r="FA158" s="561">
        <v>6860</v>
      </c>
      <c r="FB158" s="561">
        <v>6795</v>
      </c>
      <c r="FC158" s="561">
        <v>7093</v>
      </c>
      <c r="FD158" s="561">
        <v>7056</v>
      </c>
      <c r="FE158" s="561">
        <v>6890</v>
      </c>
      <c r="FF158" s="561">
        <v>6926</v>
      </c>
      <c r="FG158" s="561">
        <v>6551</v>
      </c>
      <c r="FH158" s="561">
        <v>6513</v>
      </c>
      <c r="FI158" s="561">
        <v>6413</v>
      </c>
      <c r="FJ158" s="561">
        <v>5897</v>
      </c>
      <c r="FK158" s="561">
        <v>5838</v>
      </c>
      <c r="FL158" s="561">
        <v>5643</v>
      </c>
      <c r="FM158" s="561">
        <v>5384</v>
      </c>
      <c r="FN158" s="561">
        <v>5189</v>
      </c>
      <c r="FO158" s="561">
        <v>5034</v>
      </c>
      <c r="FP158" s="561">
        <v>5088</v>
      </c>
      <c r="FQ158" s="561">
        <v>5112</v>
      </c>
      <c r="FR158" s="561">
        <v>4845</v>
      </c>
      <c r="FS158" s="561">
        <v>4831</v>
      </c>
      <c r="FT158" s="561">
        <v>4917</v>
      </c>
      <c r="FU158" s="561">
        <v>5074</v>
      </c>
      <c r="FV158" s="561">
        <v>5409</v>
      </c>
      <c r="FW158" s="561">
        <v>5546</v>
      </c>
      <c r="FX158" s="561">
        <v>4375</v>
      </c>
      <c r="FY158" s="561">
        <v>4296</v>
      </c>
      <c r="FZ158" s="561">
        <v>4189</v>
      </c>
      <c r="GA158" s="561">
        <v>3718</v>
      </c>
      <c r="GB158" s="561">
        <v>3306</v>
      </c>
      <c r="GC158" s="561">
        <v>2846</v>
      </c>
      <c r="GD158" s="561">
        <v>2931</v>
      </c>
      <c r="GE158" s="561">
        <v>2828</v>
      </c>
      <c r="GF158" s="561">
        <v>2632</v>
      </c>
      <c r="GG158" s="561">
        <v>2327</v>
      </c>
      <c r="GH158" s="561">
        <v>2137</v>
      </c>
      <c r="GI158" s="561">
        <v>1982</v>
      </c>
      <c r="GJ158" s="561">
        <v>1693</v>
      </c>
      <c r="GK158" s="561">
        <v>1476</v>
      </c>
      <c r="GL158" s="61">
        <v>6674</v>
      </c>
    </row>
    <row r="159" spans="1:194" s="1" customFormat="1" x14ac:dyDescent="0.2">
      <c r="A159" s="110" t="s">
        <v>44</v>
      </c>
      <c r="B159" s="619" t="s">
        <v>221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10" t="s">
        <v>44</v>
      </c>
      <c r="B160" s="619" t="s">
        <v>222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10" t="s">
        <v>44</v>
      </c>
      <c r="B161" s="619" t="s">
        <v>223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10" t="s">
        <v>44</v>
      </c>
      <c r="B162" s="619" t="s">
        <v>224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10" t="s">
        <v>44</v>
      </c>
      <c r="B163" s="619" t="s">
        <v>225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10" t="s">
        <v>44</v>
      </c>
      <c r="B164" s="619" t="s">
        <v>226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10" t="s">
        <v>44</v>
      </c>
      <c r="B165" s="619" t="s">
        <v>227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10" t="s">
        <v>44</v>
      </c>
      <c r="B166" s="619" t="s">
        <v>228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10" t="s">
        <v>44</v>
      </c>
      <c r="B167" s="619" t="s">
        <v>229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10" t="s">
        <v>44</v>
      </c>
      <c r="B168" s="619" t="s">
        <v>230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10" t="s">
        <v>44</v>
      </c>
      <c r="B169" s="619" t="s">
        <v>231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10" t="s">
        <v>44</v>
      </c>
      <c r="B170" s="619" t="s">
        <v>232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10" t="s">
        <v>44</v>
      </c>
      <c r="B171" s="619" t="s">
        <v>233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10" t="s">
        <v>44</v>
      </c>
      <c r="B172" s="619" t="s">
        <v>234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10" t="s">
        <v>44</v>
      </c>
      <c r="B173" s="619" t="s">
        <v>235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10" t="s">
        <v>44</v>
      </c>
      <c r="B174" s="619" t="s">
        <v>236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10" t="s">
        <v>44</v>
      </c>
      <c r="B175" s="619" t="s">
        <v>237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10" t="s">
        <v>44</v>
      </c>
      <c r="B176" s="619" t="s">
        <v>238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10" t="s">
        <v>44</v>
      </c>
      <c r="B177" s="619" t="s">
        <v>239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10" t="s">
        <v>44</v>
      </c>
      <c r="B178" s="619" t="s">
        <v>240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10" t="s">
        <v>44</v>
      </c>
      <c r="B179" s="619" t="s">
        <v>241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10" t="s">
        <v>44</v>
      </c>
      <c r="B180" s="619" t="s">
        <v>242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10" t="s">
        <v>44</v>
      </c>
      <c r="B181" s="619" t="s">
        <v>243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10" t="s">
        <v>44</v>
      </c>
      <c r="B182" s="619" t="s">
        <v>244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10" t="s">
        <v>44</v>
      </c>
      <c r="B183" s="619" t="s">
        <v>245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10" t="s">
        <v>44</v>
      </c>
      <c r="B184" s="619" t="s">
        <v>246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10" t="s">
        <v>44</v>
      </c>
      <c r="B185" s="619" t="s">
        <v>247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10" t="s">
        <v>44</v>
      </c>
      <c r="B186" s="619" t="s">
        <v>248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10" t="s">
        <v>44</v>
      </c>
      <c r="B187" s="619" t="s">
        <v>249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10" t="s">
        <v>44</v>
      </c>
      <c r="B188" s="619" t="s">
        <v>250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10" t="s">
        <v>44</v>
      </c>
      <c r="B189" s="619" t="s">
        <v>251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10" t="s">
        <v>44</v>
      </c>
      <c r="B190" s="619" t="s">
        <v>252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10" t="s">
        <v>44</v>
      </c>
      <c r="B191" s="619" t="s">
        <v>253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10" t="s">
        <v>44</v>
      </c>
      <c r="B192" s="619" t="s">
        <v>254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10" t="s">
        <v>44</v>
      </c>
      <c r="B193" s="619" t="s">
        <v>255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10" t="s">
        <v>44</v>
      </c>
      <c r="B194" s="619" t="s">
        <v>256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10" t="s">
        <v>44</v>
      </c>
      <c r="B195" s="619" t="s">
        <v>257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10" t="s">
        <v>44</v>
      </c>
      <c r="B196" s="619" t="s">
        <v>258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10" t="s">
        <v>44</v>
      </c>
      <c r="B197" s="619" t="s">
        <v>259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10" t="s">
        <v>44</v>
      </c>
      <c r="B198" s="619" t="s">
        <v>260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10" t="s">
        <v>44</v>
      </c>
      <c r="B199" s="619" t="s">
        <v>261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ht="15" x14ac:dyDescent="0.25">
      <c r="A200" s="113"/>
      <c r="B200" s="620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">
      <c r="A201" s="31" t="s">
        <v>73</v>
      </c>
      <c r="B201" s="1" t="s">
        <v>262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60">
        <f t="shared" ref="F201:F265" si="75">G201+H201</f>
        <v>64688</v>
      </c>
      <c r="G201" s="560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73</v>
      </c>
      <c r="B202" s="1" t="s">
        <v>263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73</v>
      </c>
      <c r="B203" s="1" t="s">
        <v>264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73</v>
      </c>
      <c r="B204" s="1" t="s">
        <v>265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73</v>
      </c>
      <c r="B205" s="1" t="s">
        <v>266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73</v>
      </c>
      <c r="B206" s="1" t="s">
        <v>267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73</v>
      </c>
      <c r="B207" s="1" t="s">
        <v>268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73</v>
      </c>
      <c r="B208" s="1" t="s">
        <v>269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73</v>
      </c>
      <c r="B209" s="1" t="s">
        <v>270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73</v>
      </c>
      <c r="B210" s="1" t="s">
        <v>271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73</v>
      </c>
      <c r="B211" s="1" t="s">
        <v>272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73</v>
      </c>
      <c r="B212" s="1" t="s">
        <v>273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73</v>
      </c>
      <c r="B213" s="1" t="s">
        <v>274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73</v>
      </c>
      <c r="B214" s="1" t="s">
        <v>275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73</v>
      </c>
      <c r="B215" s="1" t="s">
        <v>276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73</v>
      </c>
      <c r="B216" s="1" t="s">
        <v>277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73</v>
      </c>
      <c r="B217" s="1" t="s">
        <v>278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73</v>
      </c>
      <c r="B218" s="1" t="s">
        <v>279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73</v>
      </c>
      <c r="B219" s="1" t="s">
        <v>280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73</v>
      </c>
      <c r="B220" s="1" t="s">
        <v>281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73</v>
      </c>
      <c r="B221" s="1" t="s">
        <v>282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73</v>
      </c>
      <c r="B222" s="1" t="s">
        <v>283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73</v>
      </c>
      <c r="B223" s="1" t="s">
        <v>284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73</v>
      </c>
      <c r="B224" s="1" t="s">
        <v>285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73</v>
      </c>
      <c r="B225" s="1" t="s">
        <v>286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73</v>
      </c>
      <c r="B226" s="1" t="s">
        <v>287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73</v>
      </c>
      <c r="B227" s="1" t="s">
        <v>288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73</v>
      </c>
      <c r="B228" s="1" t="s">
        <v>289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73</v>
      </c>
      <c r="B229" s="1" t="s">
        <v>290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73</v>
      </c>
      <c r="B230" s="1" t="s">
        <v>291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73</v>
      </c>
      <c r="B231" s="1" t="s">
        <v>292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73</v>
      </c>
      <c r="B232" s="1" t="s">
        <v>293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73</v>
      </c>
      <c r="B233" s="1" t="s">
        <v>294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73</v>
      </c>
      <c r="B234" s="1" t="s">
        <v>295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73</v>
      </c>
      <c r="B235" s="1" t="s">
        <v>296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73</v>
      </c>
      <c r="B236" s="1" t="s">
        <v>297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73</v>
      </c>
      <c r="B237" s="1" t="s">
        <v>298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73</v>
      </c>
      <c r="B238" s="1" t="s">
        <v>299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73</v>
      </c>
      <c r="B239" s="1" t="s">
        <v>300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73</v>
      </c>
      <c r="B240" s="1" t="s">
        <v>301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73</v>
      </c>
      <c r="B241" s="1" t="s">
        <v>302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73</v>
      </c>
      <c r="B242" s="1" t="s">
        <v>303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73</v>
      </c>
      <c r="B243" s="1" t="s">
        <v>304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73</v>
      </c>
      <c r="B244" s="1" t="s">
        <v>305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73</v>
      </c>
      <c r="B245" s="1" t="s">
        <v>306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73</v>
      </c>
      <c r="B246" s="1" t="s">
        <v>307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73</v>
      </c>
      <c r="B247" s="1" t="s">
        <v>308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73</v>
      </c>
      <c r="B248" s="1" t="s">
        <v>309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73</v>
      </c>
      <c r="B249" s="1" t="s">
        <v>310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73</v>
      </c>
      <c r="B250" s="1" t="s">
        <v>311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73</v>
      </c>
      <c r="B251" s="1" t="s">
        <v>312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73</v>
      </c>
      <c r="B252" s="1" t="s">
        <v>313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73</v>
      </c>
      <c r="B253" s="1" t="s">
        <v>314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73</v>
      </c>
      <c r="B254" s="1" t="s">
        <v>315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73</v>
      </c>
      <c r="B255" s="1" t="s">
        <v>316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73</v>
      </c>
      <c r="B256" s="1" t="s">
        <v>317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73</v>
      </c>
      <c r="B257" s="1" t="s">
        <v>318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73</v>
      </c>
      <c r="B258" s="1" t="s">
        <v>319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73</v>
      </c>
      <c r="B259" s="1" t="s">
        <v>320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73</v>
      </c>
      <c r="B260" s="1" t="s">
        <v>321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73</v>
      </c>
      <c r="B261" s="1" t="s">
        <v>322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73</v>
      </c>
      <c r="B262" s="1" t="s">
        <v>323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73</v>
      </c>
      <c r="B263" s="1" t="s">
        <v>324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73</v>
      </c>
      <c r="B264" s="1" t="s">
        <v>325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73</v>
      </c>
      <c r="B265" s="1" t="s">
        <v>326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73</v>
      </c>
      <c r="B266" s="1" t="s">
        <v>327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73</v>
      </c>
      <c r="B267" s="1" t="s">
        <v>328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73</v>
      </c>
      <c r="B268" s="1" t="s">
        <v>329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73</v>
      </c>
      <c r="B269" s="1" t="s">
        <v>330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73</v>
      </c>
      <c r="B270" s="1" t="s">
        <v>331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73</v>
      </c>
      <c r="B271" s="1" t="s">
        <v>332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73</v>
      </c>
      <c r="B272" s="1" t="s">
        <v>333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73</v>
      </c>
      <c r="B273" s="1" t="s">
        <v>334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73</v>
      </c>
      <c r="B274" s="1" t="s">
        <v>335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73</v>
      </c>
      <c r="B275" s="1" t="s">
        <v>336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73</v>
      </c>
      <c r="B276" s="1" t="s">
        <v>337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73</v>
      </c>
      <c r="B277" s="1" t="s">
        <v>338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73</v>
      </c>
      <c r="B278" s="1" t="s">
        <v>339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73</v>
      </c>
      <c r="B279" s="1" t="s">
        <v>340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73</v>
      </c>
      <c r="B280" s="1" t="s">
        <v>341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73</v>
      </c>
      <c r="B281" s="1" t="s">
        <v>342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73</v>
      </c>
      <c r="B282" s="1" t="s">
        <v>343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73</v>
      </c>
      <c r="B283" s="1" t="s">
        <v>344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73</v>
      </c>
      <c r="B284" s="1" t="s">
        <v>345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73</v>
      </c>
      <c r="B285" s="1" t="s">
        <v>346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73</v>
      </c>
      <c r="B286" s="1" t="s">
        <v>347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73</v>
      </c>
      <c r="B287" s="1" t="s">
        <v>348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73</v>
      </c>
      <c r="B288" s="1" t="s">
        <v>349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73</v>
      </c>
      <c r="B289" s="1" t="s">
        <v>350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73</v>
      </c>
      <c r="B290" s="1" t="s">
        <v>351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73</v>
      </c>
      <c r="B291" s="1" t="s">
        <v>352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73</v>
      </c>
      <c r="B292" s="1" t="s">
        <v>353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73</v>
      </c>
      <c r="B293" s="1" t="s">
        <v>354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73</v>
      </c>
      <c r="B294" s="1" t="s">
        <v>355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73</v>
      </c>
      <c r="B295" s="1" t="s">
        <v>356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73</v>
      </c>
      <c r="B296" s="1" t="s">
        <v>357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73</v>
      </c>
      <c r="B297" s="1" t="s">
        <v>358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73</v>
      </c>
      <c r="B298" s="1" t="s">
        <v>359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73</v>
      </c>
      <c r="B299" s="1" t="s">
        <v>360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73</v>
      </c>
      <c r="B300" s="1" t="s">
        <v>361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73</v>
      </c>
      <c r="B301" s="1" t="s">
        <v>362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73</v>
      </c>
      <c r="B302" s="1" t="s">
        <v>363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73</v>
      </c>
      <c r="B303" s="1" t="s">
        <v>364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73</v>
      </c>
      <c r="B304" s="1" t="s">
        <v>365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73</v>
      </c>
      <c r="B305" s="1" t="s">
        <v>366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73</v>
      </c>
      <c r="B306" s="1" t="s">
        <v>367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73</v>
      </c>
      <c r="B307" s="1" t="s">
        <v>368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73</v>
      </c>
      <c r="B308" s="1" t="s">
        <v>369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73</v>
      </c>
      <c r="B309" s="1" t="s">
        <v>370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73</v>
      </c>
      <c r="B310" s="1" t="s">
        <v>371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73</v>
      </c>
      <c r="B311" s="1" t="s">
        <v>372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73</v>
      </c>
      <c r="B312" s="1" t="s">
        <v>373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73</v>
      </c>
      <c r="B313" s="1" t="s">
        <v>374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73</v>
      </c>
      <c r="B314" s="1" t="s">
        <v>375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73</v>
      </c>
      <c r="B315" s="1" t="s">
        <v>376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73</v>
      </c>
      <c r="B316" s="1" t="s">
        <v>377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73</v>
      </c>
      <c r="B317" s="1" t="s">
        <v>378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73</v>
      </c>
      <c r="B318" s="1" t="s">
        <v>379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73</v>
      </c>
      <c r="B319" s="1" t="s">
        <v>380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73</v>
      </c>
      <c r="B320" s="1" t="s">
        <v>381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73</v>
      </c>
      <c r="B321" s="1" t="s">
        <v>382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73</v>
      </c>
      <c r="B322" s="1" t="s">
        <v>383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73</v>
      </c>
      <c r="B323" s="1" t="s">
        <v>384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73</v>
      </c>
      <c r="B324" s="1" t="s">
        <v>385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73</v>
      </c>
      <c r="B325" s="1" t="s">
        <v>386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73</v>
      </c>
      <c r="B326" s="1" t="s">
        <v>387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73</v>
      </c>
      <c r="B327" s="1" t="s">
        <v>388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73</v>
      </c>
      <c r="B328" s="1" t="s">
        <v>389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73</v>
      </c>
      <c r="B329" s="1" t="s">
        <v>390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73</v>
      </c>
      <c r="B330" s="1" t="s">
        <v>391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73</v>
      </c>
      <c r="B331" s="1" t="s">
        <v>392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73</v>
      </c>
      <c r="B332" s="1" t="s">
        <v>393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73</v>
      </c>
      <c r="B333" s="1" t="s">
        <v>394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73</v>
      </c>
      <c r="B334" s="1" t="s">
        <v>395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73</v>
      </c>
      <c r="B335" s="1" t="s">
        <v>396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73</v>
      </c>
      <c r="B336" s="1" t="s">
        <v>397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73</v>
      </c>
      <c r="B337" s="1" t="s">
        <v>398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73</v>
      </c>
      <c r="B338" s="1" t="s">
        <v>399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73</v>
      </c>
      <c r="B339" s="1" t="s">
        <v>400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73</v>
      </c>
      <c r="B340" s="1" t="s">
        <v>401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73</v>
      </c>
      <c r="B341" s="1" t="s">
        <v>402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73</v>
      </c>
      <c r="B342" s="1" t="s">
        <v>403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73</v>
      </c>
      <c r="B343" s="1" t="s">
        <v>404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73</v>
      </c>
      <c r="B344" s="1" t="s">
        <v>405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73</v>
      </c>
      <c r="B345" s="1" t="s">
        <v>406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73</v>
      </c>
      <c r="B346" s="1" t="s">
        <v>407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73</v>
      </c>
      <c r="B347" s="1" t="s">
        <v>408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73</v>
      </c>
      <c r="B348" s="1" t="s">
        <v>409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73</v>
      </c>
      <c r="B349" s="1" t="s">
        <v>410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73</v>
      </c>
      <c r="B350" s="1" t="s">
        <v>411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73</v>
      </c>
      <c r="B351" s="1" t="s">
        <v>412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73</v>
      </c>
      <c r="B352" s="1" t="s">
        <v>413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73</v>
      </c>
      <c r="B353" s="1" t="s">
        <v>414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73</v>
      </c>
      <c r="B354" s="1" t="s">
        <v>415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73</v>
      </c>
      <c r="B355" s="1" t="s">
        <v>416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73</v>
      </c>
      <c r="B356" s="1" t="s">
        <v>417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73</v>
      </c>
      <c r="B357" s="1" t="s">
        <v>418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73</v>
      </c>
      <c r="B358" s="1" t="s">
        <v>419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73</v>
      </c>
      <c r="B359" s="1" t="s">
        <v>420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73</v>
      </c>
      <c r="B360" s="1" t="s">
        <v>421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73</v>
      </c>
      <c r="B361" s="1" t="s">
        <v>422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73</v>
      </c>
      <c r="B362" s="1" t="s">
        <v>423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73</v>
      </c>
      <c r="B363" s="1" t="s">
        <v>424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73</v>
      </c>
      <c r="B364" s="1" t="s">
        <v>425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73</v>
      </c>
      <c r="B365" s="1" t="s">
        <v>426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73</v>
      </c>
      <c r="B366" s="1" t="s">
        <v>427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73</v>
      </c>
      <c r="B367" s="1" t="s">
        <v>428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73</v>
      </c>
      <c r="B368" s="1" t="s">
        <v>429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73</v>
      </c>
      <c r="B369" s="1" t="s">
        <v>430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73</v>
      </c>
      <c r="B370" s="1" t="s">
        <v>431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73</v>
      </c>
      <c r="B371" s="1" t="s">
        <v>432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73</v>
      </c>
      <c r="B372" s="1" t="s">
        <v>433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73</v>
      </c>
      <c r="B373" s="1" t="s">
        <v>434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73</v>
      </c>
      <c r="B374" s="1" t="s">
        <v>435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73</v>
      </c>
      <c r="B375" s="1" t="s">
        <v>436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73</v>
      </c>
      <c r="B376" s="1" t="s">
        <v>437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73</v>
      </c>
      <c r="B377" s="1" t="s">
        <v>438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73</v>
      </c>
      <c r="B378" s="1" t="s">
        <v>439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73</v>
      </c>
      <c r="B379" s="1" t="s">
        <v>440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73</v>
      </c>
      <c r="B380" s="1" t="s">
        <v>441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73</v>
      </c>
      <c r="B381" s="1" t="s">
        <v>442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73</v>
      </c>
      <c r="B382" s="1" t="s">
        <v>443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73</v>
      </c>
      <c r="B383" s="1" t="s">
        <v>444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73</v>
      </c>
      <c r="B384" s="1" t="s">
        <v>445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73</v>
      </c>
      <c r="B385" s="1" t="s">
        <v>446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73</v>
      </c>
      <c r="B386" s="1" t="s">
        <v>447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73</v>
      </c>
      <c r="B387" s="1" t="s">
        <v>448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73</v>
      </c>
      <c r="B388" s="1" t="s">
        <v>449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73</v>
      </c>
      <c r="B389" s="1" t="s">
        <v>450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73</v>
      </c>
      <c r="B390" s="1" t="s">
        <v>451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73</v>
      </c>
      <c r="B391" s="1" t="s">
        <v>452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73</v>
      </c>
      <c r="B392" s="1" t="s">
        <v>453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73</v>
      </c>
      <c r="B393" s="1" t="s">
        <v>454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73</v>
      </c>
      <c r="B394" s="1" t="s">
        <v>455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73</v>
      </c>
      <c r="B395" s="1" t="s">
        <v>456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73</v>
      </c>
      <c r="B396" s="1" t="s">
        <v>457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73</v>
      </c>
      <c r="B397" s="1" t="s">
        <v>458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73</v>
      </c>
      <c r="B398" s="1" t="s">
        <v>459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73</v>
      </c>
      <c r="B399" s="1" t="s">
        <v>460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73</v>
      </c>
      <c r="B400" s="1" t="s">
        <v>461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73</v>
      </c>
      <c r="B401" s="1" t="s">
        <v>462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73</v>
      </c>
      <c r="B402" s="1" t="s">
        <v>463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73</v>
      </c>
      <c r="B403" s="1" t="s">
        <v>464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73</v>
      </c>
      <c r="B404" s="1" t="s">
        <v>465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73</v>
      </c>
      <c r="B405" s="1" t="s">
        <v>466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73</v>
      </c>
      <c r="B406" s="1" t="s">
        <v>467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73</v>
      </c>
      <c r="B407" s="1" t="s">
        <v>468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73</v>
      </c>
      <c r="B408" s="1" t="s">
        <v>469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73</v>
      </c>
      <c r="B409" s="1" t="s">
        <v>470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73</v>
      </c>
      <c r="B410" s="1" t="s">
        <v>471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73</v>
      </c>
      <c r="B411" s="1" t="s">
        <v>472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73</v>
      </c>
      <c r="B412" s="1" t="s">
        <v>473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73</v>
      </c>
      <c r="B413" s="1" t="s">
        <v>474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73</v>
      </c>
      <c r="B414" s="1" t="s">
        <v>475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73</v>
      </c>
      <c r="B415" s="1" t="s">
        <v>476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73</v>
      </c>
      <c r="B416" s="1" t="s">
        <v>477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73</v>
      </c>
      <c r="B417" s="1" t="s">
        <v>478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73</v>
      </c>
      <c r="B418" s="1" t="s">
        <v>479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73</v>
      </c>
      <c r="B419" s="1" t="s">
        <v>480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73</v>
      </c>
      <c r="B420" s="1" t="s">
        <v>481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73</v>
      </c>
      <c r="B421" s="1" t="s">
        <v>482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73</v>
      </c>
      <c r="B422" s="1" t="s">
        <v>483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73</v>
      </c>
      <c r="B423" s="1" t="s">
        <v>484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73</v>
      </c>
      <c r="B424" s="1" t="s">
        <v>485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73</v>
      </c>
      <c r="B425" s="1" t="s">
        <v>486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73</v>
      </c>
      <c r="B426" s="1" t="s">
        <v>487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73</v>
      </c>
      <c r="B427" s="1" t="s">
        <v>488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73</v>
      </c>
      <c r="B428" s="1" t="s">
        <v>489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73</v>
      </c>
      <c r="B429" s="1" t="s">
        <v>490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73</v>
      </c>
      <c r="B430" s="1" t="s">
        <v>491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73</v>
      </c>
      <c r="B431" s="1" t="s">
        <v>492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73</v>
      </c>
      <c r="B432" s="1" t="s">
        <v>493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73</v>
      </c>
      <c r="B433" s="1" t="s">
        <v>494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73</v>
      </c>
      <c r="B434" s="1" t="s">
        <v>495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73</v>
      </c>
      <c r="B435" s="1" t="s">
        <v>496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73</v>
      </c>
      <c r="B436" s="1" t="s">
        <v>497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73</v>
      </c>
      <c r="B437" s="1" t="s">
        <v>498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73</v>
      </c>
      <c r="B438" s="1" t="s">
        <v>499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73</v>
      </c>
      <c r="B439" s="1" t="s">
        <v>500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73</v>
      </c>
      <c r="B440" s="1" t="s">
        <v>501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73</v>
      </c>
      <c r="B441" s="1" t="s">
        <v>502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73</v>
      </c>
      <c r="B442" s="1" t="s">
        <v>503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73</v>
      </c>
      <c r="B443" s="1" t="s">
        <v>504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73</v>
      </c>
      <c r="B444" s="1" t="s">
        <v>505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73</v>
      </c>
      <c r="B445" s="1" t="s">
        <v>506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73</v>
      </c>
      <c r="B446" s="1" t="s">
        <v>507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73</v>
      </c>
      <c r="B447" s="1" t="s">
        <v>508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73</v>
      </c>
      <c r="B448" s="1" t="s">
        <v>509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73</v>
      </c>
      <c r="B449" s="1" t="s">
        <v>510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73</v>
      </c>
      <c r="B450" s="1" t="s">
        <v>511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73</v>
      </c>
      <c r="B451" s="1" t="s">
        <v>512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73</v>
      </c>
      <c r="B452" s="1" t="s">
        <v>513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73</v>
      </c>
      <c r="B453" s="1" t="s">
        <v>514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73</v>
      </c>
      <c r="B454" s="1" t="s">
        <v>515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73</v>
      </c>
      <c r="B455" s="1" t="s">
        <v>516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73</v>
      </c>
      <c r="B456" s="1" t="s">
        <v>517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73</v>
      </c>
      <c r="B457" s="1" t="s">
        <v>518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73</v>
      </c>
      <c r="B458" s="1" t="s">
        <v>519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73</v>
      </c>
      <c r="B459" s="1" t="s">
        <v>520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73</v>
      </c>
      <c r="B460" s="1" t="s">
        <v>521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73</v>
      </c>
      <c r="B461" s="1" t="s">
        <v>522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73</v>
      </c>
      <c r="B462" s="1" t="s">
        <v>523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73</v>
      </c>
      <c r="B463" s="1" t="s">
        <v>524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73</v>
      </c>
      <c r="B464" s="1" t="s">
        <v>525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73</v>
      </c>
      <c r="B465" s="1" t="s">
        <v>526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73</v>
      </c>
      <c r="B466" s="1" t="s">
        <v>527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73</v>
      </c>
      <c r="B467" s="1" t="s">
        <v>528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73</v>
      </c>
      <c r="B468" s="1" t="s">
        <v>529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73</v>
      </c>
      <c r="B469" s="1" t="s">
        <v>530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73</v>
      </c>
      <c r="B470" s="1" t="s">
        <v>531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73</v>
      </c>
      <c r="B471" s="1" t="s">
        <v>532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73</v>
      </c>
      <c r="B472" s="1" t="s">
        <v>533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73</v>
      </c>
      <c r="B473" s="1" t="s">
        <v>534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73</v>
      </c>
      <c r="B474" s="1" t="s">
        <v>535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73</v>
      </c>
      <c r="B475" s="1" t="s">
        <v>536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73</v>
      </c>
      <c r="B476" s="1" t="s">
        <v>537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73</v>
      </c>
      <c r="B477" s="1" t="s">
        <v>538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73</v>
      </c>
      <c r="B478" s="1" t="s">
        <v>539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73</v>
      </c>
      <c r="B479" s="1" t="s">
        <v>540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73</v>
      </c>
      <c r="B480" s="1" t="s">
        <v>541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73</v>
      </c>
      <c r="B481" s="1" t="s">
        <v>542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73</v>
      </c>
      <c r="B482" s="1" t="s">
        <v>543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73</v>
      </c>
      <c r="B483" s="1" t="s">
        <v>544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73</v>
      </c>
      <c r="B484" s="1" t="s">
        <v>545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73</v>
      </c>
      <c r="B485" s="1" t="s">
        <v>546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73</v>
      </c>
      <c r="B486" s="1" t="s">
        <v>547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73</v>
      </c>
      <c r="B487" s="1" t="s">
        <v>548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73</v>
      </c>
      <c r="B488" s="1" t="s">
        <v>549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73</v>
      </c>
      <c r="B489" s="1" t="s">
        <v>550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73</v>
      </c>
      <c r="B490" s="1" t="s">
        <v>551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73</v>
      </c>
      <c r="B491" s="1" t="s">
        <v>552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73</v>
      </c>
      <c r="B492" s="1" t="s">
        <v>553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73</v>
      </c>
      <c r="B493" s="1" t="s">
        <v>554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73</v>
      </c>
      <c r="B494" s="1" t="s">
        <v>555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73</v>
      </c>
      <c r="B495" s="1" t="s">
        <v>556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73</v>
      </c>
      <c r="B496" s="1" t="s">
        <v>557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ht="15" x14ac:dyDescent="0.25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">
      <c r="A498" s="31" t="s">
        <v>558</v>
      </c>
      <c r="B498" s="1" t="s">
        <v>559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605">
        <v>391</v>
      </c>
      <c r="N498" s="605">
        <v>334</v>
      </c>
      <c r="O498" s="605">
        <v>374</v>
      </c>
      <c r="P498" s="605">
        <v>393</v>
      </c>
      <c r="Q498" s="605">
        <v>365</v>
      </c>
      <c r="R498" s="605">
        <v>333</v>
      </c>
      <c r="S498" s="605">
        <v>365</v>
      </c>
      <c r="T498" s="605">
        <v>388</v>
      </c>
      <c r="U498" s="605">
        <v>394</v>
      </c>
      <c r="V498" s="605">
        <v>392</v>
      </c>
      <c r="W498" s="605">
        <v>375</v>
      </c>
      <c r="X498" s="605">
        <v>423</v>
      </c>
      <c r="Y498" s="605">
        <v>403</v>
      </c>
      <c r="Z498" s="605">
        <v>425</v>
      </c>
      <c r="AA498" s="605">
        <v>394</v>
      </c>
      <c r="AB498" s="605">
        <v>319</v>
      </c>
      <c r="AC498" s="605">
        <v>337</v>
      </c>
      <c r="AD498" s="605">
        <v>363</v>
      </c>
      <c r="AE498" s="605">
        <v>363</v>
      </c>
      <c r="AF498" s="605">
        <v>317</v>
      </c>
      <c r="AG498" s="605">
        <v>288</v>
      </c>
      <c r="AH498" s="605">
        <v>332</v>
      </c>
      <c r="AI498" s="605">
        <v>374</v>
      </c>
      <c r="AJ498" s="605">
        <v>338</v>
      </c>
      <c r="AK498" s="605">
        <v>389</v>
      </c>
      <c r="AL498" s="605">
        <v>412</v>
      </c>
      <c r="AM498" s="605">
        <v>367</v>
      </c>
      <c r="AN498" s="605">
        <v>361</v>
      </c>
      <c r="AO498" s="605">
        <v>441</v>
      </c>
      <c r="AP498" s="605">
        <v>438</v>
      </c>
      <c r="AQ498" s="605">
        <v>468</v>
      </c>
      <c r="AR498" s="605">
        <v>465</v>
      </c>
      <c r="AS498" s="605">
        <v>442</v>
      </c>
      <c r="AT498" s="605">
        <v>467</v>
      </c>
      <c r="AU498" s="605">
        <v>398</v>
      </c>
      <c r="AV498" s="605">
        <v>423</v>
      </c>
      <c r="AW498" s="605">
        <v>418</v>
      </c>
      <c r="AX498" s="605">
        <v>449</v>
      </c>
      <c r="AY498" s="605">
        <v>389</v>
      </c>
      <c r="AZ498" s="605">
        <v>409</v>
      </c>
      <c r="BA498" s="605">
        <v>365</v>
      </c>
      <c r="BB498" s="605">
        <v>396</v>
      </c>
      <c r="BC498" s="605">
        <v>373</v>
      </c>
      <c r="BD498" s="605">
        <v>369</v>
      </c>
      <c r="BE498" s="605">
        <v>348</v>
      </c>
      <c r="BF498" s="605">
        <v>299</v>
      </c>
      <c r="BG498" s="605">
        <v>345</v>
      </c>
      <c r="BH498" s="605">
        <v>417</v>
      </c>
      <c r="BI498" s="605">
        <v>386</v>
      </c>
      <c r="BJ498" s="605">
        <v>430</v>
      </c>
      <c r="BK498" s="605">
        <v>495</v>
      </c>
      <c r="BL498" s="605">
        <v>469</v>
      </c>
      <c r="BM498" s="605">
        <v>471</v>
      </c>
      <c r="BN498" s="605">
        <v>521</v>
      </c>
      <c r="BO498" s="605">
        <v>498</v>
      </c>
      <c r="BP498" s="605">
        <v>491</v>
      </c>
      <c r="BQ498" s="605">
        <v>525</v>
      </c>
      <c r="BR498" s="605">
        <v>529</v>
      </c>
      <c r="BS498" s="605">
        <v>512</v>
      </c>
      <c r="BT498" s="605">
        <v>493</v>
      </c>
      <c r="BU498" s="605">
        <v>503</v>
      </c>
      <c r="BV498" s="605">
        <v>432</v>
      </c>
      <c r="BW498" s="605">
        <v>445</v>
      </c>
      <c r="BX498" s="605">
        <v>434</v>
      </c>
      <c r="BY498" s="605">
        <v>364</v>
      </c>
      <c r="BZ498" s="605">
        <v>441</v>
      </c>
      <c r="CA498" s="605">
        <v>389</v>
      </c>
      <c r="CB498" s="605">
        <v>372</v>
      </c>
      <c r="CC498" s="605">
        <v>364</v>
      </c>
      <c r="CD498" s="605">
        <v>375</v>
      </c>
      <c r="CE498" s="605">
        <v>341</v>
      </c>
      <c r="CF498" s="605">
        <v>358</v>
      </c>
      <c r="CG498" s="605">
        <v>351</v>
      </c>
      <c r="CH498" s="605">
        <v>359</v>
      </c>
      <c r="CI498" s="605">
        <v>343</v>
      </c>
      <c r="CJ498" s="605">
        <v>401</v>
      </c>
      <c r="CK498" s="605">
        <v>297</v>
      </c>
      <c r="CL498" s="605">
        <v>262</v>
      </c>
      <c r="CM498" s="605">
        <v>235</v>
      </c>
      <c r="CN498" s="605">
        <v>261</v>
      </c>
      <c r="CO498" s="605">
        <v>210</v>
      </c>
      <c r="CP498" s="605">
        <v>179</v>
      </c>
      <c r="CQ498" s="605">
        <v>155</v>
      </c>
      <c r="CR498" s="605">
        <v>164</v>
      </c>
      <c r="CS498" s="605">
        <v>135</v>
      </c>
      <c r="CT498" s="605">
        <v>101</v>
      </c>
      <c r="CU498" s="605">
        <v>100</v>
      </c>
      <c r="CV498" s="605">
        <v>87</v>
      </c>
      <c r="CW498" s="605">
        <v>55</v>
      </c>
      <c r="CX498" s="605">
        <v>58</v>
      </c>
      <c r="CY498" s="605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61</v>
      </c>
      <c r="B499" s="1" t="s">
        <v>560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605">
        <v>731</v>
      </c>
      <c r="N499" s="605">
        <v>689</v>
      </c>
      <c r="O499" s="605">
        <v>714</v>
      </c>
      <c r="P499" s="605">
        <v>751</v>
      </c>
      <c r="Q499" s="605">
        <v>788</v>
      </c>
      <c r="R499" s="605">
        <v>823</v>
      </c>
      <c r="S499" s="605">
        <v>811</v>
      </c>
      <c r="T499" s="605">
        <v>852</v>
      </c>
      <c r="U499" s="605">
        <v>862</v>
      </c>
      <c r="V499" s="605">
        <v>879</v>
      </c>
      <c r="W499" s="605">
        <v>884</v>
      </c>
      <c r="X499" s="605">
        <v>978</v>
      </c>
      <c r="Y499" s="605">
        <v>895</v>
      </c>
      <c r="Z499" s="605">
        <v>924</v>
      </c>
      <c r="AA499" s="605">
        <v>890</v>
      </c>
      <c r="AB499" s="605">
        <v>868</v>
      </c>
      <c r="AC499" s="605">
        <v>836</v>
      </c>
      <c r="AD499" s="605">
        <v>905</v>
      </c>
      <c r="AE499" s="605">
        <v>777</v>
      </c>
      <c r="AF499" s="605">
        <v>641</v>
      </c>
      <c r="AG499" s="605">
        <v>674</v>
      </c>
      <c r="AH499" s="605">
        <v>686</v>
      </c>
      <c r="AI499" s="605">
        <v>727</v>
      </c>
      <c r="AJ499" s="605">
        <v>840</v>
      </c>
      <c r="AK499" s="605">
        <v>858</v>
      </c>
      <c r="AL499" s="605">
        <v>945</v>
      </c>
      <c r="AM499" s="605">
        <v>890</v>
      </c>
      <c r="AN499" s="605">
        <v>816</v>
      </c>
      <c r="AO499" s="605">
        <v>944</v>
      </c>
      <c r="AP499" s="605">
        <v>857</v>
      </c>
      <c r="AQ499" s="605">
        <v>968</v>
      </c>
      <c r="AR499" s="605">
        <v>910</v>
      </c>
      <c r="AS499" s="605">
        <v>982</v>
      </c>
      <c r="AT499" s="605">
        <v>986</v>
      </c>
      <c r="AU499" s="605">
        <v>996</v>
      </c>
      <c r="AV499" s="605">
        <v>984</v>
      </c>
      <c r="AW499" s="605">
        <v>944</v>
      </c>
      <c r="AX499" s="605">
        <v>937</v>
      </c>
      <c r="AY499" s="605">
        <v>874</v>
      </c>
      <c r="AZ499" s="605">
        <v>882</v>
      </c>
      <c r="BA499" s="605">
        <v>860</v>
      </c>
      <c r="BB499" s="605">
        <v>916</v>
      </c>
      <c r="BC499" s="605">
        <v>935</v>
      </c>
      <c r="BD499" s="605">
        <v>885</v>
      </c>
      <c r="BE499" s="605">
        <v>798</v>
      </c>
      <c r="BF499" s="605">
        <v>764</v>
      </c>
      <c r="BG499" s="605">
        <v>821</v>
      </c>
      <c r="BH499" s="605">
        <v>816</v>
      </c>
      <c r="BI499" s="605">
        <v>884</v>
      </c>
      <c r="BJ499" s="605">
        <v>901</v>
      </c>
      <c r="BK499" s="605">
        <v>1009</v>
      </c>
      <c r="BL499" s="605">
        <v>1091</v>
      </c>
      <c r="BM499" s="605">
        <v>977</v>
      </c>
      <c r="BN499" s="605">
        <v>1017</v>
      </c>
      <c r="BO499" s="605">
        <v>1078</v>
      </c>
      <c r="BP499" s="605">
        <v>1056</v>
      </c>
      <c r="BQ499" s="605">
        <v>1081</v>
      </c>
      <c r="BR499" s="605">
        <v>1062</v>
      </c>
      <c r="BS499" s="605">
        <v>1067</v>
      </c>
      <c r="BT499" s="605">
        <v>1000</v>
      </c>
      <c r="BU499" s="605">
        <v>1035</v>
      </c>
      <c r="BV499" s="605">
        <v>984</v>
      </c>
      <c r="BW499" s="605">
        <v>918</v>
      </c>
      <c r="BX499" s="605">
        <v>903</v>
      </c>
      <c r="BY499" s="605">
        <v>907</v>
      </c>
      <c r="BZ499" s="605">
        <v>835</v>
      </c>
      <c r="CA499" s="605">
        <v>831</v>
      </c>
      <c r="CB499" s="605">
        <v>766</v>
      </c>
      <c r="CC499" s="605">
        <v>742</v>
      </c>
      <c r="CD499" s="605">
        <v>776</v>
      </c>
      <c r="CE499" s="605">
        <v>736</v>
      </c>
      <c r="CF499" s="605">
        <v>767</v>
      </c>
      <c r="CG499" s="605">
        <v>726</v>
      </c>
      <c r="CH499" s="605">
        <v>780</v>
      </c>
      <c r="CI499" s="605">
        <v>754</v>
      </c>
      <c r="CJ499" s="605">
        <v>809</v>
      </c>
      <c r="CK499" s="605">
        <v>632</v>
      </c>
      <c r="CL499" s="605">
        <v>617</v>
      </c>
      <c r="CM499" s="605">
        <v>572</v>
      </c>
      <c r="CN499" s="605">
        <v>506</v>
      </c>
      <c r="CO499" s="605">
        <v>443</v>
      </c>
      <c r="CP499" s="605">
        <v>449</v>
      </c>
      <c r="CQ499" s="605">
        <v>367</v>
      </c>
      <c r="CR499" s="605">
        <v>336</v>
      </c>
      <c r="CS499" s="605">
        <v>314</v>
      </c>
      <c r="CT499" s="605">
        <v>257</v>
      </c>
      <c r="CU499" s="605">
        <v>226</v>
      </c>
      <c r="CV499" s="605">
        <v>223</v>
      </c>
      <c r="CW499" s="605">
        <v>154</v>
      </c>
      <c r="CX499" s="605">
        <v>144</v>
      </c>
      <c r="CY499" s="605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61</v>
      </c>
      <c r="B500" s="1" t="s">
        <v>561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605">
        <v>834</v>
      </c>
      <c r="N500" s="605">
        <v>824</v>
      </c>
      <c r="O500" s="605">
        <v>908</v>
      </c>
      <c r="P500" s="605">
        <v>935</v>
      </c>
      <c r="Q500" s="605">
        <v>1007</v>
      </c>
      <c r="R500" s="605">
        <v>996</v>
      </c>
      <c r="S500" s="605">
        <v>1029</v>
      </c>
      <c r="T500" s="605">
        <v>1072</v>
      </c>
      <c r="U500" s="605">
        <v>1068</v>
      </c>
      <c r="V500" s="605">
        <v>1056</v>
      </c>
      <c r="W500" s="605">
        <v>1069</v>
      </c>
      <c r="X500" s="605">
        <v>1095</v>
      </c>
      <c r="Y500" s="605">
        <v>1148</v>
      </c>
      <c r="Z500" s="605">
        <v>1126</v>
      </c>
      <c r="AA500" s="605">
        <v>1141</v>
      </c>
      <c r="AB500" s="605">
        <v>1053</v>
      </c>
      <c r="AC500" s="605">
        <v>1026</v>
      </c>
      <c r="AD500" s="605">
        <v>1028</v>
      </c>
      <c r="AE500" s="605">
        <v>1108</v>
      </c>
      <c r="AF500" s="605">
        <v>875</v>
      </c>
      <c r="AG500" s="605">
        <v>817</v>
      </c>
      <c r="AH500" s="605">
        <v>888</v>
      </c>
      <c r="AI500" s="605">
        <v>942</v>
      </c>
      <c r="AJ500" s="605">
        <v>891</v>
      </c>
      <c r="AK500" s="605">
        <v>901</v>
      </c>
      <c r="AL500" s="605">
        <v>1103</v>
      </c>
      <c r="AM500" s="605">
        <v>1005</v>
      </c>
      <c r="AN500" s="605">
        <v>987</v>
      </c>
      <c r="AO500" s="605">
        <v>1032</v>
      </c>
      <c r="AP500" s="605">
        <v>1030</v>
      </c>
      <c r="AQ500" s="605">
        <v>1074</v>
      </c>
      <c r="AR500" s="605">
        <v>1182</v>
      </c>
      <c r="AS500" s="605">
        <v>1115</v>
      </c>
      <c r="AT500" s="605">
        <v>1132</v>
      </c>
      <c r="AU500" s="605">
        <v>1167</v>
      </c>
      <c r="AV500" s="605">
        <v>1071</v>
      </c>
      <c r="AW500" s="605">
        <v>1140</v>
      </c>
      <c r="AX500" s="605">
        <v>1077</v>
      </c>
      <c r="AY500" s="605">
        <v>1079</v>
      </c>
      <c r="AZ500" s="605">
        <v>1060</v>
      </c>
      <c r="BA500" s="605">
        <v>1012</v>
      </c>
      <c r="BB500" s="605">
        <v>1070</v>
      </c>
      <c r="BC500" s="605">
        <v>1085</v>
      </c>
      <c r="BD500" s="605">
        <v>1002</v>
      </c>
      <c r="BE500" s="605">
        <v>958</v>
      </c>
      <c r="BF500" s="605">
        <v>997</v>
      </c>
      <c r="BG500" s="605">
        <v>992</v>
      </c>
      <c r="BH500" s="605">
        <v>988</v>
      </c>
      <c r="BI500" s="605">
        <v>1077</v>
      </c>
      <c r="BJ500" s="605">
        <v>1113</v>
      </c>
      <c r="BK500" s="605">
        <v>1157</v>
      </c>
      <c r="BL500" s="605">
        <v>1232</v>
      </c>
      <c r="BM500" s="605">
        <v>1129</v>
      </c>
      <c r="BN500" s="605">
        <v>1299</v>
      </c>
      <c r="BO500" s="605">
        <v>1259</v>
      </c>
      <c r="BP500" s="605">
        <v>1214</v>
      </c>
      <c r="BQ500" s="605">
        <v>1265</v>
      </c>
      <c r="BR500" s="605">
        <v>1277</v>
      </c>
      <c r="BS500" s="605">
        <v>1255</v>
      </c>
      <c r="BT500" s="605">
        <v>1273</v>
      </c>
      <c r="BU500" s="605">
        <v>1181</v>
      </c>
      <c r="BV500" s="605">
        <v>1146</v>
      </c>
      <c r="BW500" s="605">
        <v>1118</v>
      </c>
      <c r="BX500" s="605">
        <v>1064</v>
      </c>
      <c r="BY500" s="605">
        <v>1058</v>
      </c>
      <c r="BZ500" s="605">
        <v>1029</v>
      </c>
      <c r="CA500" s="605">
        <v>925</v>
      </c>
      <c r="CB500" s="605">
        <v>870</v>
      </c>
      <c r="CC500" s="605">
        <v>989</v>
      </c>
      <c r="CD500" s="605">
        <v>948</v>
      </c>
      <c r="CE500" s="605">
        <v>880</v>
      </c>
      <c r="CF500" s="605">
        <v>910</v>
      </c>
      <c r="CG500" s="605">
        <v>938</v>
      </c>
      <c r="CH500" s="605">
        <v>837</v>
      </c>
      <c r="CI500" s="605">
        <v>970</v>
      </c>
      <c r="CJ500" s="605">
        <v>989</v>
      </c>
      <c r="CK500" s="605">
        <v>740</v>
      </c>
      <c r="CL500" s="605">
        <v>691</v>
      </c>
      <c r="CM500" s="605">
        <v>645</v>
      </c>
      <c r="CN500" s="605">
        <v>570</v>
      </c>
      <c r="CO500" s="605">
        <v>578</v>
      </c>
      <c r="CP500" s="605">
        <v>442</v>
      </c>
      <c r="CQ500" s="605">
        <v>426</v>
      </c>
      <c r="CR500" s="605">
        <v>410</v>
      </c>
      <c r="CS500" s="605">
        <v>355</v>
      </c>
      <c r="CT500" s="605">
        <v>296</v>
      </c>
      <c r="CU500" s="605">
        <v>259</v>
      </c>
      <c r="CV500" s="605">
        <v>215</v>
      </c>
      <c r="CW500" s="605">
        <v>176</v>
      </c>
      <c r="CX500" s="605">
        <v>150</v>
      </c>
      <c r="CY500" s="605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61</v>
      </c>
      <c r="B501" s="1" t="s">
        <v>562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605">
        <v>1950</v>
      </c>
      <c r="N501" s="605">
        <v>1875</v>
      </c>
      <c r="O501" s="605">
        <v>1880</v>
      </c>
      <c r="P501" s="605">
        <v>1977</v>
      </c>
      <c r="Q501" s="605">
        <v>2035</v>
      </c>
      <c r="R501" s="605">
        <v>2099</v>
      </c>
      <c r="S501" s="605">
        <v>2234</v>
      </c>
      <c r="T501" s="605">
        <v>2194</v>
      </c>
      <c r="U501" s="605">
        <v>2213</v>
      </c>
      <c r="V501" s="605">
        <v>2181</v>
      </c>
      <c r="W501" s="605">
        <v>2303</v>
      </c>
      <c r="X501" s="605">
        <v>2380</v>
      </c>
      <c r="Y501" s="605">
        <v>2271</v>
      </c>
      <c r="Z501" s="605">
        <v>2188</v>
      </c>
      <c r="AA501" s="605">
        <v>2173</v>
      </c>
      <c r="AB501" s="605">
        <v>2117</v>
      </c>
      <c r="AC501" s="605">
        <v>2130</v>
      </c>
      <c r="AD501" s="605">
        <v>2130</v>
      </c>
      <c r="AE501" s="605">
        <v>2327</v>
      </c>
      <c r="AF501" s="605">
        <v>4164</v>
      </c>
      <c r="AG501" s="605">
        <v>4565</v>
      </c>
      <c r="AH501" s="605">
        <v>4249</v>
      </c>
      <c r="AI501" s="605">
        <v>3797</v>
      </c>
      <c r="AJ501" s="605">
        <v>3628</v>
      </c>
      <c r="AK501" s="605">
        <v>3513</v>
      </c>
      <c r="AL501" s="605">
        <v>3439</v>
      </c>
      <c r="AM501" s="605">
        <v>3420</v>
      </c>
      <c r="AN501" s="605">
        <v>3228</v>
      </c>
      <c r="AO501" s="605">
        <v>3077</v>
      </c>
      <c r="AP501" s="605">
        <v>2999</v>
      </c>
      <c r="AQ501" s="605">
        <v>2824</v>
      </c>
      <c r="AR501" s="605">
        <v>2846</v>
      </c>
      <c r="AS501" s="605">
        <v>2776</v>
      </c>
      <c r="AT501" s="605">
        <v>2588</v>
      </c>
      <c r="AU501" s="605">
        <v>2705</v>
      </c>
      <c r="AV501" s="605">
        <v>2608</v>
      </c>
      <c r="AW501" s="605">
        <v>2669</v>
      </c>
      <c r="AX501" s="605">
        <v>2467</v>
      </c>
      <c r="AY501" s="605">
        <v>2494</v>
      </c>
      <c r="AZ501" s="605">
        <v>2498</v>
      </c>
      <c r="BA501" s="605">
        <v>2343</v>
      </c>
      <c r="BB501" s="605">
        <v>2361</v>
      </c>
      <c r="BC501" s="605">
        <v>2324</v>
      </c>
      <c r="BD501" s="605">
        <v>2260</v>
      </c>
      <c r="BE501" s="605">
        <v>2022</v>
      </c>
      <c r="BF501" s="605">
        <v>2128</v>
      </c>
      <c r="BG501" s="605">
        <v>2019</v>
      </c>
      <c r="BH501" s="605">
        <v>2027</v>
      </c>
      <c r="BI501" s="605">
        <v>2070</v>
      </c>
      <c r="BJ501" s="605">
        <v>1928</v>
      </c>
      <c r="BK501" s="605">
        <v>1966</v>
      </c>
      <c r="BL501" s="605">
        <v>2100</v>
      </c>
      <c r="BM501" s="605">
        <v>2061</v>
      </c>
      <c r="BN501" s="605">
        <v>2078</v>
      </c>
      <c r="BO501" s="605">
        <v>1992</v>
      </c>
      <c r="BP501" s="605">
        <v>2070</v>
      </c>
      <c r="BQ501" s="605">
        <v>1888</v>
      </c>
      <c r="BR501" s="605">
        <v>2027</v>
      </c>
      <c r="BS501" s="605">
        <v>1976</v>
      </c>
      <c r="BT501" s="605">
        <v>1918</v>
      </c>
      <c r="BU501" s="605">
        <v>1994</v>
      </c>
      <c r="BV501" s="605">
        <v>1814</v>
      </c>
      <c r="BW501" s="605">
        <v>1830</v>
      </c>
      <c r="BX501" s="605">
        <v>1808</v>
      </c>
      <c r="BY501" s="605">
        <v>1654</v>
      </c>
      <c r="BZ501" s="605">
        <v>1666</v>
      </c>
      <c r="CA501" s="605">
        <v>1538</v>
      </c>
      <c r="CB501" s="605">
        <v>1449</v>
      </c>
      <c r="CC501" s="605">
        <v>1467</v>
      </c>
      <c r="CD501" s="605">
        <v>1364</v>
      </c>
      <c r="CE501" s="605">
        <v>1286</v>
      </c>
      <c r="CF501" s="605">
        <v>1359</v>
      </c>
      <c r="CG501" s="605">
        <v>1353</v>
      </c>
      <c r="CH501" s="605">
        <v>1306</v>
      </c>
      <c r="CI501" s="605">
        <v>1244</v>
      </c>
      <c r="CJ501" s="605">
        <v>1342</v>
      </c>
      <c r="CK501" s="605">
        <v>991</v>
      </c>
      <c r="CL501" s="605">
        <v>942</v>
      </c>
      <c r="CM501" s="605">
        <v>905</v>
      </c>
      <c r="CN501" s="605">
        <v>742</v>
      </c>
      <c r="CO501" s="605">
        <v>691</v>
      </c>
      <c r="CP501" s="605">
        <v>611</v>
      </c>
      <c r="CQ501" s="605">
        <v>589</v>
      </c>
      <c r="CR501" s="605">
        <v>538</v>
      </c>
      <c r="CS501" s="605">
        <v>490</v>
      </c>
      <c r="CT501" s="605">
        <v>446</v>
      </c>
      <c r="CU501" s="605">
        <v>394</v>
      </c>
      <c r="CV501" s="605">
        <v>368</v>
      </c>
      <c r="CW501" s="605">
        <v>281</v>
      </c>
      <c r="CX501" s="605">
        <v>249</v>
      </c>
      <c r="CY501" s="605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61</v>
      </c>
      <c r="B502" s="1" t="s">
        <v>563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605">
        <v>856</v>
      </c>
      <c r="N502" s="605">
        <v>866</v>
      </c>
      <c r="O502" s="605">
        <v>854</v>
      </c>
      <c r="P502" s="605">
        <v>934</v>
      </c>
      <c r="Q502" s="605">
        <v>976</v>
      </c>
      <c r="R502" s="605">
        <v>1016</v>
      </c>
      <c r="S502" s="605">
        <v>1068</v>
      </c>
      <c r="T502" s="605">
        <v>1057</v>
      </c>
      <c r="U502" s="605">
        <v>1032</v>
      </c>
      <c r="V502" s="605">
        <v>1077</v>
      </c>
      <c r="W502" s="605">
        <v>1158</v>
      </c>
      <c r="X502" s="605">
        <v>1168</v>
      </c>
      <c r="Y502" s="605">
        <v>1148</v>
      </c>
      <c r="Z502" s="605">
        <v>1099</v>
      </c>
      <c r="AA502" s="605">
        <v>1137</v>
      </c>
      <c r="AB502" s="605">
        <v>1146</v>
      </c>
      <c r="AC502" s="605">
        <v>1150</v>
      </c>
      <c r="AD502" s="605">
        <v>1098</v>
      </c>
      <c r="AE502" s="605">
        <v>1071</v>
      </c>
      <c r="AF502" s="605">
        <v>898</v>
      </c>
      <c r="AG502" s="605">
        <v>829</v>
      </c>
      <c r="AH502" s="605">
        <v>834</v>
      </c>
      <c r="AI502" s="605">
        <v>847</v>
      </c>
      <c r="AJ502" s="605">
        <v>907</v>
      </c>
      <c r="AK502" s="605">
        <v>957</v>
      </c>
      <c r="AL502" s="605">
        <v>1013</v>
      </c>
      <c r="AM502" s="605">
        <v>1000</v>
      </c>
      <c r="AN502" s="605">
        <v>923</v>
      </c>
      <c r="AO502" s="605">
        <v>977</v>
      </c>
      <c r="AP502" s="605">
        <v>975</v>
      </c>
      <c r="AQ502" s="605">
        <v>1005</v>
      </c>
      <c r="AR502" s="605">
        <v>1049</v>
      </c>
      <c r="AS502" s="605">
        <v>1077</v>
      </c>
      <c r="AT502" s="605">
        <v>1035</v>
      </c>
      <c r="AU502" s="605">
        <v>1116</v>
      </c>
      <c r="AV502" s="605">
        <v>1060</v>
      </c>
      <c r="AW502" s="605">
        <v>1050</v>
      </c>
      <c r="AX502" s="605">
        <v>991</v>
      </c>
      <c r="AY502" s="605">
        <v>1021</v>
      </c>
      <c r="AZ502" s="605">
        <v>1015</v>
      </c>
      <c r="BA502" s="605">
        <v>996</v>
      </c>
      <c r="BB502" s="605">
        <v>1033</v>
      </c>
      <c r="BC502" s="605">
        <v>1042</v>
      </c>
      <c r="BD502" s="605">
        <v>1003</v>
      </c>
      <c r="BE502" s="605">
        <v>929</v>
      </c>
      <c r="BF502" s="605">
        <v>918</v>
      </c>
      <c r="BG502" s="605">
        <v>1008</v>
      </c>
      <c r="BH502" s="605">
        <v>1037</v>
      </c>
      <c r="BI502" s="605">
        <v>1074</v>
      </c>
      <c r="BJ502" s="605">
        <v>1130</v>
      </c>
      <c r="BK502" s="605">
        <v>1203</v>
      </c>
      <c r="BL502" s="605">
        <v>1281</v>
      </c>
      <c r="BM502" s="605">
        <v>1243</v>
      </c>
      <c r="BN502" s="605">
        <v>1231</v>
      </c>
      <c r="BO502" s="605">
        <v>1260</v>
      </c>
      <c r="BP502" s="605">
        <v>1356</v>
      </c>
      <c r="BQ502" s="605">
        <v>1372</v>
      </c>
      <c r="BR502" s="605">
        <v>1413</v>
      </c>
      <c r="BS502" s="605">
        <v>1455</v>
      </c>
      <c r="BT502" s="605">
        <v>1317</v>
      </c>
      <c r="BU502" s="605">
        <v>1416</v>
      </c>
      <c r="BV502" s="605">
        <v>1373</v>
      </c>
      <c r="BW502" s="605">
        <v>1349</v>
      </c>
      <c r="BX502" s="605">
        <v>1279</v>
      </c>
      <c r="BY502" s="605">
        <v>1311</v>
      </c>
      <c r="BZ502" s="605">
        <v>1261</v>
      </c>
      <c r="CA502" s="605">
        <v>1172</v>
      </c>
      <c r="CB502" s="605">
        <v>1270</v>
      </c>
      <c r="CC502" s="605">
        <v>1212</v>
      </c>
      <c r="CD502" s="605">
        <v>1197</v>
      </c>
      <c r="CE502" s="605">
        <v>1164</v>
      </c>
      <c r="CF502" s="605">
        <v>1112</v>
      </c>
      <c r="CG502" s="605">
        <v>1141</v>
      </c>
      <c r="CH502" s="605">
        <v>1175</v>
      </c>
      <c r="CI502" s="605">
        <v>1186</v>
      </c>
      <c r="CJ502" s="605">
        <v>1175</v>
      </c>
      <c r="CK502" s="605">
        <v>999</v>
      </c>
      <c r="CL502" s="605">
        <v>920</v>
      </c>
      <c r="CM502" s="605">
        <v>863</v>
      </c>
      <c r="CN502" s="605">
        <v>789</v>
      </c>
      <c r="CO502" s="605">
        <v>736</v>
      </c>
      <c r="CP502" s="605">
        <v>619</v>
      </c>
      <c r="CQ502" s="605">
        <v>561</v>
      </c>
      <c r="CR502" s="605">
        <v>506</v>
      </c>
      <c r="CS502" s="605">
        <v>445</v>
      </c>
      <c r="CT502" s="605">
        <v>454</v>
      </c>
      <c r="CU502" s="605">
        <v>361</v>
      </c>
      <c r="CV502" s="605">
        <v>330</v>
      </c>
      <c r="CW502" s="605">
        <v>265</v>
      </c>
      <c r="CX502" s="605">
        <v>198</v>
      </c>
      <c r="CY502" s="605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61</v>
      </c>
      <c r="B503" s="1" t="s">
        <v>564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605">
        <v>276</v>
      </c>
      <c r="N503" s="605">
        <v>237</v>
      </c>
      <c r="O503" s="605">
        <v>271</v>
      </c>
      <c r="P503" s="605">
        <v>294</v>
      </c>
      <c r="Q503" s="605">
        <v>285</v>
      </c>
      <c r="R503" s="605">
        <v>312</v>
      </c>
      <c r="S503" s="605">
        <v>341</v>
      </c>
      <c r="T503" s="605">
        <v>317</v>
      </c>
      <c r="U503" s="605">
        <v>309</v>
      </c>
      <c r="V503" s="605">
        <v>360</v>
      </c>
      <c r="W503" s="605">
        <v>360</v>
      </c>
      <c r="X503" s="605">
        <v>370</v>
      </c>
      <c r="Y503" s="605">
        <v>368</v>
      </c>
      <c r="Z503" s="605">
        <v>326</v>
      </c>
      <c r="AA503" s="605">
        <v>334</v>
      </c>
      <c r="AB503" s="605">
        <v>346</v>
      </c>
      <c r="AC503" s="605">
        <v>355</v>
      </c>
      <c r="AD503" s="605">
        <v>378</v>
      </c>
      <c r="AE503" s="605">
        <v>435</v>
      </c>
      <c r="AF503" s="605">
        <v>855</v>
      </c>
      <c r="AG503" s="605">
        <v>809</v>
      </c>
      <c r="AH503" s="605">
        <v>767</v>
      </c>
      <c r="AI503" s="605">
        <v>615</v>
      </c>
      <c r="AJ503" s="605">
        <v>548</v>
      </c>
      <c r="AK503" s="605">
        <v>432</v>
      </c>
      <c r="AL503" s="605">
        <v>350</v>
      </c>
      <c r="AM503" s="605">
        <v>336</v>
      </c>
      <c r="AN503" s="605">
        <v>361</v>
      </c>
      <c r="AO503" s="605">
        <v>363</v>
      </c>
      <c r="AP503" s="605">
        <v>307</v>
      </c>
      <c r="AQ503" s="605">
        <v>338</v>
      </c>
      <c r="AR503" s="605">
        <v>347</v>
      </c>
      <c r="AS503" s="605">
        <v>354</v>
      </c>
      <c r="AT503" s="605">
        <v>356</v>
      </c>
      <c r="AU503" s="605">
        <v>352</v>
      </c>
      <c r="AV503" s="605">
        <v>311</v>
      </c>
      <c r="AW503" s="605">
        <v>316</v>
      </c>
      <c r="AX503" s="605">
        <v>334</v>
      </c>
      <c r="AY503" s="605">
        <v>320</v>
      </c>
      <c r="AZ503" s="605">
        <v>335</v>
      </c>
      <c r="BA503" s="605">
        <v>353</v>
      </c>
      <c r="BB503" s="605">
        <v>347</v>
      </c>
      <c r="BC503" s="605">
        <v>316</v>
      </c>
      <c r="BD503" s="605">
        <v>308</v>
      </c>
      <c r="BE503" s="605">
        <v>280</v>
      </c>
      <c r="BF503" s="605">
        <v>309</v>
      </c>
      <c r="BG503" s="605">
        <v>342</v>
      </c>
      <c r="BH503" s="605">
        <v>348</v>
      </c>
      <c r="BI503" s="605">
        <v>356</v>
      </c>
      <c r="BJ503" s="605">
        <v>339</v>
      </c>
      <c r="BK503" s="605">
        <v>402</v>
      </c>
      <c r="BL503" s="605">
        <v>431</v>
      </c>
      <c r="BM503" s="605">
        <v>435</v>
      </c>
      <c r="BN503" s="605">
        <v>504</v>
      </c>
      <c r="BO503" s="605">
        <v>475</v>
      </c>
      <c r="BP503" s="605">
        <v>496</v>
      </c>
      <c r="BQ503" s="605">
        <v>511</v>
      </c>
      <c r="BR503" s="605">
        <v>501</v>
      </c>
      <c r="BS503" s="605">
        <v>541</v>
      </c>
      <c r="BT503" s="605">
        <v>553</v>
      </c>
      <c r="BU503" s="605">
        <v>538</v>
      </c>
      <c r="BV503" s="605">
        <v>517</v>
      </c>
      <c r="BW503" s="605">
        <v>495</v>
      </c>
      <c r="BX503" s="605">
        <v>529</v>
      </c>
      <c r="BY503" s="605">
        <v>518</v>
      </c>
      <c r="BZ503" s="605">
        <v>495</v>
      </c>
      <c r="CA503" s="605">
        <v>519</v>
      </c>
      <c r="CB503" s="605">
        <v>491</v>
      </c>
      <c r="CC503" s="605">
        <v>490</v>
      </c>
      <c r="CD503" s="605">
        <v>448</v>
      </c>
      <c r="CE503" s="605">
        <v>472</v>
      </c>
      <c r="CF503" s="605">
        <v>453</v>
      </c>
      <c r="CG503" s="605">
        <v>454</v>
      </c>
      <c r="CH503" s="605">
        <v>509</v>
      </c>
      <c r="CI503" s="605">
        <v>531</v>
      </c>
      <c r="CJ503" s="605">
        <v>500</v>
      </c>
      <c r="CK503" s="605">
        <v>376</v>
      </c>
      <c r="CL503" s="605">
        <v>376</v>
      </c>
      <c r="CM503" s="605">
        <v>354</v>
      </c>
      <c r="CN503" s="605">
        <v>347</v>
      </c>
      <c r="CO503" s="605">
        <v>289</v>
      </c>
      <c r="CP503" s="605">
        <v>213</v>
      </c>
      <c r="CQ503" s="605">
        <v>241</v>
      </c>
      <c r="CR503" s="605">
        <v>198</v>
      </c>
      <c r="CS503" s="605">
        <v>175</v>
      </c>
      <c r="CT503" s="605">
        <v>168</v>
      </c>
      <c r="CU503" s="605">
        <v>134</v>
      </c>
      <c r="CV503" s="605">
        <v>115</v>
      </c>
      <c r="CW503" s="605">
        <v>97</v>
      </c>
      <c r="CX503" s="605">
        <v>84</v>
      </c>
      <c r="CY503" s="605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61</v>
      </c>
      <c r="B504" s="1" t="s">
        <v>565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605">
        <v>483</v>
      </c>
      <c r="N504" s="605">
        <v>469</v>
      </c>
      <c r="O504" s="605">
        <v>522</v>
      </c>
      <c r="P504" s="605">
        <v>523</v>
      </c>
      <c r="Q504" s="605">
        <v>549</v>
      </c>
      <c r="R504" s="605">
        <v>540</v>
      </c>
      <c r="S504" s="605">
        <v>563</v>
      </c>
      <c r="T504" s="605">
        <v>620</v>
      </c>
      <c r="U504" s="605">
        <v>583</v>
      </c>
      <c r="V504" s="605">
        <v>622</v>
      </c>
      <c r="W504" s="605">
        <v>611</v>
      </c>
      <c r="X504" s="605">
        <v>686</v>
      </c>
      <c r="Y504" s="605">
        <v>621</v>
      </c>
      <c r="Z504" s="605">
        <v>634</v>
      </c>
      <c r="AA504" s="605">
        <v>601</v>
      </c>
      <c r="AB504" s="605">
        <v>642</v>
      </c>
      <c r="AC504" s="605">
        <v>627</v>
      </c>
      <c r="AD504" s="605">
        <v>641</v>
      </c>
      <c r="AE504" s="605">
        <v>613</v>
      </c>
      <c r="AF504" s="605">
        <v>404</v>
      </c>
      <c r="AG504" s="605">
        <v>422</v>
      </c>
      <c r="AH504" s="605">
        <v>441</v>
      </c>
      <c r="AI504" s="605">
        <v>543</v>
      </c>
      <c r="AJ504" s="605">
        <v>525</v>
      </c>
      <c r="AK504" s="605">
        <v>583</v>
      </c>
      <c r="AL504" s="605">
        <v>572</v>
      </c>
      <c r="AM504" s="605">
        <v>471</v>
      </c>
      <c r="AN504" s="605">
        <v>561</v>
      </c>
      <c r="AO504" s="605">
        <v>538</v>
      </c>
      <c r="AP504" s="605">
        <v>526</v>
      </c>
      <c r="AQ504" s="605">
        <v>576</v>
      </c>
      <c r="AR504" s="605">
        <v>623</v>
      </c>
      <c r="AS504" s="605">
        <v>576</v>
      </c>
      <c r="AT504" s="605">
        <v>615</v>
      </c>
      <c r="AU504" s="605">
        <v>597</v>
      </c>
      <c r="AV504" s="605">
        <v>594</v>
      </c>
      <c r="AW504" s="605">
        <v>552</v>
      </c>
      <c r="AX504" s="605">
        <v>589</v>
      </c>
      <c r="AY504" s="605">
        <v>559</v>
      </c>
      <c r="AZ504" s="605">
        <v>543</v>
      </c>
      <c r="BA504" s="605">
        <v>551</v>
      </c>
      <c r="BB504" s="605">
        <v>596</v>
      </c>
      <c r="BC504" s="605">
        <v>626</v>
      </c>
      <c r="BD504" s="605">
        <v>555</v>
      </c>
      <c r="BE504" s="605">
        <v>470</v>
      </c>
      <c r="BF504" s="605">
        <v>555</v>
      </c>
      <c r="BG504" s="605">
        <v>559</v>
      </c>
      <c r="BH504" s="605">
        <v>569</v>
      </c>
      <c r="BI504" s="605">
        <v>603</v>
      </c>
      <c r="BJ504" s="605">
        <v>679</v>
      </c>
      <c r="BK504" s="605">
        <v>788</v>
      </c>
      <c r="BL504" s="605">
        <v>775</v>
      </c>
      <c r="BM504" s="605">
        <v>750</v>
      </c>
      <c r="BN504" s="605">
        <v>805</v>
      </c>
      <c r="BO504" s="605">
        <v>775</v>
      </c>
      <c r="BP504" s="605">
        <v>819</v>
      </c>
      <c r="BQ504" s="605">
        <v>862</v>
      </c>
      <c r="BR504" s="605">
        <v>890</v>
      </c>
      <c r="BS504" s="605">
        <v>870</v>
      </c>
      <c r="BT504" s="605">
        <v>881</v>
      </c>
      <c r="BU504" s="605">
        <v>879</v>
      </c>
      <c r="BV504" s="605">
        <v>894</v>
      </c>
      <c r="BW504" s="605">
        <v>876</v>
      </c>
      <c r="BX504" s="605">
        <v>830</v>
      </c>
      <c r="BY504" s="605">
        <v>792</v>
      </c>
      <c r="BZ504" s="605">
        <v>785</v>
      </c>
      <c r="CA504" s="605">
        <v>740</v>
      </c>
      <c r="CB504" s="605">
        <v>717</v>
      </c>
      <c r="CC504" s="605">
        <v>789</v>
      </c>
      <c r="CD504" s="605">
        <v>744</v>
      </c>
      <c r="CE504" s="605">
        <v>734</v>
      </c>
      <c r="CF504" s="605">
        <v>780</v>
      </c>
      <c r="CG504" s="605">
        <v>723</v>
      </c>
      <c r="CH504" s="605">
        <v>809</v>
      </c>
      <c r="CI504" s="605">
        <v>853</v>
      </c>
      <c r="CJ504" s="605">
        <v>851</v>
      </c>
      <c r="CK504" s="605">
        <v>673</v>
      </c>
      <c r="CL504" s="605">
        <v>628</v>
      </c>
      <c r="CM504" s="605">
        <v>602</v>
      </c>
      <c r="CN504" s="605">
        <v>548</v>
      </c>
      <c r="CO504" s="605">
        <v>479</v>
      </c>
      <c r="CP504" s="605">
        <v>400</v>
      </c>
      <c r="CQ504" s="605">
        <v>367</v>
      </c>
      <c r="CR504" s="605">
        <v>373</v>
      </c>
      <c r="CS504" s="605">
        <v>296</v>
      </c>
      <c r="CT504" s="605">
        <v>289</v>
      </c>
      <c r="CU504" s="605">
        <v>267</v>
      </c>
      <c r="CV504" s="605">
        <v>251</v>
      </c>
      <c r="CW504" s="605">
        <v>195</v>
      </c>
      <c r="CX504" s="605">
        <v>194</v>
      </c>
      <c r="CY504" s="605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61</v>
      </c>
      <c r="B505" s="1" t="s">
        <v>566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605">
        <v>457</v>
      </c>
      <c r="N505" s="605">
        <v>493</v>
      </c>
      <c r="O505" s="605">
        <v>520</v>
      </c>
      <c r="P505" s="605">
        <v>480</v>
      </c>
      <c r="Q505" s="605">
        <v>486</v>
      </c>
      <c r="R505" s="605">
        <v>551</v>
      </c>
      <c r="S505" s="605">
        <v>523</v>
      </c>
      <c r="T505" s="605">
        <v>558</v>
      </c>
      <c r="U505" s="605">
        <v>524</v>
      </c>
      <c r="V505" s="605">
        <v>561</v>
      </c>
      <c r="W505" s="605">
        <v>567</v>
      </c>
      <c r="X505" s="605">
        <v>592</v>
      </c>
      <c r="Y505" s="605">
        <v>615</v>
      </c>
      <c r="Z505" s="605">
        <v>593</v>
      </c>
      <c r="AA505" s="605">
        <v>609</v>
      </c>
      <c r="AB505" s="605">
        <v>587</v>
      </c>
      <c r="AC505" s="605">
        <v>587</v>
      </c>
      <c r="AD505" s="605">
        <v>627</v>
      </c>
      <c r="AE505" s="605">
        <v>551</v>
      </c>
      <c r="AF505" s="605">
        <v>439</v>
      </c>
      <c r="AG505" s="605">
        <v>422</v>
      </c>
      <c r="AH505" s="605">
        <v>434</v>
      </c>
      <c r="AI505" s="605">
        <v>423</v>
      </c>
      <c r="AJ505" s="605">
        <v>470</v>
      </c>
      <c r="AK505" s="605">
        <v>490</v>
      </c>
      <c r="AL505" s="605">
        <v>482</v>
      </c>
      <c r="AM505" s="605">
        <v>514</v>
      </c>
      <c r="AN505" s="605">
        <v>470</v>
      </c>
      <c r="AO505" s="605">
        <v>500</v>
      </c>
      <c r="AP505" s="605">
        <v>483</v>
      </c>
      <c r="AQ505" s="605">
        <v>507</v>
      </c>
      <c r="AR505" s="605">
        <v>516</v>
      </c>
      <c r="AS505" s="605">
        <v>511</v>
      </c>
      <c r="AT505" s="605">
        <v>471</v>
      </c>
      <c r="AU505" s="605">
        <v>530</v>
      </c>
      <c r="AV505" s="605">
        <v>513</v>
      </c>
      <c r="AW505" s="605">
        <v>510</v>
      </c>
      <c r="AX505" s="605">
        <v>477</v>
      </c>
      <c r="AY505" s="605">
        <v>509</v>
      </c>
      <c r="AZ505" s="605">
        <v>424</v>
      </c>
      <c r="BA505" s="605">
        <v>488</v>
      </c>
      <c r="BB505" s="605">
        <v>496</v>
      </c>
      <c r="BC505" s="605">
        <v>500</v>
      </c>
      <c r="BD505" s="605">
        <v>478</v>
      </c>
      <c r="BE505" s="605">
        <v>422</v>
      </c>
      <c r="BF505" s="605">
        <v>464</v>
      </c>
      <c r="BG505" s="605">
        <v>515</v>
      </c>
      <c r="BH505" s="605">
        <v>516</v>
      </c>
      <c r="BI505" s="605">
        <v>525</v>
      </c>
      <c r="BJ505" s="605">
        <v>532</v>
      </c>
      <c r="BK505" s="605">
        <v>646</v>
      </c>
      <c r="BL505" s="605">
        <v>654</v>
      </c>
      <c r="BM505" s="605">
        <v>645</v>
      </c>
      <c r="BN505" s="605">
        <v>662</v>
      </c>
      <c r="BO505" s="605">
        <v>643</v>
      </c>
      <c r="BP505" s="605">
        <v>715</v>
      </c>
      <c r="BQ505" s="605">
        <v>681</v>
      </c>
      <c r="BR505" s="605">
        <v>758</v>
      </c>
      <c r="BS505" s="605">
        <v>746</v>
      </c>
      <c r="BT505" s="605">
        <v>697</v>
      </c>
      <c r="BU505" s="605">
        <v>737</v>
      </c>
      <c r="BV505" s="605">
        <v>654</v>
      </c>
      <c r="BW505" s="605">
        <v>713</v>
      </c>
      <c r="BX505" s="605">
        <v>665</v>
      </c>
      <c r="BY505" s="605">
        <v>635</v>
      </c>
      <c r="BZ505" s="605">
        <v>637</v>
      </c>
      <c r="CA505" s="605">
        <v>603</v>
      </c>
      <c r="CB505" s="605">
        <v>603</v>
      </c>
      <c r="CC505" s="605">
        <v>596</v>
      </c>
      <c r="CD505" s="605">
        <v>599</v>
      </c>
      <c r="CE505" s="605">
        <v>543</v>
      </c>
      <c r="CF505" s="605">
        <v>547</v>
      </c>
      <c r="CG505" s="605">
        <v>614</v>
      </c>
      <c r="CH505" s="605">
        <v>653</v>
      </c>
      <c r="CI505" s="605">
        <v>674</v>
      </c>
      <c r="CJ505" s="605">
        <v>666</v>
      </c>
      <c r="CK505" s="605">
        <v>469</v>
      </c>
      <c r="CL505" s="605">
        <v>446</v>
      </c>
      <c r="CM505" s="605">
        <v>473</v>
      </c>
      <c r="CN505" s="605">
        <v>443</v>
      </c>
      <c r="CO505" s="605">
        <v>359</v>
      </c>
      <c r="CP505" s="605">
        <v>328</v>
      </c>
      <c r="CQ505" s="605">
        <v>290</v>
      </c>
      <c r="CR505" s="605">
        <v>259</v>
      </c>
      <c r="CS505" s="605">
        <v>236</v>
      </c>
      <c r="CT505" s="605">
        <v>224</v>
      </c>
      <c r="CU505" s="605">
        <v>181</v>
      </c>
      <c r="CV505" s="605">
        <v>162</v>
      </c>
      <c r="CW505" s="605">
        <v>127</v>
      </c>
      <c r="CX505" s="605">
        <v>108</v>
      </c>
      <c r="CY505" s="605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61</v>
      </c>
      <c r="B506" s="1" t="s">
        <v>567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605">
        <v>701</v>
      </c>
      <c r="N506" s="605">
        <v>780</v>
      </c>
      <c r="O506" s="605">
        <v>775</v>
      </c>
      <c r="P506" s="605">
        <v>770</v>
      </c>
      <c r="Q506" s="605">
        <v>817</v>
      </c>
      <c r="R506" s="605">
        <v>825</v>
      </c>
      <c r="S506" s="605">
        <v>849</v>
      </c>
      <c r="T506" s="605">
        <v>888</v>
      </c>
      <c r="U506" s="605">
        <v>904</v>
      </c>
      <c r="V506" s="605">
        <v>899</v>
      </c>
      <c r="W506" s="605">
        <v>971</v>
      </c>
      <c r="X506" s="605">
        <v>933</v>
      </c>
      <c r="Y506" s="605">
        <v>1008</v>
      </c>
      <c r="Z506" s="605">
        <v>933</v>
      </c>
      <c r="AA506" s="605">
        <v>1033</v>
      </c>
      <c r="AB506" s="605">
        <v>950</v>
      </c>
      <c r="AC506" s="605">
        <v>903</v>
      </c>
      <c r="AD506" s="605">
        <v>944</v>
      </c>
      <c r="AE506" s="605">
        <v>881</v>
      </c>
      <c r="AF506" s="605">
        <v>661</v>
      </c>
      <c r="AG506" s="605">
        <v>648</v>
      </c>
      <c r="AH506" s="605">
        <v>673</v>
      </c>
      <c r="AI506" s="605">
        <v>728</v>
      </c>
      <c r="AJ506" s="605">
        <v>844</v>
      </c>
      <c r="AK506" s="605">
        <v>853</v>
      </c>
      <c r="AL506" s="605">
        <v>829</v>
      </c>
      <c r="AM506" s="605">
        <v>799</v>
      </c>
      <c r="AN506" s="605">
        <v>822</v>
      </c>
      <c r="AO506" s="605">
        <v>837</v>
      </c>
      <c r="AP506" s="605">
        <v>879</v>
      </c>
      <c r="AQ506" s="605">
        <v>1004</v>
      </c>
      <c r="AR506" s="605">
        <v>928</v>
      </c>
      <c r="AS506" s="605">
        <v>919</v>
      </c>
      <c r="AT506" s="605">
        <v>961</v>
      </c>
      <c r="AU506" s="605">
        <v>970</v>
      </c>
      <c r="AV506" s="605">
        <v>947</v>
      </c>
      <c r="AW506" s="605">
        <v>978</v>
      </c>
      <c r="AX506" s="605">
        <v>903</v>
      </c>
      <c r="AY506" s="605">
        <v>860</v>
      </c>
      <c r="AZ506" s="605">
        <v>889</v>
      </c>
      <c r="BA506" s="605">
        <v>925</v>
      </c>
      <c r="BB506" s="605">
        <v>916</v>
      </c>
      <c r="BC506" s="605">
        <v>930</v>
      </c>
      <c r="BD506" s="605">
        <v>875</v>
      </c>
      <c r="BE506" s="605">
        <v>855</v>
      </c>
      <c r="BF506" s="605">
        <v>802</v>
      </c>
      <c r="BG506" s="605">
        <v>825</v>
      </c>
      <c r="BH506" s="605">
        <v>925</v>
      </c>
      <c r="BI506" s="605">
        <v>970</v>
      </c>
      <c r="BJ506" s="605">
        <v>989</v>
      </c>
      <c r="BK506" s="605">
        <v>1124</v>
      </c>
      <c r="BL506" s="605">
        <v>1159</v>
      </c>
      <c r="BM506" s="605">
        <v>1172</v>
      </c>
      <c r="BN506" s="605">
        <v>1222</v>
      </c>
      <c r="BO506" s="605">
        <v>1193</v>
      </c>
      <c r="BP506" s="605">
        <v>1115</v>
      </c>
      <c r="BQ506" s="605">
        <v>1116</v>
      </c>
      <c r="BR506" s="605">
        <v>1156</v>
      </c>
      <c r="BS506" s="605">
        <v>1196</v>
      </c>
      <c r="BT506" s="605">
        <v>1096</v>
      </c>
      <c r="BU506" s="605">
        <v>1149</v>
      </c>
      <c r="BV506" s="605">
        <v>1060</v>
      </c>
      <c r="BW506" s="605">
        <v>1024</v>
      </c>
      <c r="BX506" s="605">
        <v>1036</v>
      </c>
      <c r="BY506" s="605">
        <v>912</v>
      </c>
      <c r="BZ506" s="605">
        <v>883</v>
      </c>
      <c r="CA506" s="605">
        <v>867</v>
      </c>
      <c r="CB506" s="605">
        <v>793</v>
      </c>
      <c r="CC506" s="605">
        <v>812</v>
      </c>
      <c r="CD506" s="605">
        <v>850</v>
      </c>
      <c r="CE506" s="605">
        <v>761</v>
      </c>
      <c r="CF506" s="605">
        <v>877</v>
      </c>
      <c r="CG506" s="605">
        <v>832</v>
      </c>
      <c r="CH506" s="605">
        <v>891</v>
      </c>
      <c r="CI506" s="605">
        <v>922</v>
      </c>
      <c r="CJ506" s="605">
        <v>1006</v>
      </c>
      <c r="CK506" s="605">
        <v>637</v>
      </c>
      <c r="CL506" s="605">
        <v>646</v>
      </c>
      <c r="CM506" s="605">
        <v>660</v>
      </c>
      <c r="CN506" s="605">
        <v>553</v>
      </c>
      <c r="CO506" s="605">
        <v>481</v>
      </c>
      <c r="CP506" s="605">
        <v>430</v>
      </c>
      <c r="CQ506" s="605">
        <v>426</v>
      </c>
      <c r="CR506" s="605">
        <v>354</v>
      </c>
      <c r="CS506" s="605">
        <v>350</v>
      </c>
      <c r="CT506" s="605">
        <v>287</v>
      </c>
      <c r="CU506" s="605">
        <v>257</v>
      </c>
      <c r="CV506" s="605">
        <v>212</v>
      </c>
      <c r="CW506" s="605">
        <v>170</v>
      </c>
      <c r="CX506" s="605">
        <v>138</v>
      </c>
      <c r="CY506" s="605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61</v>
      </c>
      <c r="B507" s="1" t="s">
        <v>568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605">
        <v>554</v>
      </c>
      <c r="N507" s="605">
        <v>518</v>
      </c>
      <c r="O507" s="605">
        <v>550</v>
      </c>
      <c r="P507" s="605">
        <v>548</v>
      </c>
      <c r="Q507" s="605">
        <v>593</v>
      </c>
      <c r="R507" s="605">
        <v>563</v>
      </c>
      <c r="S507" s="605">
        <v>656</v>
      </c>
      <c r="T507" s="605">
        <v>596</v>
      </c>
      <c r="U507" s="605">
        <v>662</v>
      </c>
      <c r="V507" s="605">
        <v>660</v>
      </c>
      <c r="W507" s="605">
        <v>664</v>
      </c>
      <c r="X507" s="605">
        <v>666</v>
      </c>
      <c r="Y507" s="605">
        <v>714</v>
      </c>
      <c r="Z507" s="605">
        <v>665</v>
      </c>
      <c r="AA507" s="605">
        <v>674</v>
      </c>
      <c r="AB507" s="605">
        <v>671</v>
      </c>
      <c r="AC507" s="605">
        <v>653</v>
      </c>
      <c r="AD507" s="605">
        <v>618</v>
      </c>
      <c r="AE507" s="605">
        <v>660</v>
      </c>
      <c r="AF507" s="605">
        <v>869</v>
      </c>
      <c r="AG507" s="605">
        <v>893</v>
      </c>
      <c r="AH507" s="605">
        <v>930</v>
      </c>
      <c r="AI507" s="605">
        <v>871</v>
      </c>
      <c r="AJ507" s="605">
        <v>777</v>
      </c>
      <c r="AK507" s="605">
        <v>709</v>
      </c>
      <c r="AL507" s="605">
        <v>648</v>
      </c>
      <c r="AM507" s="605">
        <v>637</v>
      </c>
      <c r="AN507" s="605">
        <v>635</v>
      </c>
      <c r="AO507" s="605">
        <v>676</v>
      </c>
      <c r="AP507" s="605">
        <v>659</v>
      </c>
      <c r="AQ507" s="605">
        <v>661</v>
      </c>
      <c r="AR507" s="605">
        <v>643</v>
      </c>
      <c r="AS507" s="605">
        <v>663</v>
      </c>
      <c r="AT507" s="605">
        <v>677</v>
      </c>
      <c r="AU507" s="605">
        <v>680</v>
      </c>
      <c r="AV507" s="605">
        <v>704</v>
      </c>
      <c r="AW507" s="605">
        <v>572</v>
      </c>
      <c r="AX507" s="605">
        <v>595</v>
      </c>
      <c r="AY507" s="605">
        <v>582</v>
      </c>
      <c r="AZ507" s="605">
        <v>586</v>
      </c>
      <c r="BA507" s="605">
        <v>589</v>
      </c>
      <c r="BB507" s="605">
        <v>603</v>
      </c>
      <c r="BC507" s="605">
        <v>613</v>
      </c>
      <c r="BD507" s="605">
        <v>569</v>
      </c>
      <c r="BE507" s="605">
        <v>557</v>
      </c>
      <c r="BF507" s="605">
        <v>575</v>
      </c>
      <c r="BG507" s="605">
        <v>581</v>
      </c>
      <c r="BH507" s="605">
        <v>606</v>
      </c>
      <c r="BI507" s="605">
        <v>678</v>
      </c>
      <c r="BJ507" s="605">
        <v>722</v>
      </c>
      <c r="BK507" s="605">
        <v>767</v>
      </c>
      <c r="BL507" s="605">
        <v>811</v>
      </c>
      <c r="BM507" s="605">
        <v>804</v>
      </c>
      <c r="BN507" s="605">
        <v>775</v>
      </c>
      <c r="BO507" s="605">
        <v>801</v>
      </c>
      <c r="BP507" s="605">
        <v>799</v>
      </c>
      <c r="BQ507" s="605">
        <v>858</v>
      </c>
      <c r="BR507" s="605">
        <v>866</v>
      </c>
      <c r="BS507" s="605">
        <v>874</v>
      </c>
      <c r="BT507" s="605">
        <v>888</v>
      </c>
      <c r="BU507" s="605">
        <v>867</v>
      </c>
      <c r="BV507" s="605">
        <v>849</v>
      </c>
      <c r="BW507" s="605">
        <v>771</v>
      </c>
      <c r="BX507" s="605">
        <v>768</v>
      </c>
      <c r="BY507" s="605">
        <v>811</v>
      </c>
      <c r="BZ507" s="605">
        <v>756</v>
      </c>
      <c r="CA507" s="605">
        <v>711</v>
      </c>
      <c r="CB507" s="605">
        <v>727</v>
      </c>
      <c r="CC507" s="605">
        <v>675</v>
      </c>
      <c r="CD507" s="605">
        <v>709</v>
      </c>
      <c r="CE507" s="605">
        <v>650</v>
      </c>
      <c r="CF507" s="605">
        <v>649</v>
      </c>
      <c r="CG507" s="605">
        <v>649</v>
      </c>
      <c r="CH507" s="605">
        <v>729</v>
      </c>
      <c r="CI507" s="605">
        <v>764</v>
      </c>
      <c r="CJ507" s="605">
        <v>736</v>
      </c>
      <c r="CK507" s="605">
        <v>589</v>
      </c>
      <c r="CL507" s="605">
        <v>522</v>
      </c>
      <c r="CM507" s="605">
        <v>521</v>
      </c>
      <c r="CN507" s="605">
        <v>483</v>
      </c>
      <c r="CO507" s="605">
        <v>379</v>
      </c>
      <c r="CP507" s="605">
        <v>308</v>
      </c>
      <c r="CQ507" s="605">
        <v>331</v>
      </c>
      <c r="CR507" s="605">
        <v>327</v>
      </c>
      <c r="CS507" s="605">
        <v>274</v>
      </c>
      <c r="CT507" s="605">
        <v>248</v>
      </c>
      <c r="CU507" s="605">
        <v>221</v>
      </c>
      <c r="CV507" s="605">
        <v>181</v>
      </c>
      <c r="CW507" s="605">
        <v>162</v>
      </c>
      <c r="CX507" s="605">
        <v>135</v>
      </c>
      <c r="CY507" s="605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61</v>
      </c>
      <c r="B508" s="1" t="s">
        <v>569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605">
        <v>273</v>
      </c>
      <c r="N508" s="605">
        <v>322</v>
      </c>
      <c r="O508" s="605">
        <v>305</v>
      </c>
      <c r="P508" s="605">
        <v>320</v>
      </c>
      <c r="Q508" s="605">
        <v>334</v>
      </c>
      <c r="R508" s="605">
        <v>383</v>
      </c>
      <c r="S508" s="605">
        <v>383</v>
      </c>
      <c r="T508" s="605">
        <v>361</v>
      </c>
      <c r="U508" s="605">
        <v>383</v>
      </c>
      <c r="V508" s="605">
        <v>411</v>
      </c>
      <c r="W508" s="605">
        <v>394</v>
      </c>
      <c r="X508" s="605">
        <v>440</v>
      </c>
      <c r="Y508" s="605">
        <v>405</v>
      </c>
      <c r="Z508" s="605">
        <v>438</v>
      </c>
      <c r="AA508" s="605">
        <v>385</v>
      </c>
      <c r="AB508" s="605">
        <v>392</v>
      </c>
      <c r="AC508" s="605">
        <v>391</v>
      </c>
      <c r="AD508" s="605">
        <v>389</v>
      </c>
      <c r="AE508" s="605">
        <v>348</v>
      </c>
      <c r="AF508" s="605">
        <v>299</v>
      </c>
      <c r="AG508" s="605">
        <v>302</v>
      </c>
      <c r="AH508" s="605">
        <v>273</v>
      </c>
      <c r="AI508" s="605">
        <v>297</v>
      </c>
      <c r="AJ508" s="605">
        <v>367</v>
      </c>
      <c r="AK508" s="605">
        <v>299</v>
      </c>
      <c r="AL508" s="605">
        <v>316</v>
      </c>
      <c r="AM508" s="605">
        <v>341</v>
      </c>
      <c r="AN508" s="605">
        <v>319</v>
      </c>
      <c r="AO508" s="605">
        <v>363</v>
      </c>
      <c r="AP508" s="605">
        <v>338</v>
      </c>
      <c r="AQ508" s="605">
        <v>332</v>
      </c>
      <c r="AR508" s="605">
        <v>349</v>
      </c>
      <c r="AS508" s="605">
        <v>346</v>
      </c>
      <c r="AT508" s="605">
        <v>349</v>
      </c>
      <c r="AU508" s="605">
        <v>381</v>
      </c>
      <c r="AV508" s="605">
        <v>373</v>
      </c>
      <c r="AW508" s="605">
        <v>310</v>
      </c>
      <c r="AX508" s="605">
        <v>347</v>
      </c>
      <c r="AY508" s="605">
        <v>371</v>
      </c>
      <c r="AZ508" s="605">
        <v>328</v>
      </c>
      <c r="BA508" s="605">
        <v>331</v>
      </c>
      <c r="BB508" s="605">
        <v>346</v>
      </c>
      <c r="BC508" s="605">
        <v>345</v>
      </c>
      <c r="BD508" s="605">
        <v>373</v>
      </c>
      <c r="BE508" s="605">
        <v>321</v>
      </c>
      <c r="BF508" s="605">
        <v>306</v>
      </c>
      <c r="BG508" s="605">
        <v>326</v>
      </c>
      <c r="BH508" s="605">
        <v>357</v>
      </c>
      <c r="BI508" s="605">
        <v>373</v>
      </c>
      <c r="BJ508" s="605">
        <v>436</v>
      </c>
      <c r="BK508" s="605">
        <v>448</v>
      </c>
      <c r="BL508" s="605">
        <v>493</v>
      </c>
      <c r="BM508" s="605">
        <v>440</v>
      </c>
      <c r="BN508" s="605">
        <v>466</v>
      </c>
      <c r="BO508" s="605">
        <v>481</v>
      </c>
      <c r="BP508" s="605">
        <v>523</v>
      </c>
      <c r="BQ508" s="605">
        <v>490</v>
      </c>
      <c r="BR508" s="605">
        <v>546</v>
      </c>
      <c r="BS508" s="605">
        <v>515</v>
      </c>
      <c r="BT508" s="605">
        <v>563</v>
      </c>
      <c r="BU508" s="605">
        <v>503</v>
      </c>
      <c r="BV508" s="605">
        <v>511</v>
      </c>
      <c r="BW508" s="605">
        <v>539</v>
      </c>
      <c r="BX508" s="605">
        <v>521</v>
      </c>
      <c r="BY508" s="605">
        <v>482</v>
      </c>
      <c r="BZ508" s="605">
        <v>468</v>
      </c>
      <c r="CA508" s="605">
        <v>489</v>
      </c>
      <c r="CB508" s="605">
        <v>476</v>
      </c>
      <c r="CC508" s="605">
        <v>458</v>
      </c>
      <c r="CD508" s="605">
        <v>460</v>
      </c>
      <c r="CE508" s="605">
        <v>458</v>
      </c>
      <c r="CF508" s="605">
        <v>438</v>
      </c>
      <c r="CG508" s="605">
        <v>468</v>
      </c>
      <c r="CH508" s="605">
        <v>490</v>
      </c>
      <c r="CI508" s="605">
        <v>504</v>
      </c>
      <c r="CJ508" s="605">
        <v>484</v>
      </c>
      <c r="CK508" s="605">
        <v>343</v>
      </c>
      <c r="CL508" s="605">
        <v>365</v>
      </c>
      <c r="CM508" s="605">
        <v>374</v>
      </c>
      <c r="CN508" s="605">
        <v>344</v>
      </c>
      <c r="CO508" s="605">
        <v>273</v>
      </c>
      <c r="CP508" s="605">
        <v>244</v>
      </c>
      <c r="CQ508" s="605">
        <v>233</v>
      </c>
      <c r="CR508" s="605">
        <v>249</v>
      </c>
      <c r="CS508" s="605">
        <v>194</v>
      </c>
      <c r="CT508" s="605">
        <v>174</v>
      </c>
      <c r="CU508" s="605">
        <v>143</v>
      </c>
      <c r="CV508" s="605">
        <v>115</v>
      </c>
      <c r="CW508" s="605">
        <v>82</v>
      </c>
      <c r="CX508" s="605">
        <v>77</v>
      </c>
      <c r="CY508" s="605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61</v>
      </c>
      <c r="B509" s="1" t="s">
        <v>570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605">
        <v>322</v>
      </c>
      <c r="N509" s="605">
        <v>325</v>
      </c>
      <c r="O509" s="605">
        <v>329</v>
      </c>
      <c r="P509" s="605">
        <v>309</v>
      </c>
      <c r="Q509" s="605">
        <v>371</v>
      </c>
      <c r="R509" s="605">
        <v>402</v>
      </c>
      <c r="S509" s="605">
        <v>381</v>
      </c>
      <c r="T509" s="605">
        <v>384</v>
      </c>
      <c r="U509" s="605">
        <v>350</v>
      </c>
      <c r="V509" s="605">
        <v>355</v>
      </c>
      <c r="W509" s="605">
        <v>378</v>
      </c>
      <c r="X509" s="605">
        <v>405</v>
      </c>
      <c r="Y509" s="605">
        <v>360</v>
      </c>
      <c r="Z509" s="605">
        <v>363</v>
      </c>
      <c r="AA509" s="605">
        <v>375</v>
      </c>
      <c r="AB509" s="605">
        <v>379</v>
      </c>
      <c r="AC509" s="605">
        <v>337</v>
      </c>
      <c r="AD509" s="605">
        <v>307</v>
      </c>
      <c r="AE509" s="605">
        <v>319</v>
      </c>
      <c r="AF509" s="605">
        <v>333</v>
      </c>
      <c r="AG509" s="605">
        <v>297</v>
      </c>
      <c r="AH509" s="605">
        <v>289</v>
      </c>
      <c r="AI509" s="605">
        <v>333</v>
      </c>
      <c r="AJ509" s="605">
        <v>329</v>
      </c>
      <c r="AK509" s="605">
        <v>314</v>
      </c>
      <c r="AL509" s="605">
        <v>356</v>
      </c>
      <c r="AM509" s="605">
        <v>342</v>
      </c>
      <c r="AN509" s="605">
        <v>329</v>
      </c>
      <c r="AO509" s="605">
        <v>375</v>
      </c>
      <c r="AP509" s="605">
        <v>373</v>
      </c>
      <c r="AQ509" s="605">
        <v>362</v>
      </c>
      <c r="AR509" s="605">
        <v>382</v>
      </c>
      <c r="AS509" s="605">
        <v>390</v>
      </c>
      <c r="AT509" s="605">
        <v>371</v>
      </c>
      <c r="AU509" s="605">
        <v>386</v>
      </c>
      <c r="AV509" s="605">
        <v>397</v>
      </c>
      <c r="AW509" s="605">
        <v>396</v>
      </c>
      <c r="AX509" s="605">
        <v>417</v>
      </c>
      <c r="AY509" s="605">
        <v>405</v>
      </c>
      <c r="AZ509" s="605">
        <v>353</v>
      </c>
      <c r="BA509" s="605">
        <v>345</v>
      </c>
      <c r="BB509" s="605">
        <v>368</v>
      </c>
      <c r="BC509" s="605">
        <v>386</v>
      </c>
      <c r="BD509" s="605">
        <v>340</v>
      </c>
      <c r="BE509" s="605">
        <v>284</v>
      </c>
      <c r="BF509" s="605">
        <v>280</v>
      </c>
      <c r="BG509" s="605">
        <v>319</v>
      </c>
      <c r="BH509" s="605">
        <v>331</v>
      </c>
      <c r="BI509" s="605">
        <v>303</v>
      </c>
      <c r="BJ509" s="605">
        <v>340</v>
      </c>
      <c r="BK509" s="605">
        <v>362</v>
      </c>
      <c r="BL509" s="605">
        <v>394</v>
      </c>
      <c r="BM509" s="605">
        <v>378</v>
      </c>
      <c r="BN509" s="605">
        <v>423</v>
      </c>
      <c r="BO509" s="605">
        <v>387</v>
      </c>
      <c r="BP509" s="605">
        <v>385</v>
      </c>
      <c r="BQ509" s="605">
        <v>419</v>
      </c>
      <c r="BR509" s="605">
        <v>416</v>
      </c>
      <c r="BS509" s="605">
        <v>421</v>
      </c>
      <c r="BT509" s="605">
        <v>381</v>
      </c>
      <c r="BU509" s="605">
        <v>405</v>
      </c>
      <c r="BV509" s="605">
        <v>379</v>
      </c>
      <c r="BW509" s="605">
        <v>383</v>
      </c>
      <c r="BX509" s="605">
        <v>405</v>
      </c>
      <c r="BY509" s="605">
        <v>393</v>
      </c>
      <c r="BZ509" s="605">
        <v>324</v>
      </c>
      <c r="CA509" s="605">
        <v>306</v>
      </c>
      <c r="CB509" s="605">
        <v>295</v>
      </c>
      <c r="CC509" s="605">
        <v>323</v>
      </c>
      <c r="CD509" s="605">
        <v>301</v>
      </c>
      <c r="CE509" s="605">
        <v>295</v>
      </c>
      <c r="CF509" s="605">
        <v>300</v>
      </c>
      <c r="CG509" s="605">
        <v>276</v>
      </c>
      <c r="CH509" s="605">
        <v>314</v>
      </c>
      <c r="CI509" s="605">
        <v>295</v>
      </c>
      <c r="CJ509" s="605">
        <v>264</v>
      </c>
      <c r="CK509" s="605">
        <v>208</v>
      </c>
      <c r="CL509" s="605">
        <v>225</v>
      </c>
      <c r="CM509" s="605">
        <v>219</v>
      </c>
      <c r="CN509" s="605">
        <v>190</v>
      </c>
      <c r="CO509" s="605">
        <v>177</v>
      </c>
      <c r="CP509" s="605">
        <v>123</v>
      </c>
      <c r="CQ509" s="605">
        <v>131</v>
      </c>
      <c r="CR509" s="605">
        <v>119</v>
      </c>
      <c r="CS509" s="605">
        <v>109</v>
      </c>
      <c r="CT509" s="605">
        <v>95</v>
      </c>
      <c r="CU509" s="605">
        <v>84</v>
      </c>
      <c r="CV509" s="605">
        <v>76</v>
      </c>
      <c r="CW509" s="605">
        <v>50</v>
      </c>
      <c r="CX509" s="605">
        <v>44</v>
      </c>
      <c r="CY509" s="605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61</v>
      </c>
      <c r="B510" s="1" t="s">
        <v>571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605">
        <v>377</v>
      </c>
      <c r="N510" s="605">
        <v>383</v>
      </c>
      <c r="O510" s="605">
        <v>404</v>
      </c>
      <c r="P510" s="605">
        <v>394</v>
      </c>
      <c r="Q510" s="605">
        <v>447</v>
      </c>
      <c r="R510" s="605">
        <v>478</v>
      </c>
      <c r="S510" s="605">
        <v>490</v>
      </c>
      <c r="T510" s="605">
        <v>485</v>
      </c>
      <c r="U510" s="605">
        <v>489</v>
      </c>
      <c r="V510" s="605">
        <v>501</v>
      </c>
      <c r="W510" s="605">
        <v>531</v>
      </c>
      <c r="X510" s="605">
        <v>542</v>
      </c>
      <c r="Y510" s="605">
        <v>515</v>
      </c>
      <c r="Z510" s="605">
        <v>563</v>
      </c>
      <c r="AA510" s="605">
        <v>550</v>
      </c>
      <c r="AB510" s="605">
        <v>559</v>
      </c>
      <c r="AC510" s="605">
        <v>524</v>
      </c>
      <c r="AD510" s="605">
        <v>545</v>
      </c>
      <c r="AE510" s="605">
        <v>490</v>
      </c>
      <c r="AF510" s="605">
        <v>319</v>
      </c>
      <c r="AG510" s="605">
        <v>335</v>
      </c>
      <c r="AH510" s="605">
        <v>372</v>
      </c>
      <c r="AI510" s="605">
        <v>418</v>
      </c>
      <c r="AJ510" s="605">
        <v>441</v>
      </c>
      <c r="AK510" s="605">
        <v>398</v>
      </c>
      <c r="AL510" s="605">
        <v>495</v>
      </c>
      <c r="AM510" s="605">
        <v>449</v>
      </c>
      <c r="AN510" s="605">
        <v>462</v>
      </c>
      <c r="AO510" s="605">
        <v>457</v>
      </c>
      <c r="AP510" s="605">
        <v>442</v>
      </c>
      <c r="AQ510" s="605">
        <v>500</v>
      </c>
      <c r="AR510" s="605">
        <v>537</v>
      </c>
      <c r="AS510" s="605">
        <v>477</v>
      </c>
      <c r="AT510" s="605">
        <v>516</v>
      </c>
      <c r="AU510" s="605">
        <v>453</v>
      </c>
      <c r="AV510" s="605">
        <v>485</v>
      </c>
      <c r="AW510" s="605">
        <v>490</v>
      </c>
      <c r="AX510" s="605">
        <v>484</v>
      </c>
      <c r="AY510" s="605">
        <v>482</v>
      </c>
      <c r="AZ510" s="605">
        <v>486</v>
      </c>
      <c r="BA510" s="605">
        <v>499</v>
      </c>
      <c r="BB510" s="605">
        <v>471</v>
      </c>
      <c r="BC510" s="605">
        <v>509</v>
      </c>
      <c r="BD510" s="605">
        <v>520</v>
      </c>
      <c r="BE510" s="605">
        <v>463</v>
      </c>
      <c r="BF510" s="605">
        <v>519</v>
      </c>
      <c r="BG510" s="605">
        <v>496</v>
      </c>
      <c r="BH510" s="605">
        <v>549</v>
      </c>
      <c r="BI510" s="605">
        <v>538</v>
      </c>
      <c r="BJ510" s="605">
        <v>592</v>
      </c>
      <c r="BK510" s="605">
        <v>667</v>
      </c>
      <c r="BL510" s="605">
        <v>708</v>
      </c>
      <c r="BM510" s="605">
        <v>648</v>
      </c>
      <c r="BN510" s="605">
        <v>693</v>
      </c>
      <c r="BO510" s="605">
        <v>749</v>
      </c>
      <c r="BP510" s="605">
        <v>752</v>
      </c>
      <c r="BQ510" s="605">
        <v>784</v>
      </c>
      <c r="BR510" s="605">
        <v>766</v>
      </c>
      <c r="BS510" s="605">
        <v>756</v>
      </c>
      <c r="BT510" s="605">
        <v>782</v>
      </c>
      <c r="BU510" s="605">
        <v>721</v>
      </c>
      <c r="BV510" s="605">
        <v>717</v>
      </c>
      <c r="BW510" s="605">
        <v>665</v>
      </c>
      <c r="BX510" s="605">
        <v>635</v>
      </c>
      <c r="BY510" s="605">
        <v>685</v>
      </c>
      <c r="BZ510" s="605">
        <v>628</v>
      </c>
      <c r="CA510" s="605">
        <v>575</v>
      </c>
      <c r="CB510" s="605">
        <v>602</v>
      </c>
      <c r="CC510" s="605">
        <v>554</v>
      </c>
      <c r="CD510" s="605">
        <v>603</v>
      </c>
      <c r="CE510" s="605">
        <v>611</v>
      </c>
      <c r="CF510" s="605">
        <v>578</v>
      </c>
      <c r="CG510" s="605">
        <v>625</v>
      </c>
      <c r="CH510" s="605">
        <v>605</v>
      </c>
      <c r="CI510" s="605">
        <v>606</v>
      </c>
      <c r="CJ510" s="605">
        <v>658</v>
      </c>
      <c r="CK510" s="605">
        <v>487</v>
      </c>
      <c r="CL510" s="605">
        <v>470</v>
      </c>
      <c r="CM510" s="605">
        <v>490</v>
      </c>
      <c r="CN510" s="605">
        <v>437</v>
      </c>
      <c r="CO510" s="605">
        <v>368</v>
      </c>
      <c r="CP510" s="605">
        <v>310</v>
      </c>
      <c r="CQ510" s="605">
        <v>342</v>
      </c>
      <c r="CR510" s="605">
        <v>275</v>
      </c>
      <c r="CS510" s="605">
        <v>241</v>
      </c>
      <c r="CT510" s="605">
        <v>224</v>
      </c>
      <c r="CU510" s="605">
        <v>217</v>
      </c>
      <c r="CV510" s="605">
        <v>168</v>
      </c>
      <c r="CW510" s="605">
        <v>170</v>
      </c>
      <c r="CX510" s="605">
        <v>145</v>
      </c>
      <c r="CY510" s="605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61</v>
      </c>
      <c r="B511" s="1" t="s">
        <v>572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605">
        <v>636</v>
      </c>
      <c r="N511" s="605">
        <v>642</v>
      </c>
      <c r="O511" s="605">
        <v>647</v>
      </c>
      <c r="P511" s="605">
        <v>707</v>
      </c>
      <c r="Q511" s="605">
        <v>762</v>
      </c>
      <c r="R511" s="605">
        <v>761</v>
      </c>
      <c r="S511" s="605">
        <v>825</v>
      </c>
      <c r="T511" s="605">
        <v>811</v>
      </c>
      <c r="U511" s="605">
        <v>818</v>
      </c>
      <c r="V511" s="605">
        <v>783</v>
      </c>
      <c r="W511" s="605">
        <v>915</v>
      </c>
      <c r="X511" s="605">
        <v>922</v>
      </c>
      <c r="Y511" s="605">
        <v>869</v>
      </c>
      <c r="Z511" s="605">
        <v>864</v>
      </c>
      <c r="AA511" s="605">
        <v>873</v>
      </c>
      <c r="AB511" s="605">
        <v>854</v>
      </c>
      <c r="AC511" s="605">
        <v>858</v>
      </c>
      <c r="AD511" s="605">
        <v>823</v>
      </c>
      <c r="AE511" s="605">
        <v>958</v>
      </c>
      <c r="AF511" s="605">
        <v>1502</v>
      </c>
      <c r="AG511" s="605">
        <v>878</v>
      </c>
      <c r="AH511" s="605">
        <v>667</v>
      </c>
      <c r="AI511" s="605">
        <v>607</v>
      </c>
      <c r="AJ511" s="605">
        <v>701</v>
      </c>
      <c r="AK511" s="605">
        <v>688</v>
      </c>
      <c r="AL511" s="605">
        <v>776</v>
      </c>
      <c r="AM511" s="605">
        <v>789</v>
      </c>
      <c r="AN511" s="605">
        <v>806</v>
      </c>
      <c r="AO511" s="605">
        <v>797</v>
      </c>
      <c r="AP511" s="605">
        <v>829</v>
      </c>
      <c r="AQ511" s="605">
        <v>904</v>
      </c>
      <c r="AR511" s="605">
        <v>851</v>
      </c>
      <c r="AS511" s="605">
        <v>855</v>
      </c>
      <c r="AT511" s="605">
        <v>855</v>
      </c>
      <c r="AU511" s="605">
        <v>825</v>
      </c>
      <c r="AV511" s="605">
        <v>845</v>
      </c>
      <c r="AW511" s="605">
        <v>903</v>
      </c>
      <c r="AX511" s="605">
        <v>859</v>
      </c>
      <c r="AY511" s="605">
        <v>868</v>
      </c>
      <c r="AZ511" s="605">
        <v>830</v>
      </c>
      <c r="BA511" s="605">
        <v>830</v>
      </c>
      <c r="BB511" s="605">
        <v>850</v>
      </c>
      <c r="BC511" s="605">
        <v>826</v>
      </c>
      <c r="BD511" s="605">
        <v>853</v>
      </c>
      <c r="BE511" s="605">
        <v>809</v>
      </c>
      <c r="BF511" s="605">
        <v>756</v>
      </c>
      <c r="BG511" s="605">
        <v>746</v>
      </c>
      <c r="BH511" s="605">
        <v>825</v>
      </c>
      <c r="BI511" s="605">
        <v>777</v>
      </c>
      <c r="BJ511" s="605">
        <v>849</v>
      </c>
      <c r="BK511" s="605">
        <v>862</v>
      </c>
      <c r="BL511" s="605">
        <v>954</v>
      </c>
      <c r="BM511" s="605">
        <v>904</v>
      </c>
      <c r="BN511" s="605">
        <v>948</v>
      </c>
      <c r="BO511" s="605">
        <v>1003</v>
      </c>
      <c r="BP511" s="605">
        <v>945</v>
      </c>
      <c r="BQ511" s="605">
        <v>984</v>
      </c>
      <c r="BR511" s="605">
        <v>991</v>
      </c>
      <c r="BS511" s="605">
        <v>1043</v>
      </c>
      <c r="BT511" s="605">
        <v>992</v>
      </c>
      <c r="BU511" s="605">
        <v>975</v>
      </c>
      <c r="BV511" s="605">
        <v>943</v>
      </c>
      <c r="BW511" s="605">
        <v>960</v>
      </c>
      <c r="BX511" s="605">
        <v>888</v>
      </c>
      <c r="BY511" s="605">
        <v>1006</v>
      </c>
      <c r="BZ511" s="605">
        <v>870</v>
      </c>
      <c r="CA511" s="605">
        <v>796</v>
      </c>
      <c r="CB511" s="605">
        <v>802</v>
      </c>
      <c r="CC511" s="605">
        <v>793</v>
      </c>
      <c r="CD511" s="605">
        <v>815</v>
      </c>
      <c r="CE511" s="605">
        <v>772</v>
      </c>
      <c r="CF511" s="605">
        <v>725</v>
      </c>
      <c r="CG511" s="605">
        <v>778</v>
      </c>
      <c r="CH511" s="605">
        <v>746</v>
      </c>
      <c r="CI511" s="605">
        <v>847</v>
      </c>
      <c r="CJ511" s="605">
        <v>799</v>
      </c>
      <c r="CK511" s="605">
        <v>579</v>
      </c>
      <c r="CL511" s="605">
        <v>577</v>
      </c>
      <c r="CM511" s="605">
        <v>556</v>
      </c>
      <c r="CN511" s="605">
        <v>505</v>
      </c>
      <c r="CO511" s="605">
        <v>452</v>
      </c>
      <c r="CP511" s="605">
        <v>360</v>
      </c>
      <c r="CQ511" s="605">
        <v>384</v>
      </c>
      <c r="CR511" s="605">
        <v>318</v>
      </c>
      <c r="CS511" s="605">
        <v>294</v>
      </c>
      <c r="CT511" s="605">
        <v>260</v>
      </c>
      <c r="CU511" s="605">
        <v>226</v>
      </c>
      <c r="CV511" s="605">
        <v>183</v>
      </c>
      <c r="CW511" s="605">
        <v>177</v>
      </c>
      <c r="CX511" s="605">
        <v>127</v>
      </c>
      <c r="CY511" s="605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61</v>
      </c>
      <c r="B512" s="1" t="s">
        <v>573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605">
        <v>1002</v>
      </c>
      <c r="N512" s="605">
        <v>958</v>
      </c>
      <c r="O512" s="605">
        <v>993</v>
      </c>
      <c r="P512" s="605">
        <v>1033</v>
      </c>
      <c r="Q512" s="605">
        <v>1002</v>
      </c>
      <c r="R512" s="605">
        <v>1014</v>
      </c>
      <c r="S512" s="605">
        <v>1196</v>
      </c>
      <c r="T512" s="605">
        <v>1083</v>
      </c>
      <c r="U512" s="605">
        <v>1043</v>
      </c>
      <c r="V512" s="605">
        <v>1089</v>
      </c>
      <c r="W512" s="605">
        <v>1039</v>
      </c>
      <c r="X512" s="605">
        <v>1059</v>
      </c>
      <c r="Y512" s="605">
        <v>1048</v>
      </c>
      <c r="Z512" s="605">
        <v>1123</v>
      </c>
      <c r="AA512" s="605">
        <v>1128</v>
      </c>
      <c r="AB512" s="605">
        <v>945</v>
      </c>
      <c r="AC512" s="605">
        <v>940</v>
      </c>
      <c r="AD512" s="605">
        <v>952</v>
      </c>
      <c r="AE512" s="605">
        <v>969</v>
      </c>
      <c r="AF512" s="605">
        <v>782</v>
      </c>
      <c r="AG512" s="605">
        <v>699</v>
      </c>
      <c r="AH512" s="605">
        <v>774</v>
      </c>
      <c r="AI512" s="605">
        <v>881</v>
      </c>
      <c r="AJ512" s="605">
        <v>985</v>
      </c>
      <c r="AK512" s="605">
        <v>959</v>
      </c>
      <c r="AL512" s="605">
        <v>1027</v>
      </c>
      <c r="AM512" s="605">
        <v>1005</v>
      </c>
      <c r="AN512" s="605">
        <v>1020</v>
      </c>
      <c r="AO512" s="605">
        <v>1076</v>
      </c>
      <c r="AP512" s="605">
        <v>1245</v>
      </c>
      <c r="AQ512" s="605">
        <v>1220</v>
      </c>
      <c r="AR512" s="605">
        <v>1265</v>
      </c>
      <c r="AS512" s="605">
        <v>1169</v>
      </c>
      <c r="AT512" s="605">
        <v>1279</v>
      </c>
      <c r="AU512" s="605">
        <v>1332</v>
      </c>
      <c r="AV512" s="605">
        <v>1215</v>
      </c>
      <c r="AW512" s="605">
        <v>1185</v>
      </c>
      <c r="AX512" s="605">
        <v>1259</v>
      </c>
      <c r="AY512" s="605">
        <v>1143</v>
      </c>
      <c r="AZ512" s="605">
        <v>1017</v>
      </c>
      <c r="BA512" s="605">
        <v>1038</v>
      </c>
      <c r="BB512" s="605">
        <v>1044</v>
      </c>
      <c r="BC512" s="605">
        <v>1120</v>
      </c>
      <c r="BD512" s="605">
        <v>1055</v>
      </c>
      <c r="BE512" s="605">
        <v>942</v>
      </c>
      <c r="BF512" s="605">
        <v>907</v>
      </c>
      <c r="BG512" s="605">
        <v>917</v>
      </c>
      <c r="BH512" s="605">
        <v>953</v>
      </c>
      <c r="BI512" s="605">
        <v>944</v>
      </c>
      <c r="BJ512" s="605">
        <v>996</v>
      </c>
      <c r="BK512" s="605">
        <v>980</v>
      </c>
      <c r="BL512" s="605">
        <v>1095</v>
      </c>
      <c r="BM512" s="605">
        <v>1067</v>
      </c>
      <c r="BN512" s="605">
        <v>1100</v>
      </c>
      <c r="BO512" s="605">
        <v>948</v>
      </c>
      <c r="BP512" s="605">
        <v>1070</v>
      </c>
      <c r="BQ512" s="605">
        <v>1067</v>
      </c>
      <c r="BR512" s="605">
        <v>1053</v>
      </c>
      <c r="BS512" s="605">
        <v>1041</v>
      </c>
      <c r="BT512" s="605">
        <v>1021</v>
      </c>
      <c r="BU512" s="605">
        <v>935</v>
      </c>
      <c r="BV512" s="605">
        <v>982</v>
      </c>
      <c r="BW512" s="605">
        <v>893</v>
      </c>
      <c r="BX512" s="605">
        <v>964</v>
      </c>
      <c r="BY512" s="605">
        <v>829</v>
      </c>
      <c r="BZ512" s="605">
        <v>800</v>
      </c>
      <c r="CA512" s="605">
        <v>680</v>
      </c>
      <c r="CB512" s="605">
        <v>675</v>
      </c>
      <c r="CC512" s="605">
        <v>724</v>
      </c>
      <c r="CD512" s="605">
        <v>751</v>
      </c>
      <c r="CE512" s="605">
        <v>678</v>
      </c>
      <c r="CF512" s="605">
        <v>607</v>
      </c>
      <c r="CG512" s="605">
        <v>654</v>
      </c>
      <c r="CH512" s="605">
        <v>620</v>
      </c>
      <c r="CI512" s="605">
        <v>701</v>
      </c>
      <c r="CJ512" s="605">
        <v>753</v>
      </c>
      <c r="CK512" s="605">
        <v>517</v>
      </c>
      <c r="CL512" s="605">
        <v>519</v>
      </c>
      <c r="CM512" s="605">
        <v>492</v>
      </c>
      <c r="CN512" s="605">
        <v>470</v>
      </c>
      <c r="CO512" s="605">
        <v>374</v>
      </c>
      <c r="CP512" s="605">
        <v>319</v>
      </c>
      <c r="CQ512" s="605">
        <v>324</v>
      </c>
      <c r="CR512" s="605">
        <v>314</v>
      </c>
      <c r="CS512" s="605">
        <v>256</v>
      </c>
      <c r="CT512" s="605">
        <v>240</v>
      </c>
      <c r="CU512" s="605">
        <v>230</v>
      </c>
      <c r="CV512" s="605">
        <v>172</v>
      </c>
      <c r="CW512" s="605">
        <v>142</v>
      </c>
      <c r="CX512" s="605">
        <v>117</v>
      </c>
      <c r="CY512" s="605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61</v>
      </c>
      <c r="B513" s="1" t="s">
        <v>574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605">
        <v>547</v>
      </c>
      <c r="N513" s="605">
        <v>541</v>
      </c>
      <c r="O513" s="605">
        <v>560</v>
      </c>
      <c r="P513" s="605">
        <v>587</v>
      </c>
      <c r="Q513" s="605">
        <v>646</v>
      </c>
      <c r="R513" s="605">
        <v>630</v>
      </c>
      <c r="S513" s="605">
        <v>657</v>
      </c>
      <c r="T513" s="605">
        <v>695</v>
      </c>
      <c r="U513" s="605">
        <v>700</v>
      </c>
      <c r="V513" s="605">
        <v>693</v>
      </c>
      <c r="W513" s="605">
        <v>704</v>
      </c>
      <c r="X513" s="605">
        <v>745</v>
      </c>
      <c r="Y513" s="605">
        <v>723</v>
      </c>
      <c r="Z513" s="605">
        <v>691</v>
      </c>
      <c r="AA513" s="605">
        <v>785</v>
      </c>
      <c r="AB513" s="605">
        <v>690</v>
      </c>
      <c r="AC513" s="605">
        <v>779</v>
      </c>
      <c r="AD513" s="605">
        <v>726</v>
      </c>
      <c r="AE513" s="605">
        <v>659</v>
      </c>
      <c r="AF513" s="605">
        <v>545</v>
      </c>
      <c r="AG513" s="605">
        <v>505</v>
      </c>
      <c r="AH513" s="605">
        <v>573</v>
      </c>
      <c r="AI513" s="605">
        <v>608</v>
      </c>
      <c r="AJ513" s="605">
        <v>603</v>
      </c>
      <c r="AK513" s="605">
        <v>650</v>
      </c>
      <c r="AL513" s="605">
        <v>681</v>
      </c>
      <c r="AM513" s="605">
        <v>604</v>
      </c>
      <c r="AN513" s="605">
        <v>539</v>
      </c>
      <c r="AO513" s="605">
        <v>615</v>
      </c>
      <c r="AP513" s="605">
        <v>649</v>
      </c>
      <c r="AQ513" s="605">
        <v>715</v>
      </c>
      <c r="AR513" s="605">
        <v>687</v>
      </c>
      <c r="AS513" s="605">
        <v>631</v>
      </c>
      <c r="AT513" s="605">
        <v>601</v>
      </c>
      <c r="AU513" s="605">
        <v>686</v>
      </c>
      <c r="AV513" s="605">
        <v>659</v>
      </c>
      <c r="AW513" s="605">
        <v>623</v>
      </c>
      <c r="AX513" s="605">
        <v>623</v>
      </c>
      <c r="AY513" s="605">
        <v>614</v>
      </c>
      <c r="AZ513" s="605">
        <v>608</v>
      </c>
      <c r="BA513" s="605">
        <v>609</v>
      </c>
      <c r="BB513" s="605">
        <v>629</v>
      </c>
      <c r="BC513" s="605">
        <v>647</v>
      </c>
      <c r="BD513" s="605">
        <v>626</v>
      </c>
      <c r="BE513" s="605">
        <v>583</v>
      </c>
      <c r="BF513" s="605">
        <v>542</v>
      </c>
      <c r="BG513" s="605">
        <v>580</v>
      </c>
      <c r="BH513" s="605">
        <v>603</v>
      </c>
      <c r="BI513" s="605">
        <v>639</v>
      </c>
      <c r="BJ513" s="605">
        <v>703</v>
      </c>
      <c r="BK513" s="605">
        <v>754</v>
      </c>
      <c r="BL513" s="605">
        <v>757</v>
      </c>
      <c r="BM513" s="605">
        <v>818</v>
      </c>
      <c r="BN513" s="605">
        <v>808</v>
      </c>
      <c r="BO513" s="605">
        <v>855</v>
      </c>
      <c r="BP513" s="605">
        <v>905</v>
      </c>
      <c r="BQ513" s="605">
        <v>926</v>
      </c>
      <c r="BR513" s="605">
        <v>915</v>
      </c>
      <c r="BS513" s="605">
        <v>887</v>
      </c>
      <c r="BT513" s="605">
        <v>1009</v>
      </c>
      <c r="BU513" s="605">
        <v>967</v>
      </c>
      <c r="BV513" s="605">
        <v>914</v>
      </c>
      <c r="BW513" s="605">
        <v>904</v>
      </c>
      <c r="BX513" s="605">
        <v>952</v>
      </c>
      <c r="BY513" s="605">
        <v>893</v>
      </c>
      <c r="BZ513" s="605">
        <v>866</v>
      </c>
      <c r="CA513" s="605">
        <v>855</v>
      </c>
      <c r="CB513" s="605">
        <v>857</v>
      </c>
      <c r="CC513" s="605">
        <v>882</v>
      </c>
      <c r="CD513" s="605">
        <v>875</v>
      </c>
      <c r="CE513" s="605">
        <v>807</v>
      </c>
      <c r="CF513" s="605">
        <v>838</v>
      </c>
      <c r="CG513" s="605">
        <v>832</v>
      </c>
      <c r="CH513" s="605">
        <v>800</v>
      </c>
      <c r="CI513" s="605">
        <v>838</v>
      </c>
      <c r="CJ513" s="605">
        <v>882</v>
      </c>
      <c r="CK513" s="605">
        <v>614</v>
      </c>
      <c r="CL513" s="605">
        <v>659</v>
      </c>
      <c r="CM513" s="605">
        <v>627</v>
      </c>
      <c r="CN513" s="605">
        <v>545</v>
      </c>
      <c r="CO513" s="605">
        <v>490</v>
      </c>
      <c r="CP513" s="605">
        <v>469</v>
      </c>
      <c r="CQ513" s="605">
        <v>418</v>
      </c>
      <c r="CR513" s="605">
        <v>376</v>
      </c>
      <c r="CS513" s="605">
        <v>328</v>
      </c>
      <c r="CT513" s="605">
        <v>268</v>
      </c>
      <c r="CU513" s="605">
        <v>254</v>
      </c>
      <c r="CV513" s="605">
        <v>224</v>
      </c>
      <c r="CW513" s="605">
        <v>142</v>
      </c>
      <c r="CX513" s="605">
        <v>181</v>
      </c>
      <c r="CY513" s="605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61</v>
      </c>
      <c r="B514" s="1" t="s">
        <v>575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605">
        <v>542</v>
      </c>
      <c r="N514" s="605">
        <v>558</v>
      </c>
      <c r="O514" s="605">
        <v>557</v>
      </c>
      <c r="P514" s="605">
        <v>623</v>
      </c>
      <c r="Q514" s="605">
        <v>680</v>
      </c>
      <c r="R514" s="605">
        <v>640</v>
      </c>
      <c r="S514" s="605">
        <v>636</v>
      </c>
      <c r="T514" s="605">
        <v>702</v>
      </c>
      <c r="U514" s="605">
        <v>710</v>
      </c>
      <c r="V514" s="605">
        <v>708</v>
      </c>
      <c r="W514" s="605">
        <v>684</v>
      </c>
      <c r="X514" s="605">
        <v>699</v>
      </c>
      <c r="Y514" s="605">
        <v>687</v>
      </c>
      <c r="Z514" s="605">
        <v>724</v>
      </c>
      <c r="AA514" s="605">
        <v>813</v>
      </c>
      <c r="AB514" s="605">
        <v>726</v>
      </c>
      <c r="AC514" s="605">
        <v>720</v>
      </c>
      <c r="AD514" s="605">
        <v>759</v>
      </c>
      <c r="AE514" s="605">
        <v>677</v>
      </c>
      <c r="AF514" s="605">
        <v>546</v>
      </c>
      <c r="AG514" s="605">
        <v>497</v>
      </c>
      <c r="AH514" s="605">
        <v>540</v>
      </c>
      <c r="AI514" s="605">
        <v>576</v>
      </c>
      <c r="AJ514" s="605">
        <v>708</v>
      </c>
      <c r="AK514" s="605">
        <v>659</v>
      </c>
      <c r="AL514" s="605">
        <v>640</v>
      </c>
      <c r="AM514" s="605">
        <v>700</v>
      </c>
      <c r="AN514" s="605">
        <v>643</v>
      </c>
      <c r="AO514" s="605">
        <v>676</v>
      </c>
      <c r="AP514" s="605">
        <v>655</v>
      </c>
      <c r="AQ514" s="605">
        <v>689</v>
      </c>
      <c r="AR514" s="605">
        <v>681</v>
      </c>
      <c r="AS514" s="605">
        <v>678</v>
      </c>
      <c r="AT514" s="605">
        <v>691</v>
      </c>
      <c r="AU514" s="605">
        <v>706</v>
      </c>
      <c r="AV514" s="605">
        <v>621</v>
      </c>
      <c r="AW514" s="605">
        <v>641</v>
      </c>
      <c r="AX514" s="605">
        <v>683</v>
      </c>
      <c r="AY514" s="605">
        <v>629</v>
      </c>
      <c r="AZ514" s="605">
        <v>628</v>
      </c>
      <c r="BA514" s="605">
        <v>668</v>
      </c>
      <c r="BB514" s="605">
        <v>643</v>
      </c>
      <c r="BC514" s="605">
        <v>674</v>
      </c>
      <c r="BD514" s="605">
        <v>652</v>
      </c>
      <c r="BE514" s="605">
        <v>622</v>
      </c>
      <c r="BF514" s="605">
        <v>638</v>
      </c>
      <c r="BG514" s="605">
        <v>646</v>
      </c>
      <c r="BH514" s="605">
        <v>721</v>
      </c>
      <c r="BI514" s="605">
        <v>733</v>
      </c>
      <c r="BJ514" s="605">
        <v>732</v>
      </c>
      <c r="BK514" s="605">
        <v>904</v>
      </c>
      <c r="BL514" s="605">
        <v>916</v>
      </c>
      <c r="BM514" s="605">
        <v>874</v>
      </c>
      <c r="BN514" s="605">
        <v>967</v>
      </c>
      <c r="BO514" s="605">
        <v>918</v>
      </c>
      <c r="BP514" s="605">
        <v>1049</v>
      </c>
      <c r="BQ514" s="605">
        <v>1027</v>
      </c>
      <c r="BR514" s="605">
        <v>1085</v>
      </c>
      <c r="BS514" s="605">
        <v>1055</v>
      </c>
      <c r="BT514" s="605">
        <v>1079</v>
      </c>
      <c r="BU514" s="605">
        <v>1083</v>
      </c>
      <c r="BV514" s="605">
        <v>1072</v>
      </c>
      <c r="BW514" s="605">
        <v>1062</v>
      </c>
      <c r="BX514" s="605">
        <v>1068</v>
      </c>
      <c r="BY514" s="605">
        <v>970</v>
      </c>
      <c r="BZ514" s="605">
        <v>1004</v>
      </c>
      <c r="CA514" s="605">
        <v>1048</v>
      </c>
      <c r="CB514" s="605">
        <v>920</v>
      </c>
      <c r="CC514" s="605">
        <v>981</v>
      </c>
      <c r="CD514" s="605">
        <v>986</v>
      </c>
      <c r="CE514" s="605">
        <v>946</v>
      </c>
      <c r="CF514" s="605">
        <v>909</v>
      </c>
      <c r="CG514" s="605">
        <v>957</v>
      </c>
      <c r="CH514" s="605">
        <v>966</v>
      </c>
      <c r="CI514" s="605">
        <v>1053</v>
      </c>
      <c r="CJ514" s="605">
        <v>1016</v>
      </c>
      <c r="CK514" s="605">
        <v>762</v>
      </c>
      <c r="CL514" s="605">
        <v>697</v>
      </c>
      <c r="CM514" s="605">
        <v>815</v>
      </c>
      <c r="CN514" s="605">
        <v>676</v>
      </c>
      <c r="CO514" s="605">
        <v>565</v>
      </c>
      <c r="CP514" s="605">
        <v>480</v>
      </c>
      <c r="CQ514" s="605">
        <v>484</v>
      </c>
      <c r="CR514" s="605">
        <v>421</v>
      </c>
      <c r="CS514" s="605">
        <v>402</v>
      </c>
      <c r="CT514" s="605">
        <v>348</v>
      </c>
      <c r="CU514" s="605">
        <v>295</v>
      </c>
      <c r="CV514" s="605">
        <v>283</v>
      </c>
      <c r="CW514" s="605">
        <v>234</v>
      </c>
      <c r="CX514" s="605">
        <v>151</v>
      </c>
      <c r="CY514" s="605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61</v>
      </c>
      <c r="B515" s="1" t="s">
        <v>576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605">
        <v>1182</v>
      </c>
      <c r="N515" s="605">
        <v>1192</v>
      </c>
      <c r="O515" s="605">
        <v>1246</v>
      </c>
      <c r="P515" s="605">
        <v>1330</v>
      </c>
      <c r="Q515" s="605">
        <v>1390</v>
      </c>
      <c r="R515" s="605">
        <v>1335</v>
      </c>
      <c r="S515" s="605">
        <v>1349</v>
      </c>
      <c r="T515" s="605">
        <v>1424</v>
      </c>
      <c r="U515" s="605">
        <v>1454</v>
      </c>
      <c r="V515" s="605">
        <v>1448</v>
      </c>
      <c r="W515" s="605">
        <v>1470</v>
      </c>
      <c r="X515" s="605">
        <v>1500</v>
      </c>
      <c r="Y515" s="605">
        <v>1414</v>
      </c>
      <c r="Z515" s="605">
        <v>1599</v>
      </c>
      <c r="AA515" s="605">
        <v>1471</v>
      </c>
      <c r="AB515" s="605">
        <v>1487</v>
      </c>
      <c r="AC515" s="605">
        <v>1400</v>
      </c>
      <c r="AD515" s="605">
        <v>1425</v>
      </c>
      <c r="AE515" s="605">
        <v>1383</v>
      </c>
      <c r="AF515" s="605">
        <v>1430</v>
      </c>
      <c r="AG515" s="605">
        <v>1361</v>
      </c>
      <c r="AH515" s="605">
        <v>1470</v>
      </c>
      <c r="AI515" s="605">
        <v>1333</v>
      </c>
      <c r="AJ515" s="605">
        <v>1508</v>
      </c>
      <c r="AK515" s="605">
        <v>1349</v>
      </c>
      <c r="AL515" s="605">
        <v>1510</v>
      </c>
      <c r="AM515" s="605">
        <v>1397</v>
      </c>
      <c r="AN515" s="605">
        <v>1501</v>
      </c>
      <c r="AO515" s="605">
        <v>1440</v>
      </c>
      <c r="AP515" s="605">
        <v>1561</v>
      </c>
      <c r="AQ515" s="605">
        <v>1531</v>
      </c>
      <c r="AR515" s="605">
        <v>1507</v>
      </c>
      <c r="AS515" s="605">
        <v>1666</v>
      </c>
      <c r="AT515" s="605">
        <v>1646</v>
      </c>
      <c r="AU515" s="605">
        <v>1508</v>
      </c>
      <c r="AV515" s="605">
        <v>1576</v>
      </c>
      <c r="AW515" s="605">
        <v>1511</v>
      </c>
      <c r="AX515" s="605">
        <v>1573</v>
      </c>
      <c r="AY515" s="605">
        <v>1526</v>
      </c>
      <c r="AZ515" s="605">
        <v>1487</v>
      </c>
      <c r="BA515" s="605">
        <v>1448</v>
      </c>
      <c r="BB515" s="605">
        <v>1387</v>
      </c>
      <c r="BC515" s="605">
        <v>1473</v>
      </c>
      <c r="BD515" s="605">
        <v>1436</v>
      </c>
      <c r="BE515" s="605">
        <v>1292</v>
      </c>
      <c r="BF515" s="605">
        <v>1234</v>
      </c>
      <c r="BG515" s="605">
        <v>1228</v>
      </c>
      <c r="BH515" s="605">
        <v>1344</v>
      </c>
      <c r="BI515" s="605">
        <v>1265</v>
      </c>
      <c r="BJ515" s="605">
        <v>1525</v>
      </c>
      <c r="BK515" s="605">
        <v>1616</v>
      </c>
      <c r="BL515" s="605">
        <v>1695</v>
      </c>
      <c r="BM515" s="605">
        <v>1558</v>
      </c>
      <c r="BN515" s="605">
        <v>1611</v>
      </c>
      <c r="BO515" s="605">
        <v>1667</v>
      </c>
      <c r="BP515" s="605">
        <v>1659</v>
      </c>
      <c r="BQ515" s="605">
        <v>1692</v>
      </c>
      <c r="BR515" s="605">
        <v>1734</v>
      </c>
      <c r="BS515" s="605">
        <v>1649</v>
      </c>
      <c r="BT515" s="605">
        <v>1594</v>
      </c>
      <c r="BU515" s="605">
        <v>1607</v>
      </c>
      <c r="BV515" s="605">
        <v>1496</v>
      </c>
      <c r="BW515" s="605">
        <v>1364</v>
      </c>
      <c r="BX515" s="605">
        <v>1434</v>
      </c>
      <c r="BY515" s="605">
        <v>1372</v>
      </c>
      <c r="BZ515" s="605">
        <v>1354</v>
      </c>
      <c r="CA515" s="605">
        <v>1261</v>
      </c>
      <c r="CB515" s="605">
        <v>1184</v>
      </c>
      <c r="CC515" s="605">
        <v>1223</v>
      </c>
      <c r="CD515" s="605">
        <v>1163</v>
      </c>
      <c r="CE515" s="605">
        <v>1238</v>
      </c>
      <c r="CF515" s="605">
        <v>1171</v>
      </c>
      <c r="CG515" s="605">
        <v>1232</v>
      </c>
      <c r="CH515" s="605">
        <v>1244</v>
      </c>
      <c r="CI515" s="605">
        <v>1280</v>
      </c>
      <c r="CJ515" s="605">
        <v>1272</v>
      </c>
      <c r="CK515" s="605">
        <v>1071</v>
      </c>
      <c r="CL515" s="605">
        <v>988</v>
      </c>
      <c r="CM515" s="605">
        <v>843</v>
      </c>
      <c r="CN515" s="605">
        <v>708</v>
      </c>
      <c r="CO515" s="605">
        <v>680</v>
      </c>
      <c r="CP515" s="605">
        <v>591</v>
      </c>
      <c r="CQ515" s="605">
        <v>536</v>
      </c>
      <c r="CR515" s="605">
        <v>480</v>
      </c>
      <c r="CS515" s="605">
        <v>454</v>
      </c>
      <c r="CT515" s="605">
        <v>366</v>
      </c>
      <c r="CU515" s="605">
        <v>342</v>
      </c>
      <c r="CV515" s="605">
        <v>288</v>
      </c>
      <c r="CW515" s="605">
        <v>231</v>
      </c>
      <c r="CX515" s="605">
        <v>183</v>
      </c>
      <c r="CY515" s="605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61</v>
      </c>
      <c r="B516" s="1" t="s">
        <v>577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605">
        <v>1134</v>
      </c>
      <c r="N516" s="605">
        <v>1063</v>
      </c>
      <c r="O516" s="605">
        <v>1133</v>
      </c>
      <c r="P516" s="605">
        <v>1224</v>
      </c>
      <c r="Q516" s="605">
        <v>1266</v>
      </c>
      <c r="R516" s="605">
        <v>1252</v>
      </c>
      <c r="S516" s="605">
        <v>1374</v>
      </c>
      <c r="T516" s="605">
        <v>1363</v>
      </c>
      <c r="U516" s="605">
        <v>1342</v>
      </c>
      <c r="V516" s="605">
        <v>1419</v>
      </c>
      <c r="W516" s="605">
        <v>1459</v>
      </c>
      <c r="X516" s="605">
        <v>1510</v>
      </c>
      <c r="Y516" s="605">
        <v>1407</v>
      </c>
      <c r="Z516" s="605">
        <v>1464</v>
      </c>
      <c r="AA516" s="605">
        <v>1527</v>
      </c>
      <c r="AB516" s="605">
        <v>1392</v>
      </c>
      <c r="AC516" s="605">
        <v>1385</v>
      </c>
      <c r="AD516" s="605">
        <v>1426</v>
      </c>
      <c r="AE516" s="605">
        <v>1459</v>
      </c>
      <c r="AF516" s="605">
        <v>1896</v>
      </c>
      <c r="AG516" s="605">
        <v>2522</v>
      </c>
      <c r="AH516" s="605">
        <v>2615</v>
      </c>
      <c r="AI516" s="605">
        <v>2280</v>
      </c>
      <c r="AJ516" s="605">
        <v>1910</v>
      </c>
      <c r="AK516" s="605">
        <v>1501</v>
      </c>
      <c r="AL516" s="605">
        <v>1507</v>
      </c>
      <c r="AM516" s="605">
        <v>1486</v>
      </c>
      <c r="AN516" s="605">
        <v>1351</v>
      </c>
      <c r="AO516" s="605">
        <v>1422</v>
      </c>
      <c r="AP516" s="605">
        <v>1448</v>
      </c>
      <c r="AQ516" s="605">
        <v>1520</v>
      </c>
      <c r="AR516" s="605">
        <v>1551</v>
      </c>
      <c r="AS516" s="605">
        <v>1644</v>
      </c>
      <c r="AT516" s="605">
        <v>1442</v>
      </c>
      <c r="AU516" s="605">
        <v>1501</v>
      </c>
      <c r="AV516" s="605">
        <v>1514</v>
      </c>
      <c r="AW516" s="605">
        <v>1498</v>
      </c>
      <c r="AX516" s="605">
        <v>1597</v>
      </c>
      <c r="AY516" s="605">
        <v>1396</v>
      </c>
      <c r="AZ516" s="605">
        <v>1455</v>
      </c>
      <c r="BA516" s="605">
        <v>1397</v>
      </c>
      <c r="BB516" s="605">
        <v>1417</v>
      </c>
      <c r="BC516" s="605">
        <v>1584</v>
      </c>
      <c r="BD516" s="605">
        <v>1343</v>
      </c>
      <c r="BE516" s="605">
        <v>1273</v>
      </c>
      <c r="BF516" s="605">
        <v>1289</v>
      </c>
      <c r="BG516" s="605">
        <v>1339</v>
      </c>
      <c r="BH516" s="605">
        <v>1379</v>
      </c>
      <c r="BI516" s="605">
        <v>1335</v>
      </c>
      <c r="BJ516" s="605">
        <v>1336</v>
      </c>
      <c r="BK516" s="605">
        <v>1462</v>
      </c>
      <c r="BL516" s="605">
        <v>1510</v>
      </c>
      <c r="BM516" s="605">
        <v>1509</v>
      </c>
      <c r="BN516" s="605">
        <v>1691</v>
      </c>
      <c r="BO516" s="605">
        <v>1552</v>
      </c>
      <c r="BP516" s="605">
        <v>1528</v>
      </c>
      <c r="BQ516" s="605">
        <v>1522</v>
      </c>
      <c r="BR516" s="605">
        <v>1665</v>
      </c>
      <c r="BS516" s="605">
        <v>1640</v>
      </c>
      <c r="BT516" s="605">
        <v>1484</v>
      </c>
      <c r="BU516" s="605">
        <v>1519</v>
      </c>
      <c r="BV516" s="605">
        <v>1456</v>
      </c>
      <c r="BW516" s="605">
        <v>1447</v>
      </c>
      <c r="BX516" s="605">
        <v>1394</v>
      </c>
      <c r="BY516" s="605">
        <v>1349</v>
      </c>
      <c r="BZ516" s="605">
        <v>1273</v>
      </c>
      <c r="CA516" s="605">
        <v>1240</v>
      </c>
      <c r="CB516" s="605">
        <v>1189</v>
      </c>
      <c r="CC516" s="605">
        <v>1181</v>
      </c>
      <c r="CD516" s="605">
        <v>1218</v>
      </c>
      <c r="CE516" s="605">
        <v>1171</v>
      </c>
      <c r="CF516" s="605">
        <v>1093</v>
      </c>
      <c r="CG516" s="605">
        <v>1212</v>
      </c>
      <c r="CH516" s="605">
        <v>1187</v>
      </c>
      <c r="CI516" s="605">
        <v>1233</v>
      </c>
      <c r="CJ516" s="605">
        <v>1340</v>
      </c>
      <c r="CK516" s="605">
        <v>889</v>
      </c>
      <c r="CL516" s="605">
        <v>905</v>
      </c>
      <c r="CM516" s="605">
        <v>899</v>
      </c>
      <c r="CN516" s="605">
        <v>852</v>
      </c>
      <c r="CO516" s="605">
        <v>748</v>
      </c>
      <c r="CP516" s="605">
        <v>612</v>
      </c>
      <c r="CQ516" s="605">
        <v>591</v>
      </c>
      <c r="CR516" s="605">
        <v>524</v>
      </c>
      <c r="CS516" s="605">
        <v>525</v>
      </c>
      <c r="CT516" s="605">
        <v>455</v>
      </c>
      <c r="CU516" s="605">
        <v>393</v>
      </c>
      <c r="CV516" s="605">
        <v>348</v>
      </c>
      <c r="CW516" s="605">
        <v>276</v>
      </c>
      <c r="CX516" s="605">
        <v>244</v>
      </c>
      <c r="CY516" s="605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61</v>
      </c>
      <c r="B517" s="1" t="s">
        <v>578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605">
        <v>514</v>
      </c>
      <c r="N517" s="605">
        <v>466</v>
      </c>
      <c r="O517" s="605">
        <v>537</v>
      </c>
      <c r="P517" s="605">
        <v>540</v>
      </c>
      <c r="Q517" s="605">
        <v>516</v>
      </c>
      <c r="R517" s="605">
        <v>556</v>
      </c>
      <c r="S517" s="605">
        <v>581</v>
      </c>
      <c r="T517" s="605">
        <v>514</v>
      </c>
      <c r="U517" s="605">
        <v>551</v>
      </c>
      <c r="V517" s="605">
        <v>551</v>
      </c>
      <c r="W517" s="605">
        <v>588</v>
      </c>
      <c r="X517" s="605">
        <v>600</v>
      </c>
      <c r="Y517" s="605">
        <v>586</v>
      </c>
      <c r="Z517" s="605">
        <v>625</v>
      </c>
      <c r="AA517" s="605">
        <v>581</v>
      </c>
      <c r="AB517" s="605">
        <v>557</v>
      </c>
      <c r="AC517" s="605">
        <v>592</v>
      </c>
      <c r="AD517" s="605">
        <v>585</v>
      </c>
      <c r="AE517" s="605">
        <v>488</v>
      </c>
      <c r="AF517" s="605">
        <v>425</v>
      </c>
      <c r="AG517" s="605">
        <v>404</v>
      </c>
      <c r="AH517" s="605">
        <v>418</v>
      </c>
      <c r="AI517" s="605">
        <v>438</v>
      </c>
      <c r="AJ517" s="605">
        <v>462</v>
      </c>
      <c r="AK517" s="605">
        <v>507</v>
      </c>
      <c r="AL517" s="605">
        <v>598</v>
      </c>
      <c r="AM517" s="605">
        <v>533</v>
      </c>
      <c r="AN517" s="605">
        <v>576</v>
      </c>
      <c r="AO517" s="605">
        <v>555</v>
      </c>
      <c r="AP517" s="605">
        <v>540</v>
      </c>
      <c r="AQ517" s="605">
        <v>596</v>
      </c>
      <c r="AR517" s="605">
        <v>615</v>
      </c>
      <c r="AS517" s="605">
        <v>622</v>
      </c>
      <c r="AT517" s="605">
        <v>617</v>
      </c>
      <c r="AU517" s="605">
        <v>553</v>
      </c>
      <c r="AV517" s="605">
        <v>586</v>
      </c>
      <c r="AW517" s="605">
        <v>593</v>
      </c>
      <c r="AX517" s="605">
        <v>574</v>
      </c>
      <c r="AY517" s="605">
        <v>532</v>
      </c>
      <c r="AZ517" s="605">
        <v>548</v>
      </c>
      <c r="BA517" s="605">
        <v>555</v>
      </c>
      <c r="BB517" s="605">
        <v>493</v>
      </c>
      <c r="BC517" s="605">
        <v>523</v>
      </c>
      <c r="BD517" s="605">
        <v>539</v>
      </c>
      <c r="BE517" s="605">
        <v>428</v>
      </c>
      <c r="BF517" s="605">
        <v>504</v>
      </c>
      <c r="BG517" s="605">
        <v>432</v>
      </c>
      <c r="BH517" s="605">
        <v>497</v>
      </c>
      <c r="BI517" s="605">
        <v>493</v>
      </c>
      <c r="BJ517" s="605">
        <v>561</v>
      </c>
      <c r="BK517" s="605">
        <v>569</v>
      </c>
      <c r="BL517" s="605">
        <v>636</v>
      </c>
      <c r="BM517" s="605">
        <v>634</v>
      </c>
      <c r="BN517" s="605">
        <v>601</v>
      </c>
      <c r="BO517" s="605">
        <v>597</v>
      </c>
      <c r="BP517" s="605">
        <v>623</v>
      </c>
      <c r="BQ517" s="605">
        <v>631</v>
      </c>
      <c r="BR517" s="605">
        <v>707</v>
      </c>
      <c r="BS517" s="605">
        <v>646</v>
      </c>
      <c r="BT517" s="605">
        <v>672</v>
      </c>
      <c r="BU517" s="605">
        <v>661</v>
      </c>
      <c r="BV517" s="605">
        <v>655</v>
      </c>
      <c r="BW517" s="605">
        <v>574</v>
      </c>
      <c r="BX517" s="605">
        <v>580</v>
      </c>
      <c r="BY517" s="605">
        <v>594</v>
      </c>
      <c r="BZ517" s="605">
        <v>511</v>
      </c>
      <c r="CA517" s="605">
        <v>490</v>
      </c>
      <c r="CB517" s="605">
        <v>470</v>
      </c>
      <c r="CC517" s="605">
        <v>535</v>
      </c>
      <c r="CD517" s="605">
        <v>469</v>
      </c>
      <c r="CE517" s="605">
        <v>488</v>
      </c>
      <c r="CF517" s="605">
        <v>479</v>
      </c>
      <c r="CG517" s="605">
        <v>457</v>
      </c>
      <c r="CH517" s="605">
        <v>484</v>
      </c>
      <c r="CI517" s="605">
        <v>455</v>
      </c>
      <c r="CJ517" s="605">
        <v>541</v>
      </c>
      <c r="CK517" s="605">
        <v>404</v>
      </c>
      <c r="CL517" s="605">
        <v>398</v>
      </c>
      <c r="CM517" s="605">
        <v>348</v>
      </c>
      <c r="CN517" s="605">
        <v>298</v>
      </c>
      <c r="CO517" s="605">
        <v>266</v>
      </c>
      <c r="CP517" s="605">
        <v>246</v>
      </c>
      <c r="CQ517" s="605">
        <v>224</v>
      </c>
      <c r="CR517" s="605">
        <v>223</v>
      </c>
      <c r="CS517" s="605">
        <v>187</v>
      </c>
      <c r="CT517" s="605">
        <v>157</v>
      </c>
      <c r="CU517" s="605">
        <v>143</v>
      </c>
      <c r="CV517" s="605">
        <v>129</v>
      </c>
      <c r="CW517" s="605">
        <v>118</v>
      </c>
      <c r="CX517" s="605">
        <v>110</v>
      </c>
      <c r="CY517" s="605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61</v>
      </c>
      <c r="B518" s="1" t="s">
        <v>579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605">
        <v>642</v>
      </c>
      <c r="N518" s="605">
        <v>670</v>
      </c>
      <c r="O518" s="605">
        <v>666</v>
      </c>
      <c r="P518" s="605">
        <v>745</v>
      </c>
      <c r="Q518" s="605">
        <v>708</v>
      </c>
      <c r="R518" s="605">
        <v>814</v>
      </c>
      <c r="S518" s="605">
        <v>772</v>
      </c>
      <c r="T518" s="605">
        <v>756</v>
      </c>
      <c r="U518" s="605">
        <v>790</v>
      </c>
      <c r="V518" s="605">
        <v>869</v>
      </c>
      <c r="W518" s="605">
        <v>878</v>
      </c>
      <c r="X518" s="605">
        <v>861</v>
      </c>
      <c r="Y518" s="605">
        <v>888</v>
      </c>
      <c r="Z518" s="605">
        <v>889</v>
      </c>
      <c r="AA518" s="605">
        <v>863</v>
      </c>
      <c r="AB518" s="605">
        <v>841</v>
      </c>
      <c r="AC518" s="605">
        <v>775</v>
      </c>
      <c r="AD518" s="605">
        <v>759</v>
      </c>
      <c r="AE518" s="605">
        <v>728</v>
      </c>
      <c r="AF518" s="605">
        <v>587</v>
      </c>
      <c r="AG518" s="605">
        <v>503</v>
      </c>
      <c r="AH518" s="605">
        <v>620</v>
      </c>
      <c r="AI518" s="605">
        <v>676</v>
      </c>
      <c r="AJ518" s="605">
        <v>666</v>
      </c>
      <c r="AK518" s="605">
        <v>621</v>
      </c>
      <c r="AL518" s="605">
        <v>702</v>
      </c>
      <c r="AM518" s="605">
        <v>663</v>
      </c>
      <c r="AN518" s="605">
        <v>711</v>
      </c>
      <c r="AO518" s="605">
        <v>738</v>
      </c>
      <c r="AP518" s="605">
        <v>687</v>
      </c>
      <c r="AQ518" s="605">
        <v>701</v>
      </c>
      <c r="AR518" s="605">
        <v>728</v>
      </c>
      <c r="AS518" s="605">
        <v>706</v>
      </c>
      <c r="AT518" s="605">
        <v>774</v>
      </c>
      <c r="AU518" s="605">
        <v>806</v>
      </c>
      <c r="AV518" s="605">
        <v>800</v>
      </c>
      <c r="AW518" s="605">
        <v>846</v>
      </c>
      <c r="AX518" s="605">
        <v>741</v>
      </c>
      <c r="AY518" s="605">
        <v>762</v>
      </c>
      <c r="AZ518" s="605">
        <v>802</v>
      </c>
      <c r="BA518" s="605">
        <v>818</v>
      </c>
      <c r="BB518" s="605">
        <v>893</v>
      </c>
      <c r="BC518" s="605">
        <v>884</v>
      </c>
      <c r="BD518" s="605">
        <v>832</v>
      </c>
      <c r="BE518" s="605">
        <v>669</v>
      </c>
      <c r="BF518" s="605">
        <v>732</v>
      </c>
      <c r="BG518" s="605">
        <v>722</v>
      </c>
      <c r="BH518" s="605">
        <v>807</v>
      </c>
      <c r="BI518" s="605">
        <v>781</v>
      </c>
      <c r="BJ518" s="605">
        <v>815</v>
      </c>
      <c r="BK518" s="605">
        <v>842</v>
      </c>
      <c r="BL518" s="605">
        <v>880</v>
      </c>
      <c r="BM518" s="605">
        <v>853</v>
      </c>
      <c r="BN518" s="605">
        <v>916</v>
      </c>
      <c r="BO518" s="605">
        <v>871</v>
      </c>
      <c r="BP518" s="605">
        <v>920</v>
      </c>
      <c r="BQ518" s="605">
        <v>867</v>
      </c>
      <c r="BR518" s="605">
        <v>906</v>
      </c>
      <c r="BS518" s="605">
        <v>932</v>
      </c>
      <c r="BT518" s="605">
        <v>907</v>
      </c>
      <c r="BU518" s="605">
        <v>934</v>
      </c>
      <c r="BV518" s="605">
        <v>904</v>
      </c>
      <c r="BW518" s="605">
        <v>828</v>
      </c>
      <c r="BX518" s="605">
        <v>857</v>
      </c>
      <c r="BY518" s="605">
        <v>763</v>
      </c>
      <c r="BZ518" s="605">
        <v>786</v>
      </c>
      <c r="CA518" s="605">
        <v>761</v>
      </c>
      <c r="CB518" s="605">
        <v>745</v>
      </c>
      <c r="CC518" s="605">
        <v>753</v>
      </c>
      <c r="CD518" s="605">
        <v>754</v>
      </c>
      <c r="CE518" s="605">
        <v>696</v>
      </c>
      <c r="CF518" s="605">
        <v>706</v>
      </c>
      <c r="CG518" s="605">
        <v>707</v>
      </c>
      <c r="CH518" s="605">
        <v>714</v>
      </c>
      <c r="CI518" s="605">
        <v>737</v>
      </c>
      <c r="CJ518" s="605">
        <v>775</v>
      </c>
      <c r="CK518" s="605">
        <v>562</v>
      </c>
      <c r="CL518" s="605">
        <v>555</v>
      </c>
      <c r="CM518" s="605">
        <v>563</v>
      </c>
      <c r="CN518" s="605">
        <v>468</v>
      </c>
      <c r="CO518" s="605">
        <v>410</v>
      </c>
      <c r="CP518" s="605">
        <v>391</v>
      </c>
      <c r="CQ518" s="605">
        <v>349</v>
      </c>
      <c r="CR518" s="605">
        <v>336</v>
      </c>
      <c r="CS518" s="605">
        <v>307</v>
      </c>
      <c r="CT518" s="605">
        <v>239</v>
      </c>
      <c r="CU518" s="605">
        <v>231</v>
      </c>
      <c r="CV518" s="605">
        <v>180</v>
      </c>
      <c r="CW518" s="605">
        <v>170</v>
      </c>
      <c r="CX518" s="605">
        <v>135</v>
      </c>
      <c r="CY518" s="605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61</v>
      </c>
      <c r="B519" s="1" t="s">
        <v>580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605">
        <v>673</v>
      </c>
      <c r="N519" s="605">
        <v>647</v>
      </c>
      <c r="O519" s="605">
        <v>740</v>
      </c>
      <c r="P519" s="605">
        <v>723</v>
      </c>
      <c r="Q519" s="605">
        <v>730</v>
      </c>
      <c r="R519" s="605">
        <v>761</v>
      </c>
      <c r="S519" s="605">
        <v>793</v>
      </c>
      <c r="T519" s="605">
        <v>761</v>
      </c>
      <c r="U519" s="605">
        <v>814</v>
      </c>
      <c r="V519" s="605">
        <v>862</v>
      </c>
      <c r="W519" s="605">
        <v>831</v>
      </c>
      <c r="X519" s="605">
        <v>858</v>
      </c>
      <c r="Y519" s="605">
        <v>859</v>
      </c>
      <c r="Z519" s="605">
        <v>879</v>
      </c>
      <c r="AA519" s="605">
        <v>845</v>
      </c>
      <c r="AB519" s="605">
        <v>853</v>
      </c>
      <c r="AC519" s="605">
        <v>831</v>
      </c>
      <c r="AD519" s="605">
        <v>839</v>
      </c>
      <c r="AE519" s="605">
        <v>753</v>
      </c>
      <c r="AF519" s="605">
        <v>630</v>
      </c>
      <c r="AG519" s="605">
        <v>619</v>
      </c>
      <c r="AH519" s="605">
        <v>629</v>
      </c>
      <c r="AI519" s="605">
        <v>670</v>
      </c>
      <c r="AJ519" s="605">
        <v>758</v>
      </c>
      <c r="AK519" s="605">
        <v>790</v>
      </c>
      <c r="AL519" s="605">
        <v>832</v>
      </c>
      <c r="AM519" s="605">
        <v>753</v>
      </c>
      <c r="AN519" s="605">
        <v>823</v>
      </c>
      <c r="AO519" s="605">
        <v>819</v>
      </c>
      <c r="AP519" s="605">
        <v>821</v>
      </c>
      <c r="AQ519" s="605">
        <v>786</v>
      </c>
      <c r="AR519" s="605">
        <v>853</v>
      </c>
      <c r="AS519" s="605">
        <v>859</v>
      </c>
      <c r="AT519" s="605">
        <v>835</v>
      </c>
      <c r="AU519" s="605">
        <v>874</v>
      </c>
      <c r="AV519" s="605">
        <v>850</v>
      </c>
      <c r="AW519" s="605">
        <v>902</v>
      </c>
      <c r="AX519" s="605">
        <v>921</v>
      </c>
      <c r="AY519" s="605">
        <v>825</v>
      </c>
      <c r="AZ519" s="605">
        <v>847</v>
      </c>
      <c r="BA519" s="605">
        <v>842</v>
      </c>
      <c r="BB519" s="605">
        <v>901</v>
      </c>
      <c r="BC519" s="605">
        <v>918</v>
      </c>
      <c r="BD519" s="605">
        <v>874</v>
      </c>
      <c r="BE519" s="605">
        <v>746</v>
      </c>
      <c r="BF519" s="605">
        <v>759</v>
      </c>
      <c r="BG519" s="605">
        <v>795</v>
      </c>
      <c r="BH519" s="605">
        <v>790</v>
      </c>
      <c r="BI519" s="605">
        <v>799</v>
      </c>
      <c r="BJ519" s="605">
        <v>915</v>
      </c>
      <c r="BK519" s="605">
        <v>955</v>
      </c>
      <c r="BL519" s="605">
        <v>1013</v>
      </c>
      <c r="BM519" s="605">
        <v>995</v>
      </c>
      <c r="BN519" s="605">
        <v>1003</v>
      </c>
      <c r="BO519" s="605">
        <v>969</v>
      </c>
      <c r="BP519" s="605">
        <v>960</v>
      </c>
      <c r="BQ519" s="605">
        <v>1007</v>
      </c>
      <c r="BR519" s="605">
        <v>986</v>
      </c>
      <c r="BS519" s="605">
        <v>968</v>
      </c>
      <c r="BT519" s="605">
        <v>965</v>
      </c>
      <c r="BU519" s="605">
        <v>916</v>
      </c>
      <c r="BV519" s="605">
        <v>884</v>
      </c>
      <c r="BW519" s="605">
        <v>833</v>
      </c>
      <c r="BX519" s="605">
        <v>743</v>
      </c>
      <c r="BY519" s="605">
        <v>790</v>
      </c>
      <c r="BZ519" s="605">
        <v>795</v>
      </c>
      <c r="CA519" s="605">
        <v>774</v>
      </c>
      <c r="CB519" s="605">
        <v>688</v>
      </c>
      <c r="CC519" s="605">
        <v>698</v>
      </c>
      <c r="CD519" s="605">
        <v>716</v>
      </c>
      <c r="CE519" s="605">
        <v>688</v>
      </c>
      <c r="CF519" s="605">
        <v>667</v>
      </c>
      <c r="CG519" s="605">
        <v>680</v>
      </c>
      <c r="CH519" s="605">
        <v>708</v>
      </c>
      <c r="CI519" s="605">
        <v>706</v>
      </c>
      <c r="CJ519" s="605">
        <v>754</v>
      </c>
      <c r="CK519" s="605">
        <v>572</v>
      </c>
      <c r="CL519" s="605">
        <v>512</v>
      </c>
      <c r="CM519" s="605">
        <v>519</v>
      </c>
      <c r="CN519" s="605">
        <v>494</v>
      </c>
      <c r="CO519" s="605">
        <v>429</v>
      </c>
      <c r="CP519" s="605">
        <v>357</v>
      </c>
      <c r="CQ519" s="605">
        <v>308</v>
      </c>
      <c r="CR519" s="605">
        <v>275</v>
      </c>
      <c r="CS519" s="605">
        <v>281</v>
      </c>
      <c r="CT519" s="605">
        <v>235</v>
      </c>
      <c r="CU519" s="605">
        <v>217</v>
      </c>
      <c r="CV519" s="605">
        <v>176</v>
      </c>
      <c r="CW519" s="605">
        <v>132</v>
      </c>
      <c r="CX519" s="605">
        <v>132</v>
      </c>
      <c r="CY519" s="605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ht="15" x14ac:dyDescent="0.25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">
      <c r="A521" s="31" t="s">
        <v>65</v>
      </c>
      <c r="B521" s="1" t="s">
        <v>581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65</v>
      </c>
      <c r="B522" s="1" t="s">
        <v>582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65</v>
      </c>
      <c r="B523" s="1" t="s">
        <v>583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65</v>
      </c>
      <c r="B524" s="1" t="s">
        <v>584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65</v>
      </c>
      <c r="B525" s="1" t="s">
        <v>585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65</v>
      </c>
      <c r="B526" s="1" t="s">
        <v>586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65</v>
      </c>
      <c r="B527" s="1" t="s">
        <v>587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65</v>
      </c>
      <c r="B528" s="1" t="s">
        <v>588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65</v>
      </c>
      <c r="B529" s="1" t="s">
        <v>589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65</v>
      </c>
      <c r="B530" s="1" t="s">
        <v>590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65</v>
      </c>
      <c r="B531" s="1" t="s">
        <v>591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ht="15" x14ac:dyDescent="0.25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625" t="s">
        <v>592</v>
      </c>
      <c r="B535" s="626"/>
      <c r="C535" s="627"/>
      <c r="D535" s="628"/>
      <c r="E535" s="628"/>
      <c r="F535" s="628"/>
      <c r="G535" s="629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630" t="s">
        <v>593</v>
      </c>
      <c r="E537" s="631" t="s">
        <v>594</v>
      </c>
      <c r="F537" s="630" t="s">
        <v>595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632" t="s">
        <v>596</v>
      </c>
      <c r="E538" s="633" t="s">
        <v>597</v>
      </c>
      <c r="F538" s="632" t="s">
        <v>598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632" t="s">
        <v>599</v>
      </c>
      <c r="E539" s="633" t="s">
        <v>600</v>
      </c>
      <c r="F539" s="632" t="s">
        <v>601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602</v>
      </c>
      <c r="D540" s="634">
        <v>60238038</v>
      </c>
      <c r="E540" s="635"/>
      <c r="F540" s="636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637" t="s">
        <v>603</v>
      </c>
      <c r="D541" s="638"/>
      <c r="E541" s="639">
        <v>60856434</v>
      </c>
      <c r="F541" s="634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637" t="s">
        <v>604</v>
      </c>
      <c r="D542" s="638"/>
      <c r="E542" s="640">
        <f>(E541-D540)/D540</f>
        <v>1.0265872205200309E-2</v>
      </c>
      <c r="F542" s="641">
        <f>(F541-D540)/D540</f>
        <v>2.0553358660187437E-2</v>
      </c>
      <c r="G542" s="642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637" t="s">
        <v>605</v>
      </c>
      <c r="D543" s="638"/>
      <c r="E543" s="643"/>
      <c r="F543" s="634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637" t="s">
        <v>606</v>
      </c>
      <c r="D544" s="638"/>
      <c r="E544" s="643"/>
      <c r="F544" s="634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621"/>
      <c r="B547" s="622"/>
      <c r="C547" s="21" t="s">
        <v>607</v>
      </c>
      <c r="D547" s="139" t="s">
        <v>608</v>
      </c>
      <c r="E547" s="139" t="s">
        <v>609</v>
      </c>
      <c r="F547" s="139" t="s">
        <v>610</v>
      </c>
      <c r="G547" s="139" t="s">
        <v>611</v>
      </c>
      <c r="H547" s="139" t="s">
        <v>612</v>
      </c>
      <c r="I547" s="139" t="s">
        <v>613</v>
      </c>
      <c r="J547" s="539" t="s">
        <v>614</v>
      </c>
      <c r="K547" s="542" t="s">
        <v>615</v>
      </c>
      <c r="L547" s="342" t="s">
        <v>616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623" t="s">
        <v>617</v>
      </c>
      <c r="C548" s="21" t="s">
        <v>618</v>
      </c>
      <c r="D548" s="856" t="s">
        <v>619</v>
      </c>
      <c r="E548" s="857"/>
      <c r="F548" s="857"/>
      <c r="G548" s="857"/>
      <c r="H548" s="857"/>
      <c r="I548" s="858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623" t="s">
        <v>617</v>
      </c>
      <c r="B549" s="11">
        <v>0</v>
      </c>
      <c r="C549" s="138" t="s">
        <v>620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623" t="s">
        <v>617</v>
      </c>
      <c r="B550" s="11">
        <v>1</v>
      </c>
      <c r="C550" s="138" t="s">
        <v>621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40">
        <f>(I550-100%)/5</f>
        <v>7.0239064487661821E-3</v>
      </c>
      <c r="K550" s="543">
        <f t="shared" ref="K550:K563" si="144">(I550/100%)^(1/5)-1</f>
        <v>6.9272652964273984E-3</v>
      </c>
      <c r="L550" s="538">
        <v>6.9272652964273984E-3</v>
      </c>
      <c r="M550" s="534"/>
      <c r="N550" s="534"/>
      <c r="O550" s="535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623" t="s">
        <v>617</v>
      </c>
      <c r="B551" s="11">
        <v>2</v>
      </c>
      <c r="C551" s="138" t="s">
        <v>622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40">
        <f t="shared" ref="J551:J563" si="145">(I551-100%)/5</f>
        <v>-1.6639975996230218E-2</v>
      </c>
      <c r="K551" s="543">
        <f t="shared" si="144"/>
        <v>-1.7223117235316776E-2</v>
      </c>
      <c r="L551" s="538">
        <v>-1.7223117235316776E-2</v>
      </c>
      <c r="M551" s="534"/>
      <c r="N551" s="534"/>
      <c r="O551" s="535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623" t="s">
        <v>617</v>
      </c>
      <c r="B552" s="11">
        <v>3</v>
      </c>
      <c r="C552" s="138" t="s">
        <v>623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40">
        <f t="shared" si="145"/>
        <v>2.4561450496655989E-2</v>
      </c>
      <c r="K552" s="543">
        <f t="shared" si="144"/>
        <v>2.3436830336478032E-2</v>
      </c>
      <c r="L552" s="538">
        <v>2.3436830336478032E-2</v>
      </c>
      <c r="M552" s="534"/>
      <c r="N552" s="534"/>
      <c r="O552" s="535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623" t="s">
        <v>617</v>
      </c>
      <c r="B553" s="11">
        <v>4</v>
      </c>
      <c r="C553" s="138" t="s">
        <v>624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40">
        <f t="shared" si="145"/>
        <v>-3.2900402961513866E-3</v>
      </c>
      <c r="K553" s="543">
        <f t="shared" si="144"/>
        <v>-3.3119051937137156E-3</v>
      </c>
      <c r="L553" s="538">
        <v>-3.3119051937137156E-3</v>
      </c>
      <c r="M553" s="534"/>
      <c r="N553" s="534"/>
      <c r="O553" s="535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623" t="s">
        <v>617</v>
      </c>
      <c r="B554" s="11">
        <v>5</v>
      </c>
      <c r="C554" s="138" t="s">
        <v>625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40">
        <f t="shared" si="145"/>
        <v>1.2116163934465796E-4</v>
      </c>
      <c r="K554" s="543">
        <f t="shared" si="144"/>
        <v>1.2113228972654433E-4</v>
      </c>
      <c r="L554" s="538">
        <v>1.2113228972654433E-4</v>
      </c>
      <c r="M554" s="534"/>
      <c r="N554" s="534"/>
      <c r="O554" s="535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623" t="s">
        <v>617</v>
      </c>
      <c r="B555" s="11">
        <v>6</v>
      </c>
      <c r="C555" s="532" t="s">
        <v>626</v>
      </c>
      <c r="D555" s="533"/>
      <c r="E555" s="533">
        <v>1.0123419501207302</v>
      </c>
      <c r="F555" s="533">
        <v>1.0224746276334522</v>
      </c>
      <c r="G555" s="533">
        <v>1.0318096590054313</v>
      </c>
      <c r="H555" s="533">
        <v>1.040568100689119</v>
      </c>
      <c r="I555" s="533">
        <v>1.0491476885800255</v>
      </c>
      <c r="J555" s="550">
        <f t="shared" si="145"/>
        <v>9.8295377160050983E-3</v>
      </c>
      <c r="K555" s="551">
        <f t="shared" si="144"/>
        <v>9.641807463928842E-3</v>
      </c>
      <c r="L555" s="624">
        <v>9.6418074639288403E-3</v>
      </c>
      <c r="M555" s="534"/>
      <c r="N555" s="534"/>
      <c r="O555" s="535"/>
      <c r="P555" s="13"/>
      <c r="Q555" s="536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623" t="s">
        <v>617</v>
      </c>
      <c r="B556" s="11">
        <v>7</v>
      </c>
      <c r="C556" s="138" t="s">
        <v>627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40">
        <f t="shared" si="145"/>
        <v>1.4109286979692959E-2</v>
      </c>
      <c r="K556" s="543">
        <f t="shared" si="144"/>
        <v>1.372720562144969E-2</v>
      </c>
      <c r="L556" s="538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623" t="s">
        <v>617</v>
      </c>
      <c r="B557" s="11">
        <v>8</v>
      </c>
      <c r="C557" s="138" t="s">
        <v>628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40">
        <f t="shared" si="145"/>
        <v>1.544722025999028E-2</v>
      </c>
      <c r="K557" s="543">
        <f t="shared" si="144"/>
        <v>1.4990973227517745E-2</v>
      </c>
      <c r="L557" s="538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623" t="s">
        <v>617</v>
      </c>
      <c r="B558" s="11">
        <v>9</v>
      </c>
      <c r="C558" s="138" t="s">
        <v>629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40">
        <f t="shared" si="145"/>
        <v>1.3936381421862798E-2</v>
      </c>
      <c r="K558" s="543">
        <f t="shared" si="144"/>
        <v>1.3563424108683053E-2</v>
      </c>
      <c r="L558" s="538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623" t="s">
        <v>617</v>
      </c>
      <c r="B559" s="11">
        <v>10</v>
      </c>
      <c r="C559" s="138" t="s">
        <v>630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40">
        <f t="shared" si="145"/>
        <v>1.5948429222628447E-2</v>
      </c>
      <c r="K559" s="543">
        <f t="shared" si="144"/>
        <v>1.5462782371323147E-2</v>
      </c>
      <c r="L559" s="538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623" t="s">
        <v>617</v>
      </c>
      <c r="B560" s="11">
        <v>11</v>
      </c>
      <c r="C560" s="138" t="s">
        <v>631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40">
        <f t="shared" si="145"/>
        <v>1.4026175814113495E-2</v>
      </c>
      <c r="K560" s="543">
        <f t="shared" si="144"/>
        <v>1.364849335671825E-2</v>
      </c>
      <c r="L560" s="538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623" t="s">
        <v>617</v>
      </c>
      <c r="B561" s="11">
        <v>12</v>
      </c>
      <c r="C561" s="138" t="s">
        <v>632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40">
        <f t="shared" si="145"/>
        <v>1.5685467006668709E-2</v>
      </c>
      <c r="K561" s="543">
        <f t="shared" si="144"/>
        <v>1.5215354312122953E-2</v>
      </c>
      <c r="L561" s="538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623" t="s">
        <v>617</v>
      </c>
      <c r="B562" s="11">
        <v>13</v>
      </c>
      <c r="C562" s="138" t="s">
        <v>633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40">
        <f t="shared" si="145"/>
        <v>2.9868018047315557E-2</v>
      </c>
      <c r="K562" s="543">
        <f t="shared" si="144"/>
        <v>2.8228674820024224E-2</v>
      </c>
      <c r="L562" s="538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407">
        <v>14</v>
      </c>
      <c r="C563" s="138" t="s">
        <v>634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40">
        <f t="shared" si="145"/>
        <v>6.5994827799972008E-3</v>
      </c>
      <c r="K563" s="543">
        <f t="shared" si="144"/>
        <v>6.5140621434043311E-3</v>
      </c>
      <c r="L563" s="538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8"/>
      <c r="D564" s="142"/>
      <c r="E564" s="142"/>
      <c r="F564" s="142"/>
      <c r="G564" s="142"/>
      <c r="H564" s="142"/>
      <c r="I564" s="142"/>
      <c r="J564" s="541" t="s">
        <v>635</v>
      </c>
      <c r="K564" s="6"/>
      <c r="L564" s="341" t="s">
        <v>636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341" t="s">
        <v>637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341" t="s">
        <v>638</v>
      </c>
      <c r="M566" s="13"/>
      <c r="N566" s="13"/>
      <c r="O566" s="13"/>
      <c r="P566" s="13"/>
      <c r="Q566" s="13"/>
      <c r="R566" s="537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552" t="s">
        <v>639</v>
      </c>
      <c r="E567" s="15"/>
      <c r="L567" s="341" t="s">
        <v>640</v>
      </c>
      <c r="M567" s="13"/>
      <c r="N567" s="13"/>
      <c r="O567" s="13"/>
      <c r="P567" s="13"/>
      <c r="Q567" s="13"/>
      <c r="R567" s="537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341" t="s">
        <v>641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341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341" t="s">
        <v>642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341" t="s">
        <v>643</v>
      </c>
      <c r="M571" s="13"/>
      <c r="N571" s="13"/>
      <c r="O571" s="645"/>
      <c r="P571" s="646" t="s">
        <v>644</v>
      </c>
      <c r="Q571" s="647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650" t="s">
        <v>614</v>
      </c>
      <c r="P572" s="650" t="s">
        <v>615</v>
      </c>
      <c r="Q572" s="651" t="s">
        <v>645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621"/>
      <c r="B573" s="622"/>
      <c r="C573" s="138" t="s">
        <v>621</v>
      </c>
      <c r="D573" s="644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40">
        <f>(N573-100%)/10</f>
        <v>6.0996339197137541E-3</v>
      </c>
      <c r="P573" s="543">
        <f>(N573/100%)^(1/10)-1</f>
        <v>5.9384037531065026E-3</v>
      </c>
      <c r="Q573" s="648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623" t="s">
        <v>646</v>
      </c>
      <c r="C574" s="138" t="s">
        <v>622</v>
      </c>
      <c r="D574" s="644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40">
        <f t="shared" ref="O574:O586" si="146">(N574-100%)/10</f>
        <v>-6.0280923298853817E-3</v>
      </c>
      <c r="P574" s="543">
        <f t="shared" ref="P574:P586" si="147">(N574/100%)^(1/10)-1</f>
        <v>-6.1981420710855994E-3</v>
      </c>
      <c r="Q574" s="648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623" t="s">
        <v>646</v>
      </c>
      <c r="C575" s="138" t="s">
        <v>623</v>
      </c>
      <c r="D575" s="644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40">
        <f t="shared" si="146"/>
        <v>1.5087615236704566E-2</v>
      </c>
      <c r="P575" s="543">
        <f t="shared" si="147"/>
        <v>1.4151550808456648E-2</v>
      </c>
      <c r="Q575" s="648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623" t="s">
        <v>646</v>
      </c>
      <c r="C576" s="138" t="s">
        <v>624</v>
      </c>
      <c r="D576" s="644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40">
        <f t="shared" si="146"/>
        <v>8.1374209845206378E-4</v>
      </c>
      <c r="P576" s="543">
        <f t="shared" si="147"/>
        <v>8.1077757246905691E-4</v>
      </c>
      <c r="Q576" s="648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623" t="s">
        <v>646</v>
      </c>
      <c r="C577" s="138" t="s">
        <v>625</v>
      </c>
      <c r="D577" s="644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40">
        <f t="shared" si="146"/>
        <v>2.5619811438394092E-3</v>
      </c>
      <c r="P577" s="543">
        <f t="shared" si="147"/>
        <v>2.5329148145079028E-3</v>
      </c>
      <c r="Q577" s="648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623" t="s">
        <v>646</v>
      </c>
      <c r="C578" s="532" t="s">
        <v>626</v>
      </c>
      <c r="D578" s="533"/>
      <c r="E578" s="533">
        <v>1.0123419501207302</v>
      </c>
      <c r="F578" s="533">
        <v>1.0224746276334522</v>
      </c>
      <c r="G578" s="533">
        <v>1.0318096590054313</v>
      </c>
      <c r="H578" s="533">
        <v>1.040568100689119</v>
      </c>
      <c r="I578" s="533">
        <v>1.0491476885800255</v>
      </c>
      <c r="J578" s="533">
        <v>1.0546473961073131</v>
      </c>
      <c r="K578" s="533">
        <v>1.0600156863772707</v>
      </c>
      <c r="L578" s="533">
        <v>1.0652587749595908</v>
      </c>
      <c r="M578" s="533">
        <v>1.0703773048442411</v>
      </c>
      <c r="N578" s="533">
        <v>1.0753751834317971</v>
      </c>
      <c r="O578" s="550">
        <f t="shared" si="146"/>
        <v>7.5375183431797051E-3</v>
      </c>
      <c r="P578" s="551">
        <f t="shared" si="147"/>
        <v>7.2934292896156272E-3</v>
      </c>
      <c r="Q578" s="551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623" t="s">
        <v>646</v>
      </c>
      <c r="C579" s="138" t="s">
        <v>627</v>
      </c>
      <c r="D579" s="644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40">
        <f t="shared" si="146"/>
        <v>9.7308873986410305E-3</v>
      </c>
      <c r="P579" s="543">
        <f t="shared" si="147"/>
        <v>9.3293197294876951E-3</v>
      </c>
      <c r="Q579" s="648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623" t="s">
        <v>646</v>
      </c>
      <c r="C580" s="138" t="s">
        <v>628</v>
      </c>
      <c r="D580" s="644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40">
        <f t="shared" si="146"/>
        <v>1.0416577441320607E-2</v>
      </c>
      <c r="P580" s="543">
        <f t="shared" si="147"/>
        <v>9.95826625164975E-3</v>
      </c>
      <c r="Q580" s="648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623" t="s">
        <v>646</v>
      </c>
      <c r="C581" s="138" t="s">
        <v>629</v>
      </c>
      <c r="D581" s="644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40">
        <f t="shared" si="146"/>
        <v>9.64227339891921E-3</v>
      </c>
      <c r="P581" s="543">
        <f t="shared" si="147"/>
        <v>9.2477809488915597E-3</v>
      </c>
      <c r="Q581" s="648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623" t="s">
        <v>646</v>
      </c>
      <c r="C582" s="138" t="s">
        <v>630</v>
      </c>
      <c r="D582" s="644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40">
        <f t="shared" si="146"/>
        <v>1.0673446748664817E-2</v>
      </c>
      <c r="P582" s="543">
        <f t="shared" si="147"/>
        <v>1.0192973847719333E-2</v>
      </c>
      <c r="Q582" s="648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623" t="s">
        <v>646</v>
      </c>
      <c r="C583" s="138" t="s">
        <v>631</v>
      </c>
      <c r="D583" s="644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40">
        <f t="shared" si="146"/>
        <v>9.6882929737077683E-3</v>
      </c>
      <c r="P583" s="543">
        <f t="shared" si="147"/>
        <v>9.2901335764377091E-3</v>
      </c>
      <c r="Q583" s="648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623" t="s">
        <v>646</v>
      </c>
      <c r="C584" s="138" t="s">
        <v>632</v>
      </c>
      <c r="D584" s="644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40">
        <f t="shared" si="146"/>
        <v>1.0538678763041154E-2</v>
      </c>
      <c r="P584" s="543">
        <f t="shared" si="147"/>
        <v>1.0069894342066732E-2</v>
      </c>
      <c r="Q584" s="648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623" t="s">
        <v>646</v>
      </c>
      <c r="C585" s="138" t="s">
        <v>633</v>
      </c>
      <c r="D585" s="644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40">
        <f t="shared" si="146"/>
        <v>1.7807228078299507E-2</v>
      </c>
      <c r="P585" s="543">
        <f t="shared" si="147"/>
        <v>1.6522963134986579E-2</v>
      </c>
      <c r="Q585" s="648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407"/>
      <c r="C586" s="138" t="s">
        <v>634</v>
      </c>
      <c r="D586" s="644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40">
        <f t="shared" si="146"/>
        <v>5.8821170316610384E-3</v>
      </c>
      <c r="P586" s="543">
        <f t="shared" si="147"/>
        <v>5.7319838926312983E-3</v>
      </c>
      <c r="Q586" s="648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541" t="s">
        <v>635</v>
      </c>
      <c r="P587" s="541" t="s">
        <v>635</v>
      </c>
      <c r="Q587" s="649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541" t="s">
        <v>647</v>
      </c>
      <c r="P588" s="541" t="s">
        <v>647</v>
      </c>
      <c r="Q588" s="649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649" t="s">
        <v>642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649" t="s">
        <v>643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Y138"/>
  <sheetViews>
    <sheetView showGridLines="0" zoomScale="70" zoomScaleNormal="70" workbookViewId="0">
      <selection activeCell="J83" sqref="J83"/>
    </sheetView>
  </sheetViews>
  <sheetFormatPr defaultRowHeight="15" x14ac:dyDescent="0.25"/>
  <cols>
    <col min="1" max="1" width="2.42578125" customWidth="1"/>
    <col min="2" max="2" width="5.85546875" customWidth="1"/>
    <col min="3" max="3" width="41.140625" customWidth="1"/>
    <col min="4" max="4" width="34.5703125" customWidth="1"/>
    <col min="5" max="5" width="13.5703125" customWidth="1"/>
    <col min="6" max="6" width="13.140625" customWidth="1"/>
    <col min="7" max="18" width="13.42578125" customWidth="1"/>
    <col min="19" max="19" width="3.42578125" customWidth="1"/>
  </cols>
  <sheetData>
    <row r="1" spans="2:24" ht="30" customHeight="1" x14ac:dyDescent="0.25">
      <c r="B1" s="577" t="s">
        <v>1154</v>
      </c>
    </row>
    <row r="2" spans="2:24" ht="30" customHeight="1" x14ac:dyDescent="0.25">
      <c r="B2" s="155" t="s">
        <v>648</v>
      </c>
      <c r="C2" s="155"/>
      <c r="D2" s="154"/>
      <c r="E2" s="171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4" spans="2:24" x14ac:dyDescent="0.25">
      <c r="B4" s="156" t="s">
        <v>649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157"/>
    </row>
    <row r="5" spans="2:24" x14ac:dyDescent="0.25">
      <c r="B5" s="160"/>
      <c r="C5" t="s">
        <v>650</v>
      </c>
      <c r="S5" s="159"/>
    </row>
    <row r="6" spans="2:24" x14ac:dyDescent="0.25">
      <c r="B6" s="160"/>
      <c r="C6" t="s">
        <v>651</v>
      </c>
      <c r="S6" s="159"/>
    </row>
    <row r="7" spans="2:24" x14ac:dyDescent="0.25">
      <c r="B7" s="160"/>
      <c r="C7" t="s">
        <v>652</v>
      </c>
      <c r="S7" s="159"/>
    </row>
    <row r="8" spans="2:24" x14ac:dyDescent="0.2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59"/>
    </row>
    <row r="9" spans="2:24" x14ac:dyDescent="0.25">
      <c r="S9" s="196"/>
    </row>
    <row r="10" spans="2:24" x14ac:dyDescent="0.25">
      <c r="B10" s="156" t="s">
        <v>653</v>
      </c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159"/>
    </row>
    <row r="11" spans="2:24" x14ac:dyDescent="0.25">
      <c r="B11" s="158"/>
      <c r="C11" t="s">
        <v>654</v>
      </c>
      <c r="E11" s="150" t="s">
        <v>48</v>
      </c>
      <c r="S11" s="159"/>
    </row>
    <row r="12" spans="2:24" x14ac:dyDescent="0.25">
      <c r="B12" s="158"/>
      <c r="C12" t="s">
        <v>68</v>
      </c>
      <c r="E12" s="150" t="s">
        <v>89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9"/>
    </row>
    <row r="13" spans="2:24" x14ac:dyDescent="0.25">
      <c r="B13" s="158"/>
      <c r="E13" s="652"/>
      <c r="G13" s="659">
        <f>2.05533586601874%</f>
        <v>2.0553358660187402E-2</v>
      </c>
      <c r="H13" t="s">
        <v>655</v>
      </c>
      <c r="S13" s="159"/>
    </row>
    <row r="14" spans="2:24" x14ac:dyDescent="0.25">
      <c r="B14" s="158"/>
      <c r="C14" s="148"/>
      <c r="G14" s="128">
        <f>(100%+G13)*G12</f>
        <v>46148904.437507473</v>
      </c>
      <c r="H14" t="s">
        <v>656</v>
      </c>
      <c r="S14" s="159"/>
    </row>
    <row r="15" spans="2:24" x14ac:dyDescent="0.25">
      <c r="B15" s="160"/>
      <c r="C15" t="s">
        <v>657</v>
      </c>
      <c r="E15" s="660" t="s">
        <v>46</v>
      </c>
      <c r="F15" s="170" t="str">
        <f>IF(E15="yes","","If no, enter current locality population below")</f>
        <v/>
      </c>
      <c r="S15" s="159"/>
    </row>
    <row r="16" spans="2:24" x14ac:dyDescent="0.25">
      <c r="B16" s="160"/>
      <c r="F16" s="170" t="str">
        <f>IF(AND(NOT(ISBLANK(E17)),E15="yes"),"error - change cell above to 'no'","")</f>
        <v/>
      </c>
      <c r="S16" s="159"/>
    </row>
    <row r="17" spans="2:25" x14ac:dyDescent="0.25">
      <c r="B17" s="160"/>
      <c r="C17" t="str">
        <f>"Manually entered current locality population "&amp;IF(E15="no","","(n/a)")</f>
        <v>Manually entered current locality population (n/a)</v>
      </c>
      <c r="E17" s="661"/>
      <c r="F17" s="717" t="str">
        <f>IF(E15="yes","Leave blue cell on left blank if NICE estimate is used","")</f>
        <v>Leave blue cell on left blank if NICE estimate is used</v>
      </c>
      <c r="S17" s="159"/>
    </row>
    <row r="18" spans="2:25" x14ac:dyDescent="0.25">
      <c r="B18" s="160"/>
      <c r="F18" s="170" t="str">
        <f>IF(AND(ISBLANK(E17),E15="no"),"error - enter current locality population above","")</f>
        <v/>
      </c>
      <c r="S18" s="159"/>
    </row>
    <row r="19" spans="2:25" x14ac:dyDescent="0.25">
      <c r="B19" s="160"/>
      <c r="C19" t="s">
        <v>658</v>
      </c>
      <c r="D19" s="152"/>
      <c r="E19" s="659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9"/>
    </row>
    <row r="20" spans="2:25" x14ac:dyDescent="0.25">
      <c r="B20" s="160"/>
      <c r="C20" t="s">
        <v>659</v>
      </c>
      <c r="D20" s="152"/>
      <c r="E20" s="659">
        <v>1.2E-2</v>
      </c>
      <c r="F20" t="str">
        <f>IF(E20=0,"Enter local value or delete the NICE assumption if required","Local value")</f>
        <v>Local value</v>
      </c>
      <c r="S20" s="159"/>
    </row>
    <row r="21" spans="2:25" x14ac:dyDescent="0.25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3"/>
    </row>
    <row r="23" spans="2:25" x14ac:dyDescent="0.25">
      <c r="B23" s="156" t="s">
        <v>660</v>
      </c>
      <c r="C23" s="331"/>
      <c r="D23" s="331"/>
      <c r="E23" s="196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157"/>
    </row>
    <row r="24" spans="2:25" ht="84.95" customHeight="1" x14ac:dyDescent="0.25">
      <c r="B24" s="158"/>
      <c r="C24" s="866"/>
      <c r="D24" s="867"/>
      <c r="F24" s="238"/>
      <c r="G24" s="165"/>
      <c r="H24" s="226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  <c r="W24" s="410"/>
      <c r="X24" s="227"/>
    </row>
    <row r="25" spans="2:25" x14ac:dyDescent="0.25">
      <c r="B25" s="158"/>
      <c r="C25" s="237" t="s">
        <v>662</v>
      </c>
      <c r="D25" s="240"/>
      <c r="E25" s="168"/>
      <c r="F25" s="128">
        <f>IF(ISBLANK(E17),G14,'Population selection'!F16)</f>
        <v>46148904.437507473</v>
      </c>
      <c r="G25" s="239"/>
      <c r="H25" s="236" t="s">
        <v>663</v>
      </c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68"/>
    </row>
    <row r="26" spans="2:25" x14ac:dyDescent="0.25">
      <c r="B26" s="158"/>
      <c r="C26" s="653" t="s">
        <v>664</v>
      </c>
      <c r="D26" s="241"/>
      <c r="E26" s="168"/>
      <c r="F26" s="206"/>
      <c r="G26" s="128">
        <f>K49</f>
        <v>48417016.421111427</v>
      </c>
      <c r="H26" s="236" t="s">
        <v>663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3"/>
    </row>
    <row r="27" spans="2:25" ht="24.95" customHeight="1" x14ac:dyDescent="0.25">
      <c r="B27" s="160"/>
      <c r="C27" s="167" t="s">
        <v>1033</v>
      </c>
      <c r="D27" s="168"/>
      <c r="E27" s="659">
        <v>7.6100000000000001E-2</v>
      </c>
      <c r="F27" s="662">
        <f>F25*E27</f>
        <v>3511931.6276943185</v>
      </c>
      <c r="G27" s="662">
        <f>F49*K47*K48*E27</f>
        <v>3910976.8286462091</v>
      </c>
      <c r="H27" s="865" t="s">
        <v>1158</v>
      </c>
      <c r="I27" s="860" t="s">
        <v>1034</v>
      </c>
      <c r="J27" s="860" t="s">
        <v>1034</v>
      </c>
      <c r="K27" s="860" t="s">
        <v>1034</v>
      </c>
      <c r="L27" s="860" t="s">
        <v>1034</v>
      </c>
      <c r="M27" s="860" t="s">
        <v>1034</v>
      </c>
      <c r="N27" s="860" t="s">
        <v>1034</v>
      </c>
      <c r="O27" s="860" t="s">
        <v>1034</v>
      </c>
      <c r="P27" s="860" t="s">
        <v>1034</v>
      </c>
      <c r="Q27" s="860" t="s">
        <v>1034</v>
      </c>
      <c r="R27" s="196"/>
      <c r="S27" s="196"/>
      <c r="T27" s="196"/>
      <c r="U27" s="196"/>
      <c r="V27" s="196"/>
      <c r="W27" s="196"/>
      <c r="X27" s="168"/>
    </row>
    <row r="28" spans="2:25" ht="24.95" customHeight="1" x14ac:dyDescent="0.25">
      <c r="B28" s="160"/>
      <c r="C28" s="167" t="s">
        <v>1063</v>
      </c>
      <c r="D28" s="168"/>
      <c r="E28" s="659">
        <v>0.9</v>
      </c>
      <c r="F28" s="662">
        <f>F27*E28</f>
        <v>3160738.4649248868</v>
      </c>
      <c r="G28" s="662">
        <f>G27*E28</f>
        <v>3519879.1457815883</v>
      </c>
      <c r="H28" s="865" t="s">
        <v>1064</v>
      </c>
      <c r="I28" s="859"/>
      <c r="J28" s="859"/>
      <c r="K28" s="859"/>
      <c r="L28" s="859"/>
      <c r="M28" s="859"/>
      <c r="N28" s="859"/>
      <c r="O28" s="859"/>
      <c r="P28" s="859"/>
      <c r="Q28" s="859"/>
      <c r="R28" s="859"/>
      <c r="S28" s="860"/>
      <c r="T28" s="860"/>
      <c r="U28" s="860"/>
      <c r="V28" s="860"/>
      <c r="W28" s="860"/>
      <c r="X28" s="860"/>
      <c r="Y28" s="160"/>
    </row>
    <row r="29" spans="2:25" ht="30" x14ac:dyDescent="0.25">
      <c r="B29" s="160"/>
      <c r="C29" s="167" t="s">
        <v>1062</v>
      </c>
      <c r="D29" s="168"/>
      <c r="E29" s="659">
        <v>0.32700000000000001</v>
      </c>
      <c r="F29" s="662">
        <f>F28*E29</f>
        <v>1033561.4780304381</v>
      </c>
      <c r="G29" s="662">
        <f>G28*E29</f>
        <v>1151000.4806705795</v>
      </c>
      <c r="H29" s="865" t="s">
        <v>1065</v>
      </c>
      <c r="I29" s="859"/>
      <c r="J29" s="859"/>
      <c r="K29" s="859"/>
      <c r="L29" s="859"/>
      <c r="M29" s="859"/>
      <c r="N29" s="859"/>
      <c r="O29" s="859"/>
      <c r="P29" s="859"/>
      <c r="Q29" s="859"/>
      <c r="R29" s="859"/>
      <c r="S29" s="860"/>
      <c r="T29" s="860"/>
      <c r="U29" s="860"/>
      <c r="V29" s="860"/>
      <c r="W29" s="860"/>
      <c r="X29" s="860"/>
      <c r="Y29" s="160"/>
    </row>
    <row r="30" spans="2:25" x14ac:dyDescent="0.25">
      <c r="B30" s="160"/>
      <c r="C30" s="225" t="s">
        <v>1073</v>
      </c>
      <c r="D30" s="196"/>
      <c r="E30" s="849"/>
      <c r="F30" s="181">
        <f>F29</f>
        <v>1033561.4780304381</v>
      </c>
      <c r="G30" s="181">
        <f>G29</f>
        <v>1151000.4806705795</v>
      </c>
      <c r="H30" s="845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68"/>
    </row>
    <row r="31" spans="2:25" x14ac:dyDescent="0.25">
      <c r="B31" s="160"/>
    </row>
    <row r="32" spans="2:25" ht="30" x14ac:dyDescent="0.25">
      <c r="B32" s="160"/>
      <c r="C32" s="167" t="s">
        <v>1074</v>
      </c>
      <c r="D32" s="168"/>
      <c r="E32" s="659">
        <v>7.3999999999999996E-2</v>
      </c>
      <c r="F32" s="662">
        <f>F27*E32</f>
        <v>259882.94044937956</v>
      </c>
      <c r="G32" s="662">
        <f>G27*E32</f>
        <v>289412.28531981946</v>
      </c>
      <c r="H32" s="865" t="s">
        <v>1076</v>
      </c>
      <c r="I32" s="859" t="s">
        <v>1076</v>
      </c>
      <c r="J32" s="859" t="s">
        <v>1076</v>
      </c>
      <c r="K32" s="859" t="s">
        <v>1076</v>
      </c>
      <c r="L32" s="859" t="s">
        <v>1076</v>
      </c>
      <c r="M32" s="859" t="s">
        <v>1076</v>
      </c>
      <c r="N32" s="859" t="s">
        <v>1076</v>
      </c>
      <c r="O32" s="859" t="s">
        <v>1076</v>
      </c>
      <c r="P32" s="859" t="s">
        <v>1076</v>
      </c>
      <c r="Q32" s="859" t="s">
        <v>1076</v>
      </c>
      <c r="R32" s="859"/>
      <c r="S32" s="860"/>
      <c r="T32" s="860"/>
      <c r="U32" s="860"/>
      <c r="V32" s="860"/>
      <c r="W32" s="860"/>
      <c r="X32" s="861"/>
    </row>
    <row r="33" spans="2:24" ht="30" x14ac:dyDescent="0.25">
      <c r="B33" s="160"/>
      <c r="C33" s="167" t="s">
        <v>1075</v>
      </c>
      <c r="D33" s="168"/>
      <c r="E33" s="659">
        <v>0.51</v>
      </c>
      <c r="F33" s="662">
        <f>F32*E33</f>
        <v>132540.29962918357</v>
      </c>
      <c r="G33" s="662">
        <f>G32*E33</f>
        <v>147600.26551310794</v>
      </c>
      <c r="H33" s="865" t="s">
        <v>1077</v>
      </c>
      <c r="I33" s="859" t="s">
        <v>1077</v>
      </c>
      <c r="J33" s="859" t="s">
        <v>1077</v>
      </c>
      <c r="K33" s="859" t="s">
        <v>1077</v>
      </c>
      <c r="L33" s="859" t="s">
        <v>1077</v>
      </c>
      <c r="M33" s="859" t="s">
        <v>1077</v>
      </c>
      <c r="N33" s="859" t="s">
        <v>1077</v>
      </c>
      <c r="O33" s="859" t="s">
        <v>1077</v>
      </c>
      <c r="P33" s="859" t="s">
        <v>1077</v>
      </c>
      <c r="Q33" s="859" t="s">
        <v>1077</v>
      </c>
      <c r="R33" s="859"/>
      <c r="S33" s="860"/>
      <c r="T33" s="860"/>
      <c r="U33" s="860"/>
      <c r="V33" s="860"/>
      <c r="W33" s="860"/>
      <c r="X33" s="861"/>
    </row>
    <row r="34" spans="2:24" x14ac:dyDescent="0.25">
      <c r="B34" s="160"/>
      <c r="C34" s="225" t="s">
        <v>1078</v>
      </c>
      <c r="D34" s="196"/>
      <c r="E34" s="849"/>
      <c r="F34" s="181">
        <f>F33</f>
        <v>132540.29962918357</v>
      </c>
      <c r="G34" s="181">
        <f>G33</f>
        <v>147600.26551310794</v>
      </c>
      <c r="H34" s="198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</row>
    <row r="35" spans="2:24" x14ac:dyDescent="0.25">
      <c r="B35" s="160"/>
      <c r="C35" s="362"/>
      <c r="D35" s="364"/>
      <c r="E35" s="364"/>
      <c r="F35" s="364"/>
      <c r="G35" s="364"/>
      <c r="H35" s="190"/>
      <c r="X35" s="159"/>
    </row>
    <row r="36" spans="2:24" ht="30" x14ac:dyDescent="0.25">
      <c r="B36" s="160"/>
      <c r="C36" s="167" t="s">
        <v>1134</v>
      </c>
      <c r="D36" s="168"/>
      <c r="E36" s="659">
        <v>0.39</v>
      </c>
      <c r="F36" s="662">
        <f>F32*E36</f>
        <v>101354.34677525803</v>
      </c>
      <c r="G36" s="662">
        <f>G32*E36</f>
        <v>112870.79127472959</v>
      </c>
      <c r="H36" s="862" t="s">
        <v>1136</v>
      </c>
      <c r="I36" s="863"/>
      <c r="J36" s="863"/>
      <c r="K36" s="863"/>
      <c r="L36" s="863"/>
      <c r="M36" s="863"/>
      <c r="N36" s="863"/>
      <c r="O36" s="863"/>
      <c r="P36" s="863"/>
      <c r="Q36" s="863"/>
      <c r="R36" s="863"/>
      <c r="S36" s="863"/>
      <c r="T36" s="863"/>
      <c r="U36" s="863"/>
      <c r="V36" s="863"/>
      <c r="W36" s="863"/>
      <c r="X36" s="864"/>
    </row>
    <row r="37" spans="2:24" ht="30" x14ac:dyDescent="0.25">
      <c r="B37" s="160"/>
      <c r="C37" s="167" t="s">
        <v>1135</v>
      </c>
      <c r="D37" s="168"/>
      <c r="E37" s="659">
        <v>0.74</v>
      </c>
      <c r="F37" s="662">
        <f>F36*E37</f>
        <v>75002.216613690936</v>
      </c>
      <c r="G37" s="662">
        <f>G36*E37</f>
        <v>83524.385543299897</v>
      </c>
      <c r="H37" s="862" t="s">
        <v>1137</v>
      </c>
      <c r="I37" s="863"/>
      <c r="J37" s="863"/>
      <c r="K37" s="863"/>
      <c r="L37" s="863"/>
      <c r="M37" s="863"/>
      <c r="N37" s="863"/>
      <c r="O37" s="863"/>
      <c r="P37" s="863"/>
      <c r="Q37" s="863"/>
      <c r="R37" s="863"/>
      <c r="S37" s="863"/>
      <c r="T37" s="863"/>
      <c r="U37" s="863"/>
      <c r="V37" s="863"/>
      <c r="W37" s="863"/>
      <c r="X37" s="864"/>
    </row>
    <row r="38" spans="2:24" x14ac:dyDescent="0.25">
      <c r="B38" s="160"/>
      <c r="C38" s="225" t="s">
        <v>1159</v>
      </c>
      <c r="D38" s="196"/>
      <c r="E38" s="849"/>
      <c r="F38" s="181">
        <f>F37</f>
        <v>75002.216613690936</v>
      </c>
      <c r="G38" s="181">
        <f>G37</f>
        <v>83524.385543299897</v>
      </c>
      <c r="H38" s="198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</row>
    <row r="39" spans="2:24" x14ac:dyDescent="0.25">
      <c r="B39" s="160"/>
      <c r="C39" s="362"/>
      <c r="E39" s="363"/>
      <c r="F39" s="364"/>
      <c r="G39" s="364"/>
      <c r="H39" s="847"/>
      <c r="X39" s="159"/>
    </row>
    <row r="40" spans="2:24" x14ac:dyDescent="0.25">
      <c r="B40" s="160"/>
      <c r="C40" t="s">
        <v>665</v>
      </c>
      <c r="F40" s="660" t="s">
        <v>46</v>
      </c>
      <c r="G40" s="364"/>
      <c r="H40" s="190"/>
      <c r="X40" s="159"/>
    </row>
    <row r="41" spans="2:24" x14ac:dyDescent="0.25">
      <c r="B41" s="160"/>
      <c r="C41" s="362"/>
      <c r="E41" s="363"/>
      <c r="F41" s="364"/>
      <c r="G41" s="364"/>
      <c r="H41" s="190"/>
      <c r="X41" s="159"/>
    </row>
    <row r="42" spans="2:24" x14ac:dyDescent="0.25">
      <c r="B42" s="160"/>
      <c r="C42" t="str">
        <f>"Manually entered current eligible population "&amp;IF(F40="no","","(n/a)")</f>
        <v>Manually entered current eligible population (n/a)</v>
      </c>
      <c r="F42" s="663"/>
      <c r="G42" s="713" t="str">
        <f>IF(F40="yes","Leave blue cell on left blank if NICE estimate is used","local value")</f>
        <v>Leave blue cell on left blank if NICE estimate is used</v>
      </c>
      <c r="X42" s="159"/>
    </row>
    <row r="43" spans="2:24" x14ac:dyDescent="0.25">
      <c r="B43" s="160"/>
      <c r="C43" t="str">
        <f t="shared" ref="C43:C44" si="0">"Manually entered current eligible population "&amp;IF(F41="no","","(n/a)")</f>
        <v>Manually entered current eligible population (n/a)</v>
      </c>
      <c r="F43" s="663"/>
      <c r="G43" s="713" t="str">
        <f>IF(F40="yes","Leave blue cell on left blank if NICE estimate is used","local value")</f>
        <v>Leave blue cell on left blank if NICE estimate is used</v>
      </c>
      <c r="X43" s="159"/>
    </row>
    <row r="44" spans="2:24" x14ac:dyDescent="0.25">
      <c r="B44" s="160"/>
      <c r="C44" t="str">
        <f t="shared" si="0"/>
        <v>Manually entered current eligible population (n/a)</v>
      </c>
      <c r="F44" s="663"/>
      <c r="G44" s="713" t="str">
        <f>IF(F40="yes","Leave blue cell on left blank if NICE estimate is used","local value")</f>
        <v>Leave blue cell on left blank if NICE estimate is used</v>
      </c>
      <c r="X44" s="159"/>
    </row>
    <row r="45" spans="2:24" x14ac:dyDescent="0.25">
      <c r="B45" s="160"/>
      <c r="G45" s="599" t="str">
        <f>IF(AND(F40="yes",F42&gt;0),"error, set the drop down above to be 'no'","")</f>
        <v/>
      </c>
      <c r="X45" s="159"/>
    </row>
    <row r="46" spans="2:24" ht="45" x14ac:dyDescent="0.25">
      <c r="B46" s="160"/>
      <c r="C46" s="162"/>
      <c r="F46" s="234" t="s">
        <v>661</v>
      </c>
      <c r="G46" s="165" t="s">
        <v>666</v>
      </c>
      <c r="H46" s="165" t="s">
        <v>667</v>
      </c>
      <c r="I46" s="235" t="s">
        <v>668</v>
      </c>
      <c r="J46" s="165" t="s">
        <v>669</v>
      </c>
      <c r="K46" s="165" t="s">
        <v>670</v>
      </c>
      <c r="L46" s="600"/>
      <c r="M46" s="600"/>
      <c r="N46" s="600"/>
      <c r="O46" s="600"/>
      <c r="P46" s="600"/>
      <c r="Q46" s="600"/>
      <c r="X46" s="159"/>
    </row>
    <row r="47" spans="2:24" x14ac:dyDescent="0.25">
      <c r="B47" s="160"/>
      <c r="C47" s="236" t="s">
        <v>671</v>
      </c>
      <c r="D47" s="196"/>
      <c r="E47" s="168"/>
      <c r="F47" s="206"/>
      <c r="G47" s="354">
        <f>IF(E19&lt;&gt;"",E19+100%,100%)</f>
        <v>1.0096418074639288</v>
      </c>
      <c r="H47" s="354">
        <f>IF($E$19&lt;&gt;"",G47*(100%+$E$19),100%)</f>
        <v>1.0193765793790293</v>
      </c>
      <c r="I47" s="354">
        <f>IF($E$19&lt;&gt;"",H47*(100%+$E$19),100%)</f>
        <v>1.0292052120906403</v>
      </c>
      <c r="J47" s="354">
        <f>IF($E$19&lt;&gt;"",I47*(100%+$E$19),100%)</f>
        <v>1.0391286105864903</v>
      </c>
      <c r="K47" s="354">
        <f>IF($E$19&lt;&gt;"",J47*(100%+$E$19),100%)</f>
        <v>1.0491476885800251</v>
      </c>
      <c r="L47" t="s">
        <v>672</v>
      </c>
      <c r="M47" s="594"/>
      <c r="N47" s="594"/>
      <c r="O47" s="594"/>
      <c r="P47" s="594"/>
      <c r="Q47" s="594"/>
      <c r="X47" s="159"/>
    </row>
    <row r="48" spans="2:24" x14ac:dyDescent="0.25">
      <c r="B48" s="160"/>
      <c r="C48" s="236" t="s">
        <v>673</v>
      </c>
      <c r="D48" s="196"/>
      <c r="E48" s="168"/>
      <c r="F48" s="206"/>
      <c r="G48" s="354">
        <f>IF(E20&lt;&gt;"",E20+100%,100%)</f>
        <v>1.012</v>
      </c>
      <c r="H48" s="354">
        <f>IF($E$20&lt;&gt;"",G48*(100%+$E$20),100%)</f>
        <v>1.0241439999999999</v>
      </c>
      <c r="I48" s="354">
        <f>IF($E$20&lt;&gt;"",H48*(100%+$E$20),100%)</f>
        <v>1.036433728</v>
      </c>
      <c r="J48" s="354">
        <f>IF($E$20&lt;&gt;"",I48*(100%+$E$20),100%)</f>
        <v>1.048870932736</v>
      </c>
      <c r="K48" s="354">
        <f>IF($E$20&lt;&gt;"",J48*(100%+$E$20),100%)</f>
        <v>1.0614573839288319</v>
      </c>
      <c r="L48" t="s">
        <v>672</v>
      </c>
      <c r="M48" s="594"/>
      <c r="N48" s="594"/>
      <c r="O48" s="594"/>
      <c r="P48" s="594"/>
      <c r="Q48" s="594"/>
      <c r="X48" s="159"/>
    </row>
    <row r="49" spans="2:24" x14ac:dyDescent="0.25">
      <c r="B49" s="160"/>
      <c r="C49" s="408" t="str">
        <f>IF('Inputs and eligible population'!E17=0,"Baseline population (inflated by growth(s))","Manually entered locality population (inflated by growth(s))")</f>
        <v>Baseline population (inflated by growth(s))</v>
      </c>
      <c r="D49" s="196"/>
      <c r="E49" s="168"/>
      <c r="F49" s="128">
        <f>IF(ISBLANK(E17),G14,'Population selection'!F16)</f>
        <v>46148904.437507473</v>
      </c>
      <c r="G49" s="128">
        <f>F49*G47</f>
        <v>46593863.28876517</v>
      </c>
      <c r="H49" s="128">
        <f>F49*H47</f>
        <v>47043112.347596072</v>
      </c>
      <c r="I49" s="128">
        <f>F49*I47</f>
        <v>47496692.979355574</v>
      </c>
      <c r="J49" s="128">
        <f>F49*J47</f>
        <v>47954646.948235855</v>
      </c>
      <c r="K49" s="128">
        <f>F49*K47</f>
        <v>48417016.421111427</v>
      </c>
      <c r="M49" s="283"/>
      <c r="N49" s="283"/>
      <c r="O49" s="283"/>
      <c r="P49" s="283"/>
      <c r="Q49" s="283"/>
      <c r="X49" s="159"/>
    </row>
    <row r="50" spans="2:24" ht="30" x14ac:dyDescent="0.25">
      <c r="B50" s="160"/>
      <c r="C50" s="225" t="str">
        <f>IF(ISBLANK(F42),"Eligible population, NICE estimate (Rec 1.1.9)","Eligible population, local estimate")</f>
        <v>Eligible population, NICE estimate (Rec 1.1.9)</v>
      </c>
      <c r="D50" s="196"/>
      <c r="E50" s="168"/>
      <c r="F50" s="181">
        <f>IF(ISBLANK(F42),F30,F42)</f>
        <v>1033561.4780304381</v>
      </c>
      <c r="G50" s="181">
        <f>$F$50*G47*G48</f>
        <v>1056049.2013493862</v>
      </c>
      <c r="H50" s="181">
        <f>$F$50*H47*H48</f>
        <v>1079026.2015142876</v>
      </c>
      <c r="I50" s="181">
        <f>$F$50*I47*I48</f>
        <v>1102503.1239705968</v>
      </c>
      <c r="J50" s="181">
        <f>$F$50*J47*J48</f>
        <v>1126490.8457821449</v>
      </c>
      <c r="K50" s="181">
        <f>$F$50*K47*K48</f>
        <v>1151000.4806705792</v>
      </c>
      <c r="L50" s="170" t="str">
        <f>IF(F40="no","local estimate used","")</f>
        <v/>
      </c>
      <c r="M50" s="364"/>
      <c r="N50" s="364"/>
      <c r="O50" s="364"/>
      <c r="P50" s="364"/>
      <c r="Q50" s="364"/>
      <c r="X50" s="159"/>
    </row>
    <row r="51" spans="2:24" ht="30" x14ac:dyDescent="0.25">
      <c r="B51" s="160"/>
      <c r="C51" s="225" t="str">
        <f>IF(ISBLANK(F42),"Eligible population, NICE estimate (Rec 1.6.4)","Eligible population, local estimate")</f>
        <v>Eligible population, NICE estimate (Rec 1.6.4)</v>
      </c>
      <c r="D51" s="196"/>
      <c r="E51" s="168"/>
      <c r="F51" s="181">
        <f>IF(ISBLANK(F43),F34,F43)</f>
        <v>132540.29962918357</v>
      </c>
      <c r="G51" s="181">
        <f>$F$51*G47*G48</f>
        <v>135424.04641157264</v>
      </c>
      <c r="H51" s="181">
        <f t="shared" ref="H51:K51" si="1">$F$51*H47*H48</f>
        <v>138370.5363409759</v>
      </c>
      <c r="I51" s="181">
        <f t="shared" si="1"/>
        <v>141381.13455198886</v>
      </c>
      <c r="J51" s="181">
        <f t="shared" si="1"/>
        <v>144457.23588113539</v>
      </c>
      <c r="K51" s="181">
        <f t="shared" si="1"/>
        <v>147600.26551310791</v>
      </c>
      <c r="L51" s="170"/>
      <c r="M51" s="364"/>
      <c r="N51" s="364"/>
      <c r="O51" s="364"/>
      <c r="P51" s="364"/>
      <c r="Q51" s="364"/>
      <c r="X51" s="159"/>
    </row>
    <row r="52" spans="2:24" ht="30" x14ac:dyDescent="0.25">
      <c r="B52" s="160"/>
      <c r="C52" s="225" t="str">
        <f>IF(ISBLANK(F42),"Eligible population, NICE estimate (Rec 1.6.6)","Eligible population, local estimate")</f>
        <v>Eligible population, NICE estimate (Rec 1.6.6)</v>
      </c>
      <c r="D52" s="196"/>
      <c r="E52" s="168"/>
      <c r="F52" s="181">
        <f>IF(ISBLANK(F44),F38,F44)</f>
        <v>75002.216613690936</v>
      </c>
      <c r="G52" s="181">
        <f>$F$52*G47*G48</f>
        <v>76634.078028195814</v>
      </c>
      <c r="H52" s="181">
        <f t="shared" ref="H52:K52" si="2">$F$52*H47*H48</f>
        <v>78301.444682364003</v>
      </c>
      <c r="I52" s="181">
        <f t="shared" si="2"/>
        <v>80005.089081772516</v>
      </c>
      <c r="J52" s="181">
        <f t="shared" si="2"/>
        <v>81745.80053979544</v>
      </c>
      <c r="K52" s="181">
        <f t="shared" si="2"/>
        <v>83524.385543299883</v>
      </c>
      <c r="L52" s="170"/>
      <c r="M52" s="364"/>
      <c r="N52" s="364"/>
      <c r="O52" s="364"/>
      <c r="P52" s="364"/>
      <c r="Q52" s="364"/>
      <c r="X52" s="159"/>
    </row>
    <row r="53" spans="2:24" x14ac:dyDescent="0.25">
      <c r="B53" s="160"/>
      <c r="C53" s="830"/>
      <c r="D53" s="331"/>
      <c r="E53" s="331"/>
      <c r="F53" s="831"/>
      <c r="G53" s="831"/>
      <c r="H53" s="831"/>
      <c r="I53" s="831"/>
      <c r="J53" s="831"/>
      <c r="K53" s="831"/>
      <c r="L53" s="170"/>
      <c r="M53" s="364"/>
      <c r="N53" s="364"/>
      <c r="O53" s="364"/>
      <c r="P53" s="364"/>
      <c r="Q53" s="364"/>
      <c r="X53" s="159"/>
    </row>
    <row r="54" spans="2:24" x14ac:dyDescent="0.25"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3"/>
    </row>
    <row r="57" spans="2:24" x14ac:dyDescent="0.25">
      <c r="B57" s="156" t="s">
        <v>674</v>
      </c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157"/>
    </row>
    <row r="58" spans="2:24" ht="28.5" customHeight="1" x14ac:dyDescent="0.25">
      <c r="B58" s="160"/>
      <c r="C58" s="868" t="s">
        <v>1050</v>
      </c>
      <c r="D58" s="869"/>
      <c r="E58" s="869"/>
      <c r="F58" s="870"/>
      <c r="G58" s="870"/>
      <c r="H58" s="870"/>
      <c r="S58" s="159"/>
    </row>
    <row r="59" spans="2:24" ht="32.1" customHeight="1" x14ac:dyDescent="0.25">
      <c r="B59" s="160"/>
      <c r="C59" s="206" t="s">
        <v>678</v>
      </c>
      <c r="D59" s="211" t="s">
        <v>679</v>
      </c>
      <c r="E59" s="207"/>
      <c r="F59" s="207"/>
      <c r="G59" s="207"/>
      <c r="H59" s="208"/>
      <c r="I59" s="209" t="s">
        <v>680</v>
      </c>
      <c r="J59" s="165" t="s">
        <v>681</v>
      </c>
      <c r="K59" s="209" t="s">
        <v>682</v>
      </c>
      <c r="S59" s="159"/>
    </row>
    <row r="60" spans="2:24" x14ac:dyDescent="0.25">
      <c r="B60" s="160"/>
      <c r="C60" s="350" t="s">
        <v>1051</v>
      </c>
      <c r="D60" s="198" t="s">
        <v>1055</v>
      </c>
      <c r="E60" s="199"/>
      <c r="F60" s="199"/>
      <c r="G60" s="199"/>
      <c r="H60" s="196"/>
      <c r="I60" s="666">
        <v>3.08</v>
      </c>
      <c r="J60" s="667"/>
      <c r="K60" s="356" t="s">
        <v>1054</v>
      </c>
      <c r="L60" s="160"/>
      <c r="S60" s="159"/>
    </row>
    <row r="61" spans="2:24" x14ac:dyDescent="0.25">
      <c r="B61" s="160"/>
      <c r="C61" s="194"/>
      <c r="D61" s="152"/>
      <c r="E61" s="152"/>
      <c r="F61" s="152"/>
      <c r="G61" s="152"/>
      <c r="S61" s="159"/>
    </row>
    <row r="62" spans="2:24" x14ac:dyDescent="0.25">
      <c r="B62" s="160"/>
      <c r="C62" s="148" t="s">
        <v>683</v>
      </c>
      <c r="S62" s="159"/>
    </row>
    <row r="63" spans="2:24" x14ac:dyDescent="0.25">
      <c r="B63" s="160"/>
      <c r="D63" s="369" t="s">
        <v>684</v>
      </c>
      <c r="E63" s="210" t="s">
        <v>685</v>
      </c>
      <c r="F63" s="210" t="s">
        <v>686</v>
      </c>
      <c r="G63" s="210" t="s">
        <v>687</v>
      </c>
      <c r="H63" s="210" t="s">
        <v>688</v>
      </c>
      <c r="I63" s="209" t="s">
        <v>689</v>
      </c>
      <c r="J63" s="209" t="s">
        <v>690</v>
      </c>
      <c r="L63" s="209" t="s">
        <v>685</v>
      </c>
      <c r="M63" s="601" t="s">
        <v>686</v>
      </c>
      <c r="N63" s="210" t="s">
        <v>687</v>
      </c>
      <c r="O63" s="210" t="s">
        <v>688</v>
      </c>
      <c r="P63" s="209" t="s">
        <v>689</v>
      </c>
      <c r="Q63" s="209" t="s">
        <v>690</v>
      </c>
      <c r="S63" s="159"/>
    </row>
    <row r="64" spans="2:24" x14ac:dyDescent="0.25">
      <c r="B64" s="160"/>
      <c r="D64" s="350" t="s">
        <v>1051</v>
      </c>
      <c r="E64" s="668"/>
      <c r="F64" s="669"/>
      <c r="G64" s="669"/>
      <c r="H64" s="669"/>
      <c r="I64" s="669"/>
      <c r="J64" s="669"/>
      <c r="L64" s="850">
        <f>F50*E64</f>
        <v>0</v>
      </c>
      <c r="M64" s="851">
        <f t="shared" ref="M64:Q64" si="3">G50*F64</f>
        <v>0</v>
      </c>
      <c r="N64" s="851">
        <f t="shared" si="3"/>
        <v>0</v>
      </c>
      <c r="O64" s="851">
        <f t="shared" si="3"/>
        <v>0</v>
      </c>
      <c r="P64" s="851">
        <f t="shared" si="3"/>
        <v>0</v>
      </c>
      <c r="Q64" s="851">
        <f t="shared" si="3"/>
        <v>0</v>
      </c>
      <c r="S64" s="159"/>
    </row>
    <row r="65" spans="2:19" x14ac:dyDescent="0.25">
      <c r="B65" s="160"/>
      <c r="E65" s="151">
        <f t="shared" ref="E65:J65" si="4">SUM(E64:E64)</f>
        <v>0</v>
      </c>
      <c r="F65" s="151">
        <f t="shared" si="4"/>
        <v>0</v>
      </c>
      <c r="G65" s="151">
        <f t="shared" si="4"/>
        <v>0</v>
      </c>
      <c r="H65" s="151">
        <f t="shared" si="4"/>
        <v>0</v>
      </c>
      <c r="I65" s="151">
        <f t="shared" si="4"/>
        <v>0</v>
      </c>
      <c r="J65" s="151">
        <f t="shared" si="4"/>
        <v>0</v>
      </c>
      <c r="L65" s="355">
        <f t="shared" ref="L65:Q65" si="5">SUM(L64:L64)</f>
        <v>0</v>
      </c>
      <c r="M65" s="355">
        <f t="shared" si="5"/>
        <v>0</v>
      </c>
      <c r="N65" s="355">
        <f t="shared" si="5"/>
        <v>0</v>
      </c>
      <c r="O65" s="355">
        <f t="shared" si="5"/>
        <v>0</v>
      </c>
      <c r="P65" s="355">
        <f t="shared" si="5"/>
        <v>0</v>
      </c>
      <c r="Q65" s="355">
        <f t="shared" si="5"/>
        <v>0</v>
      </c>
      <c r="S65" s="159"/>
    </row>
    <row r="66" spans="2:19" x14ac:dyDescent="0.25">
      <c r="B66" s="160"/>
      <c r="E66" s="359"/>
      <c r="F66" s="359"/>
      <c r="G66" s="359"/>
      <c r="H66" s="359"/>
      <c r="I66" s="359"/>
      <c r="J66" s="359"/>
      <c r="S66" s="159"/>
    </row>
    <row r="67" spans="2:19" x14ac:dyDescent="0.25">
      <c r="B67" s="160"/>
      <c r="C67" t="s">
        <v>1058</v>
      </c>
      <c r="E67" s="575"/>
      <c r="F67" s="575"/>
      <c r="G67" s="575"/>
      <c r="H67" s="575"/>
      <c r="I67" s="575"/>
      <c r="J67" s="575"/>
      <c r="S67" s="159"/>
    </row>
    <row r="68" spans="2:19" x14ac:dyDescent="0.25">
      <c r="B68" s="160"/>
      <c r="E68" s="575"/>
      <c r="F68" s="575"/>
      <c r="G68" s="575"/>
      <c r="H68" s="575"/>
      <c r="I68" s="575"/>
      <c r="J68" s="575"/>
      <c r="S68" s="159"/>
    </row>
    <row r="69" spans="2:19" ht="34.5" customHeight="1" x14ac:dyDescent="0.25">
      <c r="B69" s="160"/>
      <c r="C69" s="871" t="s">
        <v>1156</v>
      </c>
      <c r="D69" s="872"/>
      <c r="E69" s="872"/>
      <c r="F69" s="873"/>
      <c r="G69" s="873"/>
      <c r="H69" s="873"/>
      <c r="S69" s="159"/>
    </row>
    <row r="70" spans="2:19" x14ac:dyDescent="0.25">
      <c r="B70" s="160"/>
      <c r="S70" s="159"/>
    </row>
    <row r="71" spans="2:19" x14ac:dyDescent="0.25">
      <c r="B71" s="160"/>
      <c r="C71" s="148" t="s">
        <v>683</v>
      </c>
      <c r="S71" s="159"/>
    </row>
    <row r="72" spans="2:19" x14ac:dyDescent="0.25">
      <c r="B72" s="160"/>
      <c r="D72" s="369" t="s">
        <v>684</v>
      </c>
      <c r="E72" s="210" t="s">
        <v>685</v>
      </c>
      <c r="F72" s="210" t="s">
        <v>686</v>
      </c>
      <c r="G72" s="210" t="s">
        <v>687</v>
      </c>
      <c r="H72" s="210" t="s">
        <v>688</v>
      </c>
      <c r="I72" s="209" t="s">
        <v>689</v>
      </c>
      <c r="J72" s="209" t="s">
        <v>690</v>
      </c>
      <c r="L72" s="209" t="s">
        <v>685</v>
      </c>
      <c r="M72" s="601" t="s">
        <v>686</v>
      </c>
      <c r="N72" s="210" t="s">
        <v>687</v>
      </c>
      <c r="O72" s="210" t="s">
        <v>688</v>
      </c>
      <c r="P72" s="209" t="s">
        <v>689</v>
      </c>
      <c r="Q72" s="209" t="s">
        <v>690</v>
      </c>
      <c r="S72" s="159"/>
    </row>
    <row r="73" spans="2:19" x14ac:dyDescent="0.25">
      <c r="B73" s="160"/>
      <c r="D73" s="350" t="s">
        <v>1079</v>
      </c>
      <c r="E73" s="668"/>
      <c r="F73" s="669"/>
      <c r="G73" s="669"/>
      <c r="H73" s="669"/>
      <c r="I73" s="669"/>
      <c r="J73" s="669"/>
      <c r="L73" s="850">
        <f>F51*E73</f>
        <v>0</v>
      </c>
      <c r="M73" s="850">
        <f t="shared" ref="M73:Q73" si="6">G51*F73</f>
        <v>0</v>
      </c>
      <c r="N73" s="850">
        <f t="shared" si="6"/>
        <v>0</v>
      </c>
      <c r="O73" s="850">
        <f t="shared" si="6"/>
        <v>0</v>
      </c>
      <c r="P73" s="850">
        <f t="shared" si="6"/>
        <v>0</v>
      </c>
      <c r="Q73" s="850">
        <f t="shared" si="6"/>
        <v>0</v>
      </c>
      <c r="S73" s="159"/>
    </row>
    <row r="74" spans="2:19" x14ac:dyDescent="0.25">
      <c r="B74" s="160"/>
      <c r="D74" s="350" t="s">
        <v>1080</v>
      </c>
      <c r="E74" s="668"/>
      <c r="F74" s="669"/>
      <c r="G74" s="669"/>
      <c r="H74" s="669"/>
      <c r="I74" s="669"/>
      <c r="J74" s="669"/>
      <c r="L74" s="850">
        <f t="shared" ref="L74:Q74" si="7">F51*E74</f>
        <v>0</v>
      </c>
      <c r="M74" s="850">
        <f t="shared" si="7"/>
        <v>0</v>
      </c>
      <c r="N74" s="850">
        <f t="shared" si="7"/>
        <v>0</v>
      </c>
      <c r="O74" s="850">
        <f t="shared" si="7"/>
        <v>0</v>
      </c>
      <c r="P74" s="850">
        <f t="shared" si="7"/>
        <v>0</v>
      </c>
      <c r="Q74" s="850">
        <f t="shared" si="7"/>
        <v>0</v>
      </c>
      <c r="S74" s="159"/>
    </row>
    <row r="75" spans="2:19" x14ac:dyDescent="0.25">
      <c r="B75" s="160"/>
      <c r="E75" s="151">
        <f t="shared" ref="E75:J75" si="8">SUM(E73:E74)</f>
        <v>0</v>
      </c>
      <c r="F75" s="151">
        <f t="shared" si="8"/>
        <v>0</v>
      </c>
      <c r="G75" s="151">
        <f t="shared" si="8"/>
        <v>0</v>
      </c>
      <c r="H75" s="151">
        <f t="shared" si="8"/>
        <v>0</v>
      </c>
      <c r="I75" s="151">
        <f t="shared" si="8"/>
        <v>0</v>
      </c>
      <c r="J75" s="151">
        <f t="shared" si="8"/>
        <v>0</v>
      </c>
      <c r="L75" s="355">
        <f t="shared" ref="L75:Q75" si="9">SUM(L73:L74)</f>
        <v>0</v>
      </c>
      <c r="M75" s="355">
        <f t="shared" si="9"/>
        <v>0</v>
      </c>
      <c r="N75" s="355">
        <f t="shared" si="9"/>
        <v>0</v>
      </c>
      <c r="O75" s="355">
        <f t="shared" si="9"/>
        <v>0</v>
      </c>
      <c r="P75" s="355">
        <f t="shared" si="9"/>
        <v>0</v>
      </c>
      <c r="Q75" s="355">
        <f t="shared" si="9"/>
        <v>0</v>
      </c>
      <c r="S75" s="159"/>
    </row>
    <row r="76" spans="2:19" x14ac:dyDescent="0.25">
      <c r="B76" s="160"/>
      <c r="E76" s="359"/>
      <c r="F76" s="359"/>
      <c r="G76" s="359"/>
      <c r="H76" s="359"/>
      <c r="I76" s="359"/>
      <c r="J76" s="359"/>
      <c r="S76" s="159"/>
    </row>
    <row r="77" spans="2:19" x14ac:dyDescent="0.25">
      <c r="B77" s="160"/>
      <c r="C77" t="s">
        <v>1058</v>
      </c>
      <c r="E77" s="575"/>
      <c r="F77" s="575"/>
      <c r="G77" s="575"/>
      <c r="H77" s="575"/>
      <c r="I77" s="575"/>
      <c r="J77" s="575"/>
      <c r="S77" s="159"/>
    </row>
    <row r="78" spans="2:19" x14ac:dyDescent="0.25">
      <c r="B78" s="160"/>
      <c r="E78" s="575"/>
      <c r="F78" s="575"/>
      <c r="G78" s="575"/>
      <c r="H78" s="575"/>
      <c r="I78" s="575"/>
      <c r="J78" s="575"/>
      <c r="S78" s="159"/>
    </row>
    <row r="79" spans="2:19" ht="42.6" customHeight="1" x14ac:dyDescent="0.25">
      <c r="B79" s="160"/>
      <c r="C79" s="871" t="s">
        <v>1160</v>
      </c>
      <c r="D79" s="872"/>
      <c r="E79" s="872"/>
      <c r="F79" s="873"/>
      <c r="G79" s="873"/>
      <c r="H79" s="873"/>
      <c r="S79" s="159"/>
    </row>
    <row r="80" spans="2:19" ht="30" x14ac:dyDescent="0.25">
      <c r="B80" s="160"/>
      <c r="C80" s="206" t="s">
        <v>678</v>
      </c>
      <c r="D80" s="211" t="s">
        <v>1138</v>
      </c>
      <c r="E80" s="209" t="s">
        <v>680</v>
      </c>
      <c r="F80" s="165" t="s">
        <v>681</v>
      </c>
      <c r="G80" s="209" t="s">
        <v>682</v>
      </c>
      <c r="S80" s="159"/>
    </row>
    <row r="81" spans="2:19" x14ac:dyDescent="0.25">
      <c r="B81" s="160"/>
      <c r="C81" s="833" t="s">
        <v>1139</v>
      </c>
      <c r="D81" s="198">
        <v>6</v>
      </c>
      <c r="E81" s="666"/>
      <c r="F81" s="667">
        <v>0.2</v>
      </c>
      <c r="G81" s="356" t="s">
        <v>1182</v>
      </c>
      <c r="S81" s="159"/>
    </row>
    <row r="82" spans="2:19" x14ac:dyDescent="0.25">
      <c r="B82" s="160"/>
      <c r="C82" s="202" t="s">
        <v>1140</v>
      </c>
      <c r="D82" s="198">
        <v>6</v>
      </c>
      <c r="E82" s="666"/>
      <c r="F82" s="667">
        <v>0.2</v>
      </c>
      <c r="G82" s="356" t="s">
        <v>1182</v>
      </c>
      <c r="S82" s="159"/>
    </row>
    <row r="83" spans="2:19" x14ac:dyDescent="0.25">
      <c r="B83" s="160"/>
      <c r="C83" s="832" t="s">
        <v>1141</v>
      </c>
      <c r="D83" s="198">
        <v>2</v>
      </c>
      <c r="E83" s="666"/>
      <c r="F83" s="667">
        <v>0.2</v>
      </c>
      <c r="G83" s="356" t="s">
        <v>1182</v>
      </c>
      <c r="S83" s="159"/>
    </row>
    <row r="84" spans="2:19" x14ac:dyDescent="0.25">
      <c r="B84" s="160"/>
      <c r="C84" s="832" t="s">
        <v>1142</v>
      </c>
      <c r="D84" s="198">
        <v>0.5</v>
      </c>
      <c r="E84" s="666"/>
      <c r="F84" s="667">
        <v>0.2</v>
      </c>
      <c r="G84" s="356" t="s">
        <v>1182</v>
      </c>
      <c r="S84" s="159"/>
    </row>
    <row r="85" spans="2:19" x14ac:dyDescent="0.25">
      <c r="B85" s="160"/>
      <c r="C85" s="194"/>
      <c r="D85" s="152"/>
      <c r="E85" s="152"/>
      <c r="F85" s="152"/>
      <c r="G85" s="152"/>
      <c r="S85" s="159"/>
    </row>
    <row r="86" spans="2:19" x14ac:dyDescent="0.25">
      <c r="B86" s="160"/>
      <c r="C86" s="148" t="s">
        <v>683</v>
      </c>
      <c r="S86" s="159"/>
    </row>
    <row r="87" spans="2:19" x14ac:dyDescent="0.25">
      <c r="B87" s="160"/>
      <c r="D87" s="369" t="s">
        <v>684</v>
      </c>
      <c r="E87" s="210" t="s">
        <v>685</v>
      </c>
      <c r="F87" s="210" t="s">
        <v>686</v>
      </c>
      <c r="G87" s="210" t="s">
        <v>687</v>
      </c>
      <c r="H87" s="210" t="s">
        <v>688</v>
      </c>
      <c r="I87" s="209" t="s">
        <v>689</v>
      </c>
      <c r="J87" s="209" t="s">
        <v>690</v>
      </c>
      <c r="L87" s="209" t="s">
        <v>685</v>
      </c>
      <c r="M87" s="601" t="s">
        <v>686</v>
      </c>
      <c r="N87" s="210" t="s">
        <v>687</v>
      </c>
      <c r="O87" s="210" t="s">
        <v>688</v>
      </c>
      <c r="P87" s="209" t="s">
        <v>689</v>
      </c>
      <c r="Q87" s="209" t="s">
        <v>690</v>
      </c>
      <c r="S87" s="159"/>
    </row>
    <row r="88" spans="2:19" x14ac:dyDescent="0.25">
      <c r="B88" s="160"/>
      <c r="D88" s="350" t="s">
        <v>1079</v>
      </c>
      <c r="E88" s="668"/>
      <c r="F88" s="668"/>
      <c r="G88" s="668"/>
      <c r="H88" s="668"/>
      <c r="I88" s="668"/>
      <c r="J88" s="668"/>
      <c r="L88" s="850">
        <f t="shared" ref="L88:Q88" si="10">F52*E88</f>
        <v>0</v>
      </c>
      <c r="M88" s="850">
        <f t="shared" si="10"/>
        <v>0</v>
      </c>
      <c r="N88" s="850">
        <f t="shared" si="10"/>
        <v>0</v>
      </c>
      <c r="O88" s="850">
        <f t="shared" si="10"/>
        <v>0</v>
      </c>
      <c r="P88" s="850">
        <f t="shared" si="10"/>
        <v>0</v>
      </c>
      <c r="Q88" s="850">
        <f t="shared" si="10"/>
        <v>0</v>
      </c>
      <c r="S88" s="159"/>
    </row>
    <row r="89" spans="2:19" x14ac:dyDescent="0.25">
      <c r="B89" s="160"/>
      <c r="D89" s="350" t="s">
        <v>1080</v>
      </c>
      <c r="E89" s="668"/>
      <c r="F89" s="668"/>
      <c r="G89" s="668"/>
      <c r="H89" s="668"/>
      <c r="I89" s="668"/>
      <c r="J89" s="668"/>
      <c r="L89" s="850">
        <f t="shared" ref="L89:Q89" si="11">F52*E89</f>
        <v>0</v>
      </c>
      <c r="M89" s="850">
        <f t="shared" si="11"/>
        <v>0</v>
      </c>
      <c r="N89" s="850">
        <f t="shared" si="11"/>
        <v>0</v>
      </c>
      <c r="O89" s="850">
        <f t="shared" si="11"/>
        <v>0</v>
      </c>
      <c r="P89" s="850">
        <f t="shared" si="11"/>
        <v>0</v>
      </c>
      <c r="Q89" s="850">
        <f t="shared" si="11"/>
        <v>0</v>
      </c>
      <c r="S89" s="159"/>
    </row>
    <row r="90" spans="2:19" x14ac:dyDescent="0.25">
      <c r="B90" s="160"/>
      <c r="D90" s="350" t="s">
        <v>1144</v>
      </c>
      <c r="E90" s="668"/>
      <c r="F90" s="668"/>
      <c r="G90" s="668"/>
      <c r="H90" s="668"/>
      <c r="I90" s="668"/>
      <c r="J90" s="668"/>
      <c r="L90" s="850">
        <f t="shared" ref="L90:Q90" si="12">F52*E90</f>
        <v>0</v>
      </c>
      <c r="M90" s="850">
        <f t="shared" si="12"/>
        <v>0</v>
      </c>
      <c r="N90" s="850">
        <f t="shared" si="12"/>
        <v>0</v>
      </c>
      <c r="O90" s="850">
        <f t="shared" si="12"/>
        <v>0</v>
      </c>
      <c r="P90" s="850">
        <f t="shared" si="12"/>
        <v>0</v>
      </c>
      <c r="Q90" s="850">
        <f t="shared" si="12"/>
        <v>0</v>
      </c>
      <c r="S90" s="159"/>
    </row>
    <row r="91" spans="2:19" x14ac:dyDescent="0.25">
      <c r="B91" s="160"/>
      <c r="D91" s="350" t="s">
        <v>1145</v>
      </c>
      <c r="E91" s="668"/>
      <c r="F91" s="668"/>
      <c r="G91" s="668"/>
      <c r="H91" s="668"/>
      <c r="I91" s="668"/>
      <c r="J91" s="668"/>
      <c r="L91" s="850">
        <f t="shared" ref="L91:Q91" si="13">F52*E91</f>
        <v>0</v>
      </c>
      <c r="M91" s="850">
        <f t="shared" si="13"/>
        <v>0</v>
      </c>
      <c r="N91" s="850">
        <f t="shared" si="13"/>
        <v>0</v>
      </c>
      <c r="O91" s="850">
        <f t="shared" si="13"/>
        <v>0</v>
      </c>
      <c r="P91" s="850">
        <f t="shared" si="13"/>
        <v>0</v>
      </c>
      <c r="Q91" s="850">
        <f t="shared" si="13"/>
        <v>0</v>
      </c>
      <c r="S91" s="159"/>
    </row>
    <row r="92" spans="2:19" x14ac:dyDescent="0.25">
      <c r="B92" s="160"/>
      <c r="D92" s="350" t="s">
        <v>1146</v>
      </c>
      <c r="E92" s="668"/>
      <c r="F92" s="668"/>
      <c r="G92" s="668"/>
      <c r="H92" s="668"/>
      <c r="I92" s="668"/>
      <c r="J92" s="668"/>
      <c r="L92" s="850">
        <f t="shared" ref="L92:Q92" si="14">F52*E92</f>
        <v>0</v>
      </c>
      <c r="M92" s="850">
        <f t="shared" si="14"/>
        <v>0</v>
      </c>
      <c r="N92" s="850">
        <f t="shared" si="14"/>
        <v>0</v>
      </c>
      <c r="O92" s="850">
        <f t="shared" si="14"/>
        <v>0</v>
      </c>
      <c r="P92" s="850">
        <f t="shared" si="14"/>
        <v>0</v>
      </c>
      <c r="Q92" s="850">
        <f t="shared" si="14"/>
        <v>0</v>
      </c>
      <c r="S92" s="159"/>
    </row>
    <row r="93" spans="2:19" x14ac:dyDescent="0.25">
      <c r="B93" s="160"/>
      <c r="D93" s="350" t="s">
        <v>1147</v>
      </c>
      <c r="E93" s="668"/>
      <c r="F93" s="668"/>
      <c r="G93" s="668"/>
      <c r="H93" s="668"/>
      <c r="I93" s="668"/>
      <c r="J93" s="668"/>
      <c r="L93" s="850">
        <f t="shared" ref="L93:Q93" si="15">F52*E93</f>
        <v>0</v>
      </c>
      <c r="M93" s="850">
        <f t="shared" si="15"/>
        <v>0</v>
      </c>
      <c r="N93" s="850">
        <f t="shared" si="15"/>
        <v>0</v>
      </c>
      <c r="O93" s="850">
        <f t="shared" si="15"/>
        <v>0</v>
      </c>
      <c r="P93" s="850">
        <f t="shared" si="15"/>
        <v>0</v>
      </c>
      <c r="Q93" s="850">
        <f t="shared" si="15"/>
        <v>0</v>
      </c>
      <c r="S93" s="159"/>
    </row>
    <row r="94" spans="2:19" x14ac:dyDescent="0.25">
      <c r="B94" s="160"/>
      <c r="E94" s="842">
        <f t="shared" ref="E94:J94" si="16">SUM(E88:E93)</f>
        <v>0</v>
      </c>
      <c r="F94" s="842">
        <f t="shared" si="16"/>
        <v>0</v>
      </c>
      <c r="G94" s="842">
        <f t="shared" si="16"/>
        <v>0</v>
      </c>
      <c r="H94" s="842">
        <f t="shared" si="16"/>
        <v>0</v>
      </c>
      <c r="I94" s="842">
        <f t="shared" si="16"/>
        <v>0</v>
      </c>
      <c r="J94" s="842">
        <f t="shared" si="16"/>
        <v>0</v>
      </c>
      <c r="L94" s="355">
        <f t="shared" ref="L94:Q94" si="17">SUM(L88:L93)</f>
        <v>0</v>
      </c>
      <c r="M94" s="355">
        <f t="shared" si="17"/>
        <v>0</v>
      </c>
      <c r="N94" s="355">
        <f t="shared" si="17"/>
        <v>0</v>
      </c>
      <c r="O94" s="355">
        <f t="shared" si="17"/>
        <v>0</v>
      </c>
      <c r="P94" s="355">
        <f t="shared" si="17"/>
        <v>0</v>
      </c>
      <c r="Q94" s="355">
        <f t="shared" si="17"/>
        <v>0</v>
      </c>
      <c r="S94" s="159"/>
    </row>
    <row r="95" spans="2:19" x14ac:dyDescent="0.25">
      <c r="B95" s="160"/>
      <c r="E95" s="359"/>
      <c r="F95" s="359"/>
      <c r="G95" s="359"/>
      <c r="H95" s="359"/>
      <c r="I95" s="359"/>
      <c r="J95" s="359"/>
      <c r="S95" s="159"/>
    </row>
    <row r="96" spans="2:19" x14ac:dyDescent="0.25">
      <c r="B96" s="161"/>
      <c r="C96" s="162" t="s">
        <v>1058</v>
      </c>
      <c r="D96" s="162"/>
      <c r="E96" s="844"/>
      <c r="F96" s="844"/>
      <c r="G96" s="844"/>
      <c r="H96" s="844"/>
      <c r="I96" s="844"/>
      <c r="J96" s="844"/>
      <c r="K96" s="162"/>
      <c r="L96" s="162"/>
      <c r="M96" s="162"/>
      <c r="N96" s="162"/>
      <c r="O96" s="162"/>
      <c r="P96" s="162"/>
      <c r="Q96" s="162"/>
      <c r="R96" s="162"/>
      <c r="S96" s="163"/>
    </row>
    <row r="97" spans="2:19" x14ac:dyDescent="0.25">
      <c r="D97" s="162"/>
      <c r="K97" s="162"/>
    </row>
    <row r="98" spans="2:19" x14ac:dyDescent="0.25">
      <c r="B98" s="156" t="s">
        <v>691</v>
      </c>
      <c r="C98" s="331"/>
      <c r="E98" s="331"/>
      <c r="F98" s="331"/>
      <c r="G98" s="331"/>
      <c r="H98" s="331"/>
      <c r="I98" s="331"/>
      <c r="J98" s="331"/>
      <c r="L98" s="331"/>
      <c r="M98" s="331"/>
      <c r="N98" s="331"/>
      <c r="O98" s="331"/>
      <c r="P98" s="331"/>
      <c r="Q98" s="331"/>
      <c r="R98" s="331"/>
      <c r="S98" s="157"/>
    </row>
    <row r="99" spans="2:19" x14ac:dyDescent="0.25">
      <c r="B99" s="160" t="s">
        <v>692</v>
      </c>
      <c r="S99" s="159"/>
    </row>
    <row r="100" spans="2:19" x14ac:dyDescent="0.25">
      <c r="B100" s="160" t="s">
        <v>693</v>
      </c>
      <c r="S100" s="159"/>
    </row>
    <row r="101" spans="2:19" x14ac:dyDescent="0.25">
      <c r="B101" s="160"/>
      <c r="C101" s="357"/>
      <c r="D101" s="212"/>
      <c r="E101" s="212"/>
      <c r="F101" s="212"/>
      <c r="S101" s="159"/>
    </row>
    <row r="102" spans="2:19" ht="42.95" customHeight="1" x14ac:dyDescent="0.25">
      <c r="B102" s="160"/>
      <c r="C102" s="417" t="s">
        <v>694</v>
      </c>
      <c r="D102" s="417" t="s">
        <v>695</v>
      </c>
      <c r="E102" s="417" t="s">
        <v>696</v>
      </c>
      <c r="F102" s="249" t="s">
        <v>1067</v>
      </c>
      <c r="G102" s="249" t="s">
        <v>1088</v>
      </c>
      <c r="H102" s="249" t="s">
        <v>1089</v>
      </c>
      <c r="I102" s="249" t="s">
        <v>1183</v>
      </c>
      <c r="J102" s="249" t="s">
        <v>1184</v>
      </c>
      <c r="K102" s="249" t="s">
        <v>1185</v>
      </c>
      <c r="L102" s="249" t="s">
        <v>1186</v>
      </c>
      <c r="M102" s="249" t="s">
        <v>1187</v>
      </c>
      <c r="N102" s="249" t="s">
        <v>1188</v>
      </c>
      <c r="P102" s="417" t="s">
        <v>697</v>
      </c>
      <c r="Q102" s="417" t="s">
        <v>698</v>
      </c>
      <c r="S102" s="159"/>
    </row>
    <row r="103" spans="2:19" ht="30" x14ac:dyDescent="0.25">
      <c r="B103" s="160"/>
      <c r="C103" s="419" t="s">
        <v>1059</v>
      </c>
      <c r="D103" s="165" t="s">
        <v>1060</v>
      </c>
      <c r="E103" s="165" t="s">
        <v>700</v>
      </c>
      <c r="F103" s="670">
        <v>2</v>
      </c>
      <c r="G103" s="670"/>
      <c r="H103" s="670"/>
      <c r="I103" s="670"/>
      <c r="J103" s="670"/>
      <c r="K103" s="670"/>
      <c r="L103" s="670"/>
      <c r="M103" s="670"/>
      <c r="N103" s="670"/>
      <c r="P103" s="206"/>
      <c r="Q103" s="206"/>
      <c r="S103" s="159"/>
    </row>
    <row r="104" spans="2:19" ht="45" x14ac:dyDescent="0.25">
      <c r="B104" s="160"/>
      <c r="C104" s="419" t="s">
        <v>1059</v>
      </c>
      <c r="D104" s="165" t="s">
        <v>1061</v>
      </c>
      <c r="E104" s="165" t="s">
        <v>701</v>
      </c>
      <c r="F104" s="664">
        <v>15</v>
      </c>
      <c r="G104" s="664"/>
      <c r="H104" s="664"/>
      <c r="I104" s="664"/>
      <c r="J104" s="664"/>
      <c r="K104" s="664"/>
      <c r="L104" s="664"/>
      <c r="M104" s="664"/>
      <c r="N104" s="664"/>
      <c r="P104" s="675" t="s">
        <v>1028</v>
      </c>
      <c r="Q104" s="676">
        <f>VLOOKUP(P104,payscales!$Q$5:$T$43,4,0)</f>
        <v>89.44</v>
      </c>
      <c r="S104" s="159"/>
    </row>
    <row r="105" spans="2:19" ht="30" x14ac:dyDescent="0.25">
      <c r="B105" s="160"/>
      <c r="C105" s="419" t="s">
        <v>1071</v>
      </c>
      <c r="D105" s="165" t="s">
        <v>703</v>
      </c>
      <c r="E105" s="165" t="s">
        <v>700</v>
      </c>
      <c r="F105" s="664"/>
      <c r="G105" s="664">
        <v>3</v>
      </c>
      <c r="H105" s="664">
        <v>3</v>
      </c>
      <c r="I105" s="664">
        <v>3</v>
      </c>
      <c r="J105" s="664">
        <v>3</v>
      </c>
      <c r="K105" s="664">
        <v>1</v>
      </c>
      <c r="L105" s="664">
        <v>1</v>
      </c>
      <c r="M105" s="664">
        <v>3</v>
      </c>
      <c r="N105" s="664">
        <v>3</v>
      </c>
      <c r="P105" s="206"/>
      <c r="Q105" s="206"/>
      <c r="S105" s="159"/>
    </row>
    <row r="106" spans="2:19" ht="45" x14ac:dyDescent="0.25">
      <c r="B106" s="160"/>
      <c r="C106" s="419" t="s">
        <v>1071</v>
      </c>
      <c r="D106" s="165" t="s">
        <v>704</v>
      </c>
      <c r="E106" s="165" t="s">
        <v>701</v>
      </c>
      <c r="F106" s="664"/>
      <c r="G106" s="664">
        <v>15</v>
      </c>
      <c r="H106" s="664">
        <v>15</v>
      </c>
      <c r="I106" s="664">
        <v>15</v>
      </c>
      <c r="J106" s="664">
        <v>15</v>
      </c>
      <c r="K106" s="664">
        <v>15</v>
      </c>
      <c r="L106" s="664">
        <v>15</v>
      </c>
      <c r="M106" s="664">
        <v>15</v>
      </c>
      <c r="N106" s="664">
        <v>15</v>
      </c>
      <c r="P106" s="675" t="s">
        <v>702</v>
      </c>
      <c r="Q106" s="676">
        <f>VLOOKUP(P106,payscales!$Q$5:$T$43,4,0)</f>
        <v>103.07</v>
      </c>
      <c r="S106" s="159"/>
    </row>
    <row r="107" spans="2:19" ht="30" x14ac:dyDescent="0.25">
      <c r="B107" s="160"/>
      <c r="C107" s="415" t="s">
        <v>1148</v>
      </c>
      <c r="D107" s="165" t="s">
        <v>705</v>
      </c>
      <c r="E107" s="165" t="s">
        <v>700</v>
      </c>
      <c r="F107" s="671"/>
      <c r="G107" s="671"/>
      <c r="H107" s="670"/>
      <c r="I107" s="670"/>
      <c r="J107" s="670"/>
      <c r="K107" s="670"/>
      <c r="L107" s="670"/>
      <c r="M107" s="670"/>
      <c r="N107" s="670"/>
      <c r="P107" s="675" t="s">
        <v>706</v>
      </c>
      <c r="Q107" s="676">
        <f>VLOOKUP(P107,payscales!$Q$5:$T$43,4,0)</f>
        <v>38.99</v>
      </c>
      <c r="S107" s="159"/>
    </row>
    <row r="108" spans="2:19" ht="45" x14ac:dyDescent="0.25">
      <c r="B108" s="160"/>
      <c r="C108" s="415" t="s">
        <v>1148</v>
      </c>
      <c r="D108" s="165" t="s">
        <v>707</v>
      </c>
      <c r="E108" s="165" t="s">
        <v>700</v>
      </c>
      <c r="F108" s="671"/>
      <c r="G108" s="665"/>
      <c r="H108" s="664"/>
      <c r="I108" s="664"/>
      <c r="J108" s="664"/>
      <c r="K108" s="664"/>
      <c r="L108" s="664"/>
      <c r="M108" s="664"/>
      <c r="N108" s="664"/>
      <c r="P108" s="675" t="s">
        <v>706</v>
      </c>
      <c r="Q108" s="676">
        <f>VLOOKUP(P108,payscales!$Q$5:$T$43,4,0)</f>
        <v>38.99</v>
      </c>
      <c r="S108" s="159"/>
    </row>
    <row r="109" spans="2:19" ht="30" x14ac:dyDescent="0.25">
      <c r="B109" s="160"/>
      <c r="C109" s="415" t="s">
        <v>1148</v>
      </c>
      <c r="D109" s="165" t="s">
        <v>708</v>
      </c>
      <c r="E109" s="165" t="s">
        <v>700</v>
      </c>
      <c r="F109" s="671"/>
      <c r="G109" s="665"/>
      <c r="H109" s="664"/>
      <c r="I109" s="664"/>
      <c r="J109" s="664"/>
      <c r="K109" s="664"/>
      <c r="L109" s="664"/>
      <c r="M109" s="664"/>
      <c r="N109" s="664"/>
      <c r="P109" s="675" t="s">
        <v>706</v>
      </c>
      <c r="Q109" s="676">
        <f>VLOOKUP(P109,payscales!$Q$5:$T$43,4,0)</f>
        <v>38.99</v>
      </c>
      <c r="S109" s="159"/>
    </row>
    <row r="110" spans="2:19" ht="30" x14ac:dyDescent="0.25">
      <c r="B110" s="160"/>
      <c r="C110" s="416" t="s">
        <v>709</v>
      </c>
      <c r="D110" s="165" t="s">
        <v>710</v>
      </c>
      <c r="E110" s="165" t="s">
        <v>700</v>
      </c>
      <c r="F110" s="672"/>
      <c r="G110" s="673"/>
      <c r="H110" s="664"/>
      <c r="I110" s="664"/>
      <c r="J110" s="664"/>
      <c r="K110" s="664"/>
      <c r="L110" s="664"/>
      <c r="M110" s="664"/>
      <c r="N110" s="664"/>
      <c r="P110" s="675" t="s">
        <v>711</v>
      </c>
      <c r="Q110" s="676">
        <f>VLOOKUP(P110,payscales!$Q$5:$T$43,4,0)</f>
        <v>43.28</v>
      </c>
      <c r="S110" s="159"/>
    </row>
    <row r="111" spans="2:19" ht="30" hidden="1" x14ac:dyDescent="0.25">
      <c r="B111" s="160"/>
      <c r="C111" s="418" t="s">
        <v>712</v>
      </c>
      <c r="D111" s="165" t="s">
        <v>713</v>
      </c>
      <c r="E111" s="165" t="s">
        <v>714</v>
      </c>
      <c r="F111" s="664"/>
      <c r="G111" s="664"/>
      <c r="H111" s="664"/>
      <c r="I111" s="664"/>
      <c r="J111" s="664"/>
      <c r="K111" s="664"/>
      <c r="L111" s="664"/>
      <c r="M111" s="664"/>
      <c r="N111" s="664"/>
      <c r="P111" s="206"/>
      <c r="Q111" s="206"/>
      <c r="S111" s="159"/>
    </row>
    <row r="112" spans="2:19" ht="45" hidden="1" x14ac:dyDescent="0.25">
      <c r="B112" s="160"/>
      <c r="C112" s="418" t="s">
        <v>712</v>
      </c>
      <c r="D112" s="165" t="s">
        <v>713</v>
      </c>
      <c r="E112" s="165" t="s">
        <v>701</v>
      </c>
      <c r="F112" s="664"/>
      <c r="G112" s="664"/>
      <c r="H112" s="664"/>
      <c r="I112" s="664"/>
      <c r="J112" s="664"/>
      <c r="K112" s="664"/>
      <c r="L112" s="664"/>
      <c r="M112" s="664"/>
      <c r="N112" s="664"/>
      <c r="P112" s="675" t="s">
        <v>702</v>
      </c>
      <c r="Q112" s="676">
        <f>VLOOKUP(P112,payscales!$Q$5:$T$43,4,0)</f>
        <v>103.07</v>
      </c>
      <c r="S112" s="159"/>
    </row>
    <row r="113" spans="2:19" ht="30" hidden="1" x14ac:dyDescent="0.25">
      <c r="B113" s="160"/>
      <c r="C113" s="420" t="s">
        <v>715</v>
      </c>
      <c r="D113" s="165"/>
      <c r="E113" s="165" t="s">
        <v>714</v>
      </c>
      <c r="F113" s="671"/>
      <c r="G113" s="671"/>
      <c r="H113" s="671"/>
      <c r="I113" s="671"/>
      <c r="J113" s="671"/>
      <c r="K113" s="671"/>
      <c r="L113" s="671"/>
      <c r="M113" s="671"/>
      <c r="N113" s="671"/>
      <c r="P113" s="206"/>
      <c r="Q113" s="206"/>
      <c r="S113" s="159"/>
    </row>
    <row r="114" spans="2:19" ht="45" hidden="1" x14ac:dyDescent="0.25">
      <c r="B114" s="160"/>
      <c r="C114" s="420" t="s">
        <v>715</v>
      </c>
      <c r="D114" s="165"/>
      <c r="E114" s="165" t="s">
        <v>716</v>
      </c>
      <c r="F114" s="671"/>
      <c r="G114" s="671"/>
      <c r="H114" s="671"/>
      <c r="I114" s="671"/>
      <c r="J114" s="671"/>
      <c r="K114" s="671"/>
      <c r="L114" s="671"/>
      <c r="M114" s="671"/>
      <c r="N114" s="671"/>
      <c r="P114" s="675" t="s">
        <v>706</v>
      </c>
      <c r="Q114" s="676">
        <f>VLOOKUP(P114,payscales!$Q$5:$T$43,4,0)</f>
        <v>38.99</v>
      </c>
      <c r="S114" s="159"/>
    </row>
    <row r="115" spans="2:19" ht="30" hidden="1" x14ac:dyDescent="0.25">
      <c r="B115" s="160"/>
      <c r="C115" s="420" t="s">
        <v>715</v>
      </c>
      <c r="D115" s="165"/>
      <c r="E115" s="165" t="s">
        <v>714</v>
      </c>
      <c r="F115" s="671"/>
      <c r="G115" s="674"/>
      <c r="H115" s="674"/>
      <c r="I115" s="674"/>
      <c r="J115" s="674"/>
      <c r="K115" s="674"/>
      <c r="L115" s="674"/>
      <c r="M115" s="674"/>
      <c r="N115" s="674"/>
      <c r="P115" s="206"/>
      <c r="Q115" s="206"/>
      <c r="S115" s="159"/>
    </row>
    <row r="116" spans="2:19" ht="45" hidden="1" x14ac:dyDescent="0.25">
      <c r="B116" s="160"/>
      <c r="C116" s="420" t="s">
        <v>715</v>
      </c>
      <c r="D116" s="165"/>
      <c r="E116" s="165" t="s">
        <v>716</v>
      </c>
      <c r="F116" s="671"/>
      <c r="G116" s="674"/>
      <c r="H116" s="674"/>
      <c r="I116" s="674"/>
      <c r="J116" s="674"/>
      <c r="K116" s="674"/>
      <c r="L116" s="674"/>
      <c r="M116" s="674"/>
      <c r="N116" s="674"/>
      <c r="P116" s="675" t="s">
        <v>717</v>
      </c>
      <c r="Q116" s="676">
        <f>VLOOKUP(P116,payscales!$Q$5:$T$43,4,0)</f>
        <v>31.51</v>
      </c>
      <c r="S116" s="159"/>
    </row>
    <row r="117" spans="2:19" hidden="1" x14ac:dyDescent="0.25">
      <c r="B117" s="160"/>
      <c r="C117" s="420" t="s">
        <v>715</v>
      </c>
      <c r="D117" s="165"/>
      <c r="E117" s="165" t="s">
        <v>718</v>
      </c>
      <c r="F117" s="671"/>
      <c r="G117" s="674"/>
      <c r="H117" s="674"/>
      <c r="I117" s="674"/>
      <c r="J117" s="674"/>
      <c r="K117" s="674"/>
      <c r="L117" s="674"/>
      <c r="M117" s="674"/>
      <c r="N117" s="674"/>
      <c r="P117" s="206"/>
      <c r="Q117" s="206"/>
      <c r="S117" s="159"/>
    </row>
    <row r="118" spans="2:19" ht="45" hidden="1" x14ac:dyDescent="0.25">
      <c r="B118" s="160"/>
      <c r="C118" s="420" t="s">
        <v>715</v>
      </c>
      <c r="D118" s="165"/>
      <c r="E118" s="165" t="s">
        <v>716</v>
      </c>
      <c r="F118" s="671"/>
      <c r="G118" s="674"/>
      <c r="H118" s="674"/>
      <c r="I118" s="674"/>
      <c r="J118" s="674"/>
      <c r="K118" s="674"/>
      <c r="L118" s="674"/>
      <c r="M118" s="674"/>
      <c r="N118" s="674"/>
      <c r="P118" s="675" t="s">
        <v>711</v>
      </c>
      <c r="Q118" s="676">
        <f>VLOOKUP(P118,payscales!$Q$5:$T$43,4,0)</f>
        <v>43.28</v>
      </c>
      <c r="S118" s="159"/>
    </row>
    <row r="119" spans="2:19" ht="30" hidden="1" x14ac:dyDescent="0.25">
      <c r="B119" s="160"/>
      <c r="C119" s="368" t="s">
        <v>719</v>
      </c>
      <c r="D119" s="368" t="s">
        <v>720</v>
      </c>
      <c r="E119" s="165" t="s">
        <v>714</v>
      </c>
      <c r="F119" s="582" t="s">
        <v>721</v>
      </c>
      <c r="G119" s="582" t="s">
        <v>721</v>
      </c>
      <c r="H119" s="582" t="s">
        <v>721</v>
      </c>
      <c r="I119" s="582" t="s">
        <v>721</v>
      </c>
      <c r="J119" s="582" t="s">
        <v>721</v>
      </c>
      <c r="K119" s="582" t="s">
        <v>721</v>
      </c>
      <c r="L119" s="582" t="s">
        <v>721</v>
      </c>
      <c r="M119" s="582" t="s">
        <v>721</v>
      </c>
      <c r="N119" s="582" t="s">
        <v>721</v>
      </c>
      <c r="P119" s="209"/>
      <c r="Q119" s="206"/>
      <c r="S119" s="159"/>
    </row>
    <row r="120" spans="2:19" x14ac:dyDescent="0.25">
      <c r="B120" s="160"/>
      <c r="C120" s="357"/>
      <c r="D120" s="212"/>
      <c r="E120" s="212"/>
      <c r="F120" s="212"/>
      <c r="S120" s="159"/>
    </row>
    <row r="121" spans="2:19" x14ac:dyDescent="0.25">
      <c r="B121" s="160"/>
      <c r="C121" s="197" t="s">
        <v>722</v>
      </c>
      <c r="D121" s="152"/>
      <c r="S121" s="159"/>
    </row>
    <row r="122" spans="2:19" x14ac:dyDescent="0.25">
      <c r="B122" s="160"/>
      <c r="C122" t="s">
        <v>1172</v>
      </c>
      <c r="D122" s="152"/>
      <c r="S122" s="159"/>
    </row>
    <row r="123" spans="2:19" x14ac:dyDescent="0.25">
      <c r="B123" s="161"/>
      <c r="C123" s="162"/>
      <c r="D123" s="164"/>
      <c r="E123" s="164"/>
      <c r="F123" s="164"/>
      <c r="G123" s="164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3"/>
    </row>
    <row r="124" spans="2:19" x14ac:dyDescent="0.25">
      <c r="D124" s="152"/>
      <c r="E124" s="152"/>
      <c r="F124" s="152"/>
      <c r="G124" s="152"/>
    </row>
    <row r="125" spans="2:19" x14ac:dyDescent="0.25">
      <c r="B125" s="411" t="s">
        <v>723</v>
      </c>
      <c r="C125" s="410"/>
      <c r="D125" s="410"/>
      <c r="E125" s="410"/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  <c r="P125" s="410"/>
      <c r="Q125" s="410"/>
      <c r="R125" s="410"/>
      <c r="S125" s="227"/>
    </row>
    <row r="126" spans="2:19" x14ac:dyDescent="0.25">
      <c r="B126" s="231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32"/>
    </row>
    <row r="127" spans="2:19" x14ac:dyDescent="0.25">
      <c r="B127" s="231"/>
      <c r="C127" s="719" t="s">
        <v>724</v>
      </c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32"/>
    </row>
    <row r="128" spans="2:19" x14ac:dyDescent="0.25">
      <c r="B128" s="231"/>
      <c r="C128" s="714" t="s">
        <v>725</v>
      </c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32"/>
    </row>
    <row r="129" spans="2:19" x14ac:dyDescent="0.25">
      <c r="B129" s="231"/>
      <c r="C129" s="714" t="s">
        <v>726</v>
      </c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32"/>
    </row>
    <row r="130" spans="2:19" x14ac:dyDescent="0.25">
      <c r="B130" s="231"/>
      <c r="C130" s="484" t="s">
        <v>727</v>
      </c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32"/>
    </row>
    <row r="131" spans="2:19" x14ac:dyDescent="0.25">
      <c r="B131" s="231"/>
      <c r="C131" s="484" t="s">
        <v>728</v>
      </c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32"/>
    </row>
    <row r="132" spans="2:19" x14ac:dyDescent="0.25">
      <c r="B132" s="231"/>
      <c r="C132" s="48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32"/>
    </row>
    <row r="133" spans="2:19" x14ac:dyDescent="0.25">
      <c r="B133" s="231"/>
      <c r="C133" s="718" t="s">
        <v>729</v>
      </c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32"/>
    </row>
    <row r="134" spans="2:19" x14ac:dyDescent="0.25">
      <c r="B134" s="231"/>
      <c r="C134" s="714" t="s">
        <v>730</v>
      </c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32"/>
    </row>
    <row r="135" spans="2:19" x14ac:dyDescent="0.25">
      <c r="B135" s="231"/>
      <c r="C135" s="484" t="s">
        <v>731</v>
      </c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32"/>
    </row>
    <row r="136" spans="2:19" x14ac:dyDescent="0.25">
      <c r="B136" s="231"/>
      <c r="C136" s="484" t="s">
        <v>732</v>
      </c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32"/>
    </row>
    <row r="137" spans="2:19" x14ac:dyDescent="0.25">
      <c r="B137" s="231"/>
      <c r="C137" s="484" t="s">
        <v>733</v>
      </c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32"/>
    </row>
    <row r="138" spans="2:19" x14ac:dyDescent="0.25">
      <c r="B138" s="229"/>
      <c r="C138" s="233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30"/>
    </row>
  </sheetData>
  <sheetProtection algorithmName="SHA-512" hashValue="MB0mHhuchgFfkeYVXtdWaydAy0VrIIPdzVRZY5Oif9FOvQnZbV1eGR3lFEq02tCe6gNq5l32tblzL5s29InmwQ==" saltValue="DW0Ynb6yTr2NjDrP6TaZ5A==" spinCount="100000" sheet="1" objects="1" scenarios="1"/>
  <mergeCells count="15">
    <mergeCell ref="C24:D24"/>
    <mergeCell ref="H27:Q27"/>
    <mergeCell ref="C58:H58"/>
    <mergeCell ref="H28:Q28"/>
    <mergeCell ref="C79:H79"/>
    <mergeCell ref="C69:H69"/>
    <mergeCell ref="H33:Q33"/>
    <mergeCell ref="R33:X33"/>
    <mergeCell ref="H36:X36"/>
    <mergeCell ref="H37:X37"/>
    <mergeCell ref="R28:X28"/>
    <mergeCell ref="H29:Q29"/>
    <mergeCell ref="R29:X29"/>
    <mergeCell ref="H32:Q32"/>
    <mergeCell ref="R32:X32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28" r:id="rId1" display="Office for National Statistics Population Estimates, England and Wales: mid-2022" xr:uid="{E5307553-7A6C-4E4A-A884-E27CF8AE4772}"/>
    <hyperlink ref="C129" r:id="rId2" xr:uid="{7973B0A5-0DDC-4D6E-A615-7910C6E2CF4A}"/>
    <hyperlink ref="C134" r:id="rId3" xr:uid="{EDC70E40-643A-4353-80EE-8CAA529E12F0}"/>
    <hyperlink ref="H27:Q27" r:id="rId4" display="https://digital.nhs.uk/data-and-information/data-tools-and-services/data-services/general-practice-data-hub/quality-outcomes-framework-qof" xr:uid="{20BC22FB-F227-4A52-9DD0-4CD66AC6CD86}"/>
    <hyperlink ref="K60" r:id="rId5" location="drug-action" xr:uid="{4F1631A6-861A-4A44-80F7-2F8BCA790022}"/>
    <hyperlink ref="H32:Q32" r:id="rId6" display="United Kingdom National Ophthalmology Database Study: Diabetic Retinopathy; Report 1: prevalence of centre-involving diabetic macular oedema and other grades of maculopathy and retinopathy in hospital eye services" xr:uid="{D9926233-E76B-448A-BC11-67CD5761AF72}"/>
    <hyperlink ref="H33:Q33" r:id="rId7" display="Real-world Outcomes among Eyes with Center-Involving Diabetic Macular Edema and Good Visual Acuity - PMC (nih.gov)" xr:uid="{24A9BECA-E6CA-483E-97E1-B66FBFF3FFEE}"/>
    <hyperlink ref="H28:Q28" r:id="rId8" display="Facts &amp; Figures | Diabetes UK" xr:uid="{AEC67260-0FCA-412A-A5CF-E629FD1BF078}"/>
    <hyperlink ref="H29:Q29" r:id="rId9" display="Prevalence and incidence of diabetic retinopathy (DR) in the UK population of Gloucestershire - PubMed (nih.gov)" xr:uid="{240AF4DF-B6A1-44D3-99FC-A9638B40ED42}"/>
  </hyperlinks>
  <pageMargins left="0.7" right="0.7" top="0.75" bottom="0.75" header="0.3" footer="0.3"/>
  <pageSetup paperSize="9" scale="49" orientation="portrait" verticalDpi="0" r:id="rId10"/>
  <rowBreaks count="1" manualBreakCount="1">
    <brk id="61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F40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B5AA29EA-C908-4549-8002-5A1D4F65D23C}">
          <x14:formula1>
            <xm:f>payscales!$Q$5:$Q$43</xm:f>
          </x14:formula1>
          <xm:sqref>P104 P112 P114 P116 P118 P106:P110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148"/>
  <sheetViews>
    <sheetView showGridLines="0" zoomScale="70" zoomScaleNormal="70" workbookViewId="0">
      <selection activeCell="N22" sqref="N22"/>
    </sheetView>
  </sheetViews>
  <sheetFormatPr defaultColWidth="9.140625" defaultRowHeight="12.75" x14ac:dyDescent="0.2"/>
  <cols>
    <col min="1" max="1" width="3.5703125" style="3" customWidth="1"/>
    <col min="2" max="2" width="30.140625" style="3" customWidth="1"/>
    <col min="3" max="3" width="29.85546875" style="3" bestFit="1" customWidth="1"/>
    <col min="4" max="4" width="11.85546875" style="3" customWidth="1"/>
    <col min="5" max="5" width="11.42578125" style="3" customWidth="1"/>
    <col min="6" max="6" width="10.85546875" style="3" customWidth="1"/>
    <col min="7" max="7" width="10.42578125" style="3" bestFit="1" customWidth="1"/>
    <col min="8" max="8" width="11.140625" style="3" customWidth="1"/>
    <col min="9" max="9" width="9.42578125" style="3" customWidth="1"/>
    <col min="10" max="10" width="11.42578125" style="3" customWidth="1"/>
    <col min="11" max="12" width="10.5703125" style="3" customWidth="1"/>
    <col min="13" max="13" width="12.5703125" style="3" customWidth="1"/>
    <col min="14" max="16" width="12.42578125" style="3" customWidth="1"/>
    <col min="17" max="19" width="12.140625" style="3" customWidth="1"/>
    <col min="20" max="20" width="3.42578125" style="3" customWidth="1"/>
    <col min="21" max="21" width="9.42578125" style="3" customWidth="1"/>
    <col min="22" max="16384" width="9.140625" style="3"/>
  </cols>
  <sheetData>
    <row r="1" spans="1:23" ht="30" customHeight="1" x14ac:dyDescent="0.35">
      <c r="A1" s="192"/>
      <c r="B1" s="577" t="str">
        <f>'Inputs and eligible population'!B1</f>
        <v>Diabetic retinopathy: management and monitoring</v>
      </c>
      <c r="C1" s="147"/>
      <c r="D1" s="131"/>
      <c r="E1" s="131"/>
      <c r="F1" s="131"/>
      <c r="G1" s="131"/>
      <c r="H1" s="131"/>
      <c r="I1" s="131"/>
      <c r="J1" s="131" t="s">
        <v>734</v>
      </c>
      <c r="K1" s="131" t="s">
        <v>734</v>
      </c>
      <c r="L1" s="131" t="s">
        <v>734</v>
      </c>
      <c r="M1" s="131" t="s">
        <v>734</v>
      </c>
      <c r="N1" s="153"/>
      <c r="O1" s="153"/>
      <c r="P1" s="153"/>
      <c r="Q1" s="192"/>
      <c r="R1" s="192"/>
      <c r="S1" s="192"/>
      <c r="T1" s="192"/>
    </row>
    <row r="2" spans="1:23" ht="26.25" customHeight="1" x14ac:dyDescent="0.35">
      <c r="A2" s="192"/>
      <c r="B2" s="145" t="s">
        <v>34</v>
      </c>
      <c r="C2" s="146" t="s">
        <v>734</v>
      </c>
      <c r="D2" s="131" t="s">
        <v>734</v>
      </c>
      <c r="E2" s="131" t="s">
        <v>734</v>
      </c>
      <c r="F2" s="131" t="s">
        <v>734</v>
      </c>
      <c r="G2" s="131" t="s">
        <v>734</v>
      </c>
      <c r="H2" s="131" t="s">
        <v>734</v>
      </c>
      <c r="I2" s="131" t="s">
        <v>734</v>
      </c>
      <c r="J2" s="131" t="s">
        <v>734</v>
      </c>
      <c r="K2" s="132" t="s">
        <v>734</v>
      </c>
      <c r="L2" s="132"/>
      <c r="M2" s="132"/>
      <c r="N2" s="132"/>
      <c r="O2" s="132"/>
      <c r="P2" s="132"/>
      <c r="Q2" s="192"/>
      <c r="R2" s="192"/>
      <c r="S2" s="192"/>
      <c r="T2" s="192"/>
    </row>
    <row r="3" spans="1:23" ht="14.45" customHeight="1" x14ac:dyDescent="0.35">
      <c r="A3" s="192"/>
      <c r="B3" s="129"/>
      <c r="C3" s="147"/>
      <c r="D3" s="131"/>
      <c r="E3" s="131"/>
      <c r="F3" s="131"/>
      <c r="G3" s="131" t="s">
        <v>734</v>
      </c>
      <c r="H3" s="131" t="s">
        <v>734</v>
      </c>
      <c r="I3" s="131" t="s">
        <v>734</v>
      </c>
      <c r="J3" s="131" t="s">
        <v>734</v>
      </c>
      <c r="K3" s="132" t="s">
        <v>734</v>
      </c>
      <c r="L3" s="132"/>
      <c r="M3" s="132"/>
      <c r="N3" s="132"/>
      <c r="O3" s="132"/>
      <c r="P3" s="132"/>
      <c r="Q3" s="192"/>
      <c r="R3" s="192"/>
      <c r="S3" s="192"/>
      <c r="T3" s="192"/>
    </row>
    <row r="4" spans="1:23" ht="14.45" customHeight="1" x14ac:dyDescent="0.35">
      <c r="A4" s="192"/>
      <c r="B4" t="s">
        <v>735</v>
      </c>
      <c r="C4" s="147"/>
      <c r="D4" s="131"/>
      <c r="E4" s="131"/>
      <c r="F4" s="131"/>
      <c r="G4" s="131" t="s">
        <v>734</v>
      </c>
      <c r="H4" s="131" t="s">
        <v>734</v>
      </c>
      <c r="I4" s="131" t="s">
        <v>734</v>
      </c>
      <c r="J4" s="131" t="s">
        <v>734</v>
      </c>
      <c r="K4" s="132" t="s">
        <v>734</v>
      </c>
      <c r="L4" s="131"/>
      <c r="M4" s="132"/>
      <c r="N4" s="132"/>
      <c r="O4" s="132"/>
      <c r="P4" s="132"/>
      <c r="Q4" s="132"/>
      <c r="R4" s="132"/>
      <c r="S4" s="132"/>
      <c r="T4" s="132"/>
    </row>
    <row r="5" spans="1:23" ht="14.45" customHeight="1" x14ac:dyDescent="0.35">
      <c r="A5" s="192"/>
      <c r="B5" t="s">
        <v>651</v>
      </c>
      <c r="C5" s="147"/>
      <c r="D5" s="131"/>
      <c r="E5" s="131"/>
      <c r="F5" s="131"/>
      <c r="G5" s="131"/>
      <c r="H5" s="131" t="s">
        <v>734</v>
      </c>
      <c r="I5" s="131" t="s">
        <v>734</v>
      </c>
      <c r="J5" s="131" t="s">
        <v>734</v>
      </c>
      <c r="K5" s="132" t="s">
        <v>734</v>
      </c>
      <c r="L5" s="131"/>
      <c r="M5" s="132"/>
      <c r="N5" s="132"/>
      <c r="O5" s="132"/>
      <c r="P5" s="132"/>
      <c r="Q5" s="132"/>
      <c r="R5" s="132"/>
      <c r="S5" s="132"/>
      <c r="T5" s="132"/>
    </row>
    <row r="6" spans="1:23" ht="14.45" customHeight="1" thickBot="1" x14ac:dyDescent="0.4">
      <c r="A6" s="192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</row>
    <row r="7" spans="1:23" s="245" customFormat="1" ht="15" x14ac:dyDescent="0.25">
      <c r="A7" s="247"/>
      <c r="B7" s="243" t="s">
        <v>1066</v>
      </c>
      <c r="C7" s="247"/>
      <c r="D7" s="700" t="s">
        <v>736</v>
      </c>
      <c r="E7" s="701"/>
      <c r="F7" s="701"/>
      <c r="G7" s="701"/>
      <c r="H7" s="702"/>
      <c r="I7" s="700" t="s">
        <v>737</v>
      </c>
      <c r="J7" s="701"/>
      <c r="K7" s="701"/>
      <c r="L7" s="701"/>
      <c r="M7" s="701"/>
      <c r="N7" s="701"/>
      <c r="O7" s="701"/>
      <c r="P7" s="701"/>
      <c r="Q7" s="701"/>
      <c r="R7" s="701"/>
      <c r="S7" s="702"/>
      <c r="T7" s="247"/>
      <c r="W7" s="3"/>
    </row>
    <row r="8" spans="1:23" s="245" customFormat="1" ht="48.95" customHeight="1" x14ac:dyDescent="0.25">
      <c r="A8" s="247"/>
      <c r="B8" s="246" t="s">
        <v>738</v>
      </c>
      <c r="C8" s="248" t="s">
        <v>739</v>
      </c>
      <c r="D8" s="703" t="s">
        <v>740</v>
      </c>
      <c r="E8" s="249" t="s">
        <v>741</v>
      </c>
      <c r="F8" s="249" t="s">
        <v>742</v>
      </c>
      <c r="G8" s="249" t="s">
        <v>743</v>
      </c>
      <c r="H8" s="704" t="s">
        <v>744</v>
      </c>
      <c r="I8" s="710" t="s">
        <v>745</v>
      </c>
      <c r="J8" s="246" t="s">
        <v>746</v>
      </c>
      <c r="K8" s="249" t="s">
        <v>747</v>
      </c>
      <c r="L8" s="249" t="s">
        <v>748</v>
      </c>
      <c r="M8" s="249" t="s">
        <v>749</v>
      </c>
      <c r="N8" s="249" t="s">
        <v>750</v>
      </c>
      <c r="O8" s="707" t="s">
        <v>751</v>
      </c>
      <c r="P8" s="707" t="s">
        <v>752</v>
      </c>
      <c r="Q8" s="248" t="s">
        <v>753</v>
      </c>
      <c r="R8" s="246" t="s">
        <v>754</v>
      </c>
      <c r="S8" s="704" t="s">
        <v>755</v>
      </c>
      <c r="T8" s="247"/>
      <c r="W8" s="3"/>
    </row>
    <row r="9" spans="1:23" s="245" customFormat="1" ht="15" x14ac:dyDescent="0.25">
      <c r="A9" s="247"/>
      <c r="B9" s="677" t="s">
        <v>1052</v>
      </c>
      <c r="C9" s="698" t="s">
        <v>1051</v>
      </c>
      <c r="D9" s="705" t="s">
        <v>1056</v>
      </c>
      <c r="E9" s="678" t="s">
        <v>1057</v>
      </c>
      <c r="F9" s="679">
        <v>160</v>
      </c>
      <c r="G9" s="679">
        <v>28</v>
      </c>
      <c r="H9" s="706">
        <f>G9*F9</f>
        <v>4480</v>
      </c>
      <c r="I9" s="711">
        <v>160</v>
      </c>
      <c r="J9" s="680" t="s">
        <v>756</v>
      </c>
      <c r="K9" s="680" t="s">
        <v>756</v>
      </c>
      <c r="L9" s="679">
        <f>I9</f>
        <v>160</v>
      </c>
      <c r="M9" s="677">
        <v>28</v>
      </c>
      <c r="N9" s="677">
        <v>13</v>
      </c>
      <c r="O9" s="679">
        <f>N9*M9*L9</f>
        <v>58240</v>
      </c>
      <c r="P9" s="677">
        <f>O9/H9</f>
        <v>13</v>
      </c>
      <c r="Q9" s="681">
        <f>'Inputs and eligible population'!I60</f>
        <v>3.08</v>
      </c>
      <c r="R9" s="682">
        <f>'Inputs and eligible population'!J60</f>
        <v>0</v>
      </c>
      <c r="S9" s="712">
        <f>P9*Q9*(100%+R9)</f>
        <v>40.04</v>
      </c>
      <c r="T9" s="247"/>
      <c r="W9" s="3"/>
    </row>
    <row r="10" spans="1:23" s="245" customFormat="1" ht="15" x14ac:dyDescent="0.25">
      <c r="A10" s="247"/>
      <c r="B10" s="697"/>
      <c r="C10" s="250" t="s">
        <v>757</v>
      </c>
      <c r="D10" s="699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699"/>
      <c r="P10" s="699"/>
      <c r="Q10" s="699"/>
      <c r="R10" s="709"/>
      <c r="S10" s="852">
        <f>SUM(S9:S9)</f>
        <v>40.04</v>
      </c>
      <c r="T10" s="247"/>
      <c r="W10" s="3"/>
    </row>
    <row r="11" spans="1:23" s="245" customFormat="1" ht="15" x14ac:dyDescent="0.25">
      <c r="A11" s="247"/>
      <c r="B11" s="243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695"/>
      <c r="T11" s="247"/>
      <c r="W11" s="3"/>
    </row>
    <row r="12" spans="1:23" s="245" customFormat="1" ht="15" x14ac:dyDescent="0.25">
      <c r="A12" s="247"/>
      <c r="B12" s="760" t="s">
        <v>1173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695"/>
      <c r="T12" s="247"/>
      <c r="W12" s="3"/>
    </row>
    <row r="13" spans="1:23" s="245" customFormat="1" ht="15" x14ac:dyDescent="0.25">
      <c r="A13" s="247"/>
      <c r="B13" s="358" t="s">
        <v>1053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695"/>
      <c r="T13" s="247"/>
      <c r="W13" s="3"/>
    </row>
    <row r="14" spans="1:23" s="245" customFormat="1" ht="15" x14ac:dyDescent="0.25">
      <c r="A14" s="247"/>
      <c r="B14" s="243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695"/>
      <c r="T14" s="247"/>
      <c r="W14" s="3"/>
    </row>
    <row r="15" spans="1:23" s="245" customFormat="1" ht="15" x14ac:dyDescent="0.25">
      <c r="A15" s="247"/>
      <c r="B15" s="243" t="s">
        <v>1161</v>
      </c>
      <c r="C15" s="1"/>
      <c r="D15" s="766"/>
      <c r="E15" s="1"/>
      <c r="F15" s="1"/>
      <c r="G15" s="1"/>
      <c r="H15" s="1"/>
      <c r="I15" s="5"/>
      <c r="J15" s="5"/>
      <c r="K15" s="247"/>
      <c r="L15" s="247"/>
      <c r="M15" s="247"/>
      <c r="N15" s="247"/>
      <c r="O15" s="247"/>
      <c r="P15" s="247"/>
      <c r="Q15" s="247"/>
      <c r="R15" s="247"/>
      <c r="S15" s="695"/>
      <c r="T15" s="247"/>
      <c r="W15" s="3"/>
    </row>
    <row r="16" spans="1:23" s="245" customFormat="1" ht="15" x14ac:dyDescent="0.25">
      <c r="A16" s="247"/>
      <c r="B16" s="246"/>
      <c r="C16" s="246" t="s">
        <v>1081</v>
      </c>
      <c r="D16" s="470" t="s">
        <v>1082</v>
      </c>
      <c r="E16" s="248"/>
      <c r="F16" s="475"/>
      <c r="G16" s="475"/>
      <c r="H16" s="475"/>
      <c r="I16" s="774"/>
      <c r="J16" s="246" t="s">
        <v>1083</v>
      </c>
      <c r="K16" s="246" t="s">
        <v>1084</v>
      </c>
      <c r="L16" s="246" t="s">
        <v>1085</v>
      </c>
      <c r="M16" s="247"/>
      <c r="N16" s="247"/>
      <c r="O16" s="247"/>
      <c r="P16" s="247"/>
      <c r="Q16" s="247"/>
      <c r="R16" s="247"/>
      <c r="S16" s="695"/>
      <c r="T16" s="247"/>
      <c r="W16" s="3"/>
    </row>
    <row r="17" spans="1:23" s="245" customFormat="1" ht="15" x14ac:dyDescent="0.25">
      <c r="A17" s="247"/>
      <c r="B17" s="767" t="s">
        <v>1150</v>
      </c>
      <c r="C17" s="768" t="s">
        <v>1086</v>
      </c>
      <c r="D17" s="769" t="s">
        <v>1087</v>
      </c>
      <c r="E17" s="770"/>
      <c r="F17" s="770"/>
      <c r="G17" s="770"/>
      <c r="H17" s="770"/>
      <c r="I17" s="770"/>
      <c r="J17" s="771">
        <v>0</v>
      </c>
      <c r="K17" s="772">
        <v>108</v>
      </c>
      <c r="L17" s="772">
        <f t="shared" ref="L17:L21" si="0">K17*J17</f>
        <v>0</v>
      </c>
      <c r="M17" s="247"/>
      <c r="N17" s="247"/>
      <c r="O17" s="247"/>
      <c r="P17" s="247"/>
      <c r="Q17" s="247"/>
      <c r="R17" s="247"/>
      <c r="S17" s="695"/>
      <c r="T17" s="247"/>
      <c r="W17" s="3"/>
    </row>
    <row r="18" spans="1:23" s="245" customFormat="1" ht="15" x14ac:dyDescent="0.25">
      <c r="A18" s="247"/>
      <c r="B18" s="767" t="s">
        <v>609</v>
      </c>
      <c r="C18" s="768" t="s">
        <v>1086</v>
      </c>
      <c r="D18" s="769" t="s">
        <v>1087</v>
      </c>
      <c r="E18" s="770"/>
      <c r="F18" s="770"/>
      <c r="G18" s="770"/>
      <c r="H18" s="770"/>
      <c r="I18" s="770"/>
      <c r="J18" s="771">
        <v>4</v>
      </c>
      <c r="K18" s="772">
        <v>108</v>
      </c>
      <c r="L18" s="772">
        <f t="shared" si="0"/>
        <v>432</v>
      </c>
      <c r="M18" s="247"/>
      <c r="N18" s="247"/>
      <c r="O18" s="247"/>
      <c r="P18" s="247"/>
      <c r="Q18" s="247"/>
      <c r="R18" s="247"/>
      <c r="S18" s="695"/>
      <c r="T18" s="247"/>
      <c r="W18" s="3"/>
    </row>
    <row r="19" spans="1:23" s="245" customFormat="1" ht="15" x14ac:dyDescent="0.25">
      <c r="A19" s="247"/>
      <c r="B19" s="767" t="s">
        <v>610</v>
      </c>
      <c r="C19" s="768" t="s">
        <v>1086</v>
      </c>
      <c r="D19" s="769" t="s">
        <v>1087</v>
      </c>
      <c r="E19" s="770"/>
      <c r="F19" s="770"/>
      <c r="G19" s="770"/>
      <c r="H19" s="770"/>
      <c r="I19" s="770"/>
      <c r="J19" s="771">
        <v>3</v>
      </c>
      <c r="K19" s="772">
        <v>108</v>
      </c>
      <c r="L19" s="772">
        <f>K19*J19</f>
        <v>324</v>
      </c>
      <c r="M19" s="247"/>
      <c r="N19" s="247"/>
      <c r="O19" s="247"/>
      <c r="P19" s="247"/>
      <c r="Q19" s="247"/>
      <c r="R19" s="247"/>
      <c r="S19" s="695"/>
      <c r="T19" s="247"/>
      <c r="W19" s="3"/>
    </row>
    <row r="20" spans="1:23" s="245" customFormat="1" ht="15" x14ac:dyDescent="0.25">
      <c r="A20" s="247"/>
      <c r="B20" s="767" t="s">
        <v>611</v>
      </c>
      <c r="C20" s="768" t="s">
        <v>1086</v>
      </c>
      <c r="D20" s="769" t="s">
        <v>1087</v>
      </c>
      <c r="E20" s="770"/>
      <c r="F20" s="770"/>
      <c r="G20" s="770"/>
      <c r="H20" s="770"/>
      <c r="I20" s="770"/>
      <c r="J20" s="771">
        <v>2</v>
      </c>
      <c r="K20" s="772">
        <v>108</v>
      </c>
      <c r="L20" s="772">
        <f t="shared" si="0"/>
        <v>216</v>
      </c>
      <c r="M20" s="247"/>
      <c r="N20" s="247"/>
      <c r="O20" s="247"/>
      <c r="P20" s="247"/>
      <c r="Q20" s="247"/>
      <c r="R20" s="247"/>
      <c r="S20" s="695"/>
      <c r="T20" s="247"/>
      <c r="W20" s="3"/>
    </row>
    <row r="21" spans="1:23" s="245" customFormat="1" ht="15" x14ac:dyDescent="0.25">
      <c r="A21" s="247"/>
      <c r="B21" s="767" t="s">
        <v>612</v>
      </c>
      <c r="C21" s="768" t="s">
        <v>1086</v>
      </c>
      <c r="D21" s="769" t="s">
        <v>1087</v>
      </c>
      <c r="E21" s="770"/>
      <c r="F21" s="770"/>
      <c r="G21" s="770"/>
      <c r="H21" s="770"/>
      <c r="I21" s="770"/>
      <c r="J21" s="771">
        <v>1</v>
      </c>
      <c r="K21" s="772">
        <v>108</v>
      </c>
      <c r="L21" s="772">
        <f t="shared" si="0"/>
        <v>108</v>
      </c>
      <c r="M21" s="247"/>
      <c r="N21" s="247"/>
      <c r="O21" s="247"/>
      <c r="P21" s="247"/>
      <c r="Q21" s="247"/>
      <c r="R21" s="247"/>
      <c r="S21" s="695"/>
      <c r="T21" s="247"/>
      <c r="W21" s="3"/>
    </row>
    <row r="22" spans="1:23" s="245" customFormat="1" ht="15" x14ac:dyDescent="0.25">
      <c r="A22" s="247"/>
      <c r="B22" s="767" t="s">
        <v>613</v>
      </c>
      <c r="C22" s="768" t="s">
        <v>1086</v>
      </c>
      <c r="D22" s="769" t="s">
        <v>1087</v>
      </c>
      <c r="E22" s="770"/>
      <c r="F22" s="770"/>
      <c r="G22" s="770"/>
      <c r="H22" s="770"/>
      <c r="I22" s="770"/>
      <c r="J22" s="771">
        <v>0</v>
      </c>
      <c r="K22" s="772">
        <v>108</v>
      </c>
      <c r="L22" s="772">
        <f>K22*J22</f>
        <v>0</v>
      </c>
      <c r="M22" s="247"/>
      <c r="N22" s="247"/>
      <c r="O22" s="247"/>
      <c r="P22" s="247"/>
      <c r="Q22" s="247"/>
      <c r="R22" s="247"/>
      <c r="S22" s="695"/>
      <c r="T22" s="247"/>
      <c r="W22" s="3"/>
    </row>
    <row r="23" spans="1:23" s="245" customFormat="1" ht="15" x14ac:dyDescent="0.25">
      <c r="A23" s="247"/>
      <c r="B23" s="761"/>
      <c r="C23" s="762"/>
      <c r="D23" s="763"/>
      <c r="E23" s="1"/>
      <c r="F23" s="1"/>
      <c r="G23" s="1"/>
      <c r="H23" s="1"/>
      <c r="I23" s="5"/>
      <c r="J23" s="5"/>
      <c r="K23" s="247"/>
      <c r="L23" s="247"/>
      <c r="M23" s="247"/>
      <c r="N23" s="247"/>
      <c r="O23" s="247"/>
      <c r="P23" s="247"/>
      <c r="Q23" s="247"/>
      <c r="R23" s="247"/>
      <c r="S23" s="695"/>
      <c r="T23" s="247"/>
      <c r="W23" s="3"/>
    </row>
    <row r="24" spans="1:23" s="245" customFormat="1" ht="15" x14ac:dyDescent="0.25">
      <c r="A24" s="247"/>
      <c r="B24" s="764" t="s">
        <v>1162</v>
      </c>
      <c r="C24" s="765"/>
      <c r="D24" s="762"/>
      <c r="E24" s="762"/>
      <c r="F24" s="763"/>
      <c r="G24" s="1"/>
      <c r="H24" s="1"/>
      <c r="I24" s="5"/>
      <c r="J24" s="5"/>
      <c r="K24" s="247"/>
      <c r="L24" s="247"/>
      <c r="M24" s="247"/>
      <c r="N24" s="247"/>
      <c r="O24" s="247"/>
      <c r="P24" s="247"/>
      <c r="Q24" s="247"/>
      <c r="R24" s="247"/>
      <c r="S24" s="695"/>
      <c r="T24" s="247"/>
      <c r="W24" s="3"/>
    </row>
    <row r="25" spans="1:23" s="245" customFormat="1" ht="15" x14ac:dyDescent="0.25">
      <c r="A25" s="247"/>
      <c r="B25" s="243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695"/>
      <c r="T25" s="247"/>
      <c r="W25" s="3"/>
    </row>
    <row r="26" spans="1:23" s="245" customFormat="1" ht="15.75" thickBot="1" x14ac:dyDescent="0.3">
      <c r="A26" s="247"/>
      <c r="B26" s="243" t="s">
        <v>1163</v>
      </c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695"/>
      <c r="T26" s="247"/>
      <c r="W26" s="3"/>
    </row>
    <row r="27" spans="1:23" s="245" customFormat="1" ht="15" x14ac:dyDescent="0.25">
      <c r="A27" s="247"/>
      <c r="B27" s="775" t="s">
        <v>1101</v>
      </c>
      <c r="C27" s="776"/>
      <c r="D27" s="776"/>
      <c r="E27" s="776"/>
      <c r="F27" s="776"/>
      <c r="G27" s="776"/>
      <c r="H27" s="776"/>
      <c r="I27" s="776"/>
      <c r="J27" s="777"/>
      <c r="K27" s="247"/>
      <c r="L27" s="247"/>
      <c r="M27" s="247"/>
      <c r="N27" s="247"/>
      <c r="O27" s="247"/>
      <c r="P27" s="247"/>
      <c r="Q27" s="247"/>
      <c r="R27" s="247"/>
      <c r="S27" s="695"/>
      <c r="T27" s="247"/>
      <c r="W27" s="3"/>
    </row>
    <row r="28" spans="1:23" s="245" customFormat="1" ht="105" x14ac:dyDescent="0.25">
      <c r="A28" s="247"/>
      <c r="B28" s="778" t="s">
        <v>1102</v>
      </c>
      <c r="C28" s="779" t="s">
        <v>1103</v>
      </c>
      <c r="D28" s="780" t="s">
        <v>1195</v>
      </c>
      <c r="E28" s="780" t="s">
        <v>1104</v>
      </c>
      <c r="F28" s="780" t="s">
        <v>1105</v>
      </c>
      <c r="G28" s="779" t="s">
        <v>1106</v>
      </c>
      <c r="H28" s="779" t="s">
        <v>1107</v>
      </c>
      <c r="I28" s="779" t="s">
        <v>754</v>
      </c>
      <c r="J28" s="781" t="s">
        <v>1108</v>
      </c>
      <c r="K28" s="247"/>
      <c r="L28" s="247"/>
      <c r="M28" s="247"/>
      <c r="N28" s="247"/>
      <c r="O28" s="247"/>
      <c r="P28" s="247"/>
      <c r="Q28" s="247"/>
      <c r="R28" s="247"/>
      <c r="S28" s="695"/>
      <c r="T28" s="247"/>
      <c r="W28" s="3"/>
    </row>
    <row r="29" spans="1:23" s="245" customFormat="1" ht="15" x14ac:dyDescent="0.25">
      <c r="A29" s="247"/>
      <c r="B29" s="782" t="s">
        <v>1109</v>
      </c>
      <c r="C29" s="678">
        <v>6</v>
      </c>
      <c r="D29" s="678">
        <v>0</v>
      </c>
      <c r="E29" s="853">
        <v>0</v>
      </c>
      <c r="F29" s="783">
        <f>D29*(100%+E29)</f>
        <v>0</v>
      </c>
      <c r="G29" s="854">
        <f>'Inputs and eligible population'!$E$81</f>
        <v>0</v>
      </c>
      <c r="H29" s="784">
        <f>F29*G29</f>
        <v>0</v>
      </c>
      <c r="I29" s="855">
        <f>'Inputs and eligible population'!$F$81</f>
        <v>0.2</v>
      </c>
      <c r="J29" s="785">
        <f>H29*(100%+I29)</f>
        <v>0</v>
      </c>
      <c r="K29" s="247"/>
      <c r="L29" s="247"/>
      <c r="M29" s="247"/>
      <c r="N29" s="247"/>
      <c r="O29" s="247"/>
      <c r="P29" s="247"/>
      <c r="Q29" s="247"/>
      <c r="R29" s="247"/>
      <c r="S29" s="695"/>
      <c r="T29" s="247"/>
      <c r="W29" s="3"/>
    </row>
    <row r="30" spans="1:23" s="245" customFormat="1" ht="14.45" customHeight="1" x14ac:dyDescent="0.25">
      <c r="A30" s="247"/>
      <c r="B30" s="786" t="s">
        <v>609</v>
      </c>
      <c r="C30" s="678">
        <v>6</v>
      </c>
      <c r="D30" s="678">
        <v>7</v>
      </c>
      <c r="E30" s="853">
        <v>0</v>
      </c>
      <c r="F30" s="783">
        <f>D30*(100%+E30)</f>
        <v>7</v>
      </c>
      <c r="G30" s="854">
        <f>'Inputs and eligible population'!$E$81</f>
        <v>0</v>
      </c>
      <c r="H30" s="784">
        <f>F30*G30</f>
        <v>0</v>
      </c>
      <c r="I30" s="855">
        <f>'Inputs and eligible population'!$F$81</f>
        <v>0.2</v>
      </c>
      <c r="J30" s="785">
        <f>H30*(100%+I30)</f>
        <v>0</v>
      </c>
      <c r="K30" s="247"/>
      <c r="L30" s="247"/>
      <c r="M30" s="247"/>
      <c r="N30" s="247"/>
      <c r="O30" s="247"/>
      <c r="P30" s="247"/>
      <c r="Q30" s="247"/>
      <c r="R30" s="247"/>
      <c r="S30" s="695"/>
      <c r="T30" s="247"/>
      <c r="W30" s="3"/>
    </row>
    <row r="31" spans="1:23" s="245" customFormat="1" ht="15" x14ac:dyDescent="0.25">
      <c r="A31" s="247"/>
      <c r="B31" s="786" t="s">
        <v>610</v>
      </c>
      <c r="C31" s="678">
        <v>6</v>
      </c>
      <c r="D31" s="678">
        <v>4</v>
      </c>
      <c r="E31" s="853">
        <v>0</v>
      </c>
      <c r="F31" s="783">
        <f t="shared" ref="F31" si="1">D31*(100%+E31)</f>
        <v>4</v>
      </c>
      <c r="G31" s="854">
        <f>'Inputs and eligible population'!$E$81</f>
        <v>0</v>
      </c>
      <c r="H31" s="784">
        <f t="shared" ref="H31" si="2">F31*G31</f>
        <v>0</v>
      </c>
      <c r="I31" s="855">
        <f>'Inputs and eligible population'!$F$81</f>
        <v>0.2</v>
      </c>
      <c r="J31" s="785">
        <f t="shared" ref="J31:J34" si="3">H31*(100%+I31)</f>
        <v>0</v>
      </c>
      <c r="K31" s="247"/>
      <c r="L31" s="247"/>
      <c r="M31" s="247"/>
      <c r="N31" s="247"/>
      <c r="O31" s="247"/>
      <c r="P31" s="247"/>
      <c r="Q31" s="247"/>
      <c r="R31" s="247"/>
      <c r="S31" s="695"/>
      <c r="T31" s="247"/>
      <c r="W31" s="3"/>
    </row>
    <row r="32" spans="1:23" s="245" customFormat="1" ht="15" x14ac:dyDescent="0.25">
      <c r="A32" s="247"/>
      <c r="B32" s="786" t="s">
        <v>611</v>
      </c>
      <c r="C32" s="678">
        <v>6</v>
      </c>
      <c r="D32" s="678">
        <v>2.2999999999999998</v>
      </c>
      <c r="E32" s="853">
        <v>0</v>
      </c>
      <c r="F32" s="783">
        <f>D32*(100%+E32)</f>
        <v>2.2999999999999998</v>
      </c>
      <c r="G32" s="854">
        <f>'Inputs and eligible population'!$E$81</f>
        <v>0</v>
      </c>
      <c r="H32" s="784">
        <f>F32*G32</f>
        <v>0</v>
      </c>
      <c r="I32" s="855">
        <f>'Inputs and eligible population'!$F$81</f>
        <v>0.2</v>
      </c>
      <c r="J32" s="785">
        <f t="shared" si="3"/>
        <v>0</v>
      </c>
      <c r="K32" s="247"/>
      <c r="L32" s="247"/>
      <c r="M32" s="247"/>
      <c r="N32" s="247"/>
      <c r="O32" s="247"/>
      <c r="P32" s="247"/>
      <c r="Q32" s="247"/>
      <c r="R32" s="247"/>
      <c r="S32" s="695"/>
      <c r="T32" s="247"/>
      <c r="W32" s="3"/>
    </row>
    <row r="33" spans="1:23" s="245" customFormat="1" ht="15" x14ac:dyDescent="0.25">
      <c r="A33" s="247"/>
      <c r="B33" s="786" t="s">
        <v>612</v>
      </c>
      <c r="C33" s="678">
        <v>6</v>
      </c>
      <c r="D33" s="678">
        <v>1.2</v>
      </c>
      <c r="E33" s="853">
        <v>0</v>
      </c>
      <c r="F33" s="783">
        <f t="shared" ref="F33:F34" si="4">D33*(100%+E33)</f>
        <v>1.2</v>
      </c>
      <c r="G33" s="854">
        <f>'Inputs and eligible population'!$E$81</f>
        <v>0</v>
      </c>
      <c r="H33" s="784">
        <f t="shared" ref="H33:H34" si="5">F33*G33</f>
        <v>0</v>
      </c>
      <c r="I33" s="855">
        <f>'Inputs and eligible population'!$F$81</f>
        <v>0.2</v>
      </c>
      <c r="J33" s="785">
        <f t="shared" si="3"/>
        <v>0</v>
      </c>
      <c r="K33" s="247"/>
      <c r="L33" s="247"/>
      <c r="M33" s="247"/>
      <c r="N33" s="247"/>
      <c r="O33" s="247"/>
      <c r="P33" s="247"/>
      <c r="Q33" s="247"/>
      <c r="R33" s="247"/>
      <c r="S33" s="695"/>
      <c r="T33" s="247"/>
      <c r="W33" s="3"/>
    </row>
    <row r="34" spans="1:23" s="245" customFormat="1" ht="15" x14ac:dyDescent="0.25">
      <c r="A34" s="247"/>
      <c r="B34" s="786" t="s">
        <v>613</v>
      </c>
      <c r="C34" s="678">
        <v>6</v>
      </c>
      <c r="D34" s="678">
        <v>1</v>
      </c>
      <c r="E34" s="853">
        <v>0</v>
      </c>
      <c r="F34" s="783">
        <f t="shared" si="4"/>
        <v>1</v>
      </c>
      <c r="G34" s="854">
        <f>'Inputs and eligible population'!$E$81</f>
        <v>0</v>
      </c>
      <c r="H34" s="784">
        <f t="shared" si="5"/>
        <v>0</v>
      </c>
      <c r="I34" s="855">
        <f>'Inputs and eligible population'!$F$81</f>
        <v>0.2</v>
      </c>
      <c r="J34" s="785">
        <f t="shared" si="3"/>
        <v>0</v>
      </c>
      <c r="K34" s="247"/>
      <c r="L34" s="247"/>
      <c r="M34" s="247"/>
      <c r="N34" s="247"/>
      <c r="O34" s="247"/>
      <c r="P34" s="247"/>
      <c r="Q34" s="247"/>
      <c r="R34" s="247"/>
      <c r="S34" s="695"/>
      <c r="T34" s="247"/>
      <c r="W34" s="3"/>
    </row>
    <row r="35" spans="1:23" s="245" customFormat="1" ht="15" x14ac:dyDescent="0.25">
      <c r="A35" s="247"/>
      <c r="B35" s="787"/>
      <c r="C35" s="244"/>
      <c r="D35" s="244"/>
      <c r="E35" s="244"/>
      <c r="F35" s="244"/>
      <c r="G35" s="788"/>
      <c r="H35" s="708"/>
      <c r="I35" s="242"/>
      <c r="J35" s="789"/>
      <c r="K35" s="247"/>
      <c r="L35" s="247"/>
      <c r="M35" s="247"/>
      <c r="N35" s="247"/>
      <c r="O35" s="247"/>
      <c r="P35" s="247"/>
      <c r="Q35" s="247"/>
      <c r="R35" s="247"/>
      <c r="S35" s="695"/>
      <c r="T35" s="247"/>
      <c r="W35" s="3"/>
    </row>
    <row r="36" spans="1:23" s="245" customFormat="1" ht="15" x14ac:dyDescent="0.25">
      <c r="A36" s="247"/>
      <c r="B36" s="790" t="s">
        <v>1110</v>
      </c>
      <c r="C36" s="247"/>
      <c r="D36" s="247"/>
      <c r="E36" s="247"/>
      <c r="F36" s="247"/>
      <c r="G36" s="247"/>
      <c r="H36" s="247"/>
      <c r="I36" s="247"/>
      <c r="J36" s="791"/>
      <c r="K36" s="247"/>
      <c r="L36" s="247"/>
      <c r="M36" s="247"/>
      <c r="N36" s="247"/>
      <c r="O36" s="247"/>
      <c r="P36" s="247"/>
      <c r="Q36" s="247"/>
      <c r="R36" s="247"/>
      <c r="S36" s="695"/>
      <c r="T36" s="247"/>
      <c r="W36" s="3"/>
    </row>
    <row r="37" spans="1:23" s="245" customFormat="1" ht="90" x14ac:dyDescent="0.25">
      <c r="A37" s="247"/>
      <c r="B37" s="778" t="s">
        <v>1102</v>
      </c>
      <c r="C37" s="883" t="s">
        <v>761</v>
      </c>
      <c r="D37" s="884"/>
      <c r="E37" s="884"/>
      <c r="F37" s="884"/>
      <c r="G37" s="885"/>
      <c r="H37" s="780" t="s">
        <v>1111</v>
      </c>
      <c r="I37" s="792" t="s">
        <v>1112</v>
      </c>
      <c r="J37" s="781" t="s">
        <v>1113</v>
      </c>
      <c r="K37" s="247"/>
      <c r="L37" s="247"/>
      <c r="M37" s="247"/>
      <c r="N37" s="247"/>
      <c r="O37" s="247"/>
      <c r="P37" s="247"/>
      <c r="Q37" s="247"/>
      <c r="R37" s="247"/>
      <c r="S37" s="695"/>
      <c r="T37" s="247"/>
      <c r="W37" s="3"/>
    </row>
    <row r="38" spans="1:23" s="245" customFormat="1" ht="15" x14ac:dyDescent="0.25">
      <c r="A38" s="247"/>
      <c r="B38" s="782" t="s">
        <v>1109</v>
      </c>
      <c r="C38" s="874" t="s">
        <v>1143</v>
      </c>
      <c r="D38" s="875"/>
      <c r="E38" s="875"/>
      <c r="F38" s="875"/>
      <c r="G38" s="876"/>
      <c r="H38" s="793">
        <f t="shared" ref="H38:H43" si="6">D29</f>
        <v>0</v>
      </c>
      <c r="I38" s="688">
        <v>108</v>
      </c>
      <c r="J38" s="785">
        <f>H38*I38</f>
        <v>0</v>
      </c>
      <c r="K38" s="247"/>
      <c r="L38" s="247"/>
      <c r="M38" s="247"/>
      <c r="N38" s="247"/>
      <c r="O38" s="247"/>
      <c r="P38" s="247"/>
      <c r="Q38" s="247"/>
      <c r="R38" s="247"/>
      <c r="S38" s="695"/>
      <c r="T38" s="247"/>
      <c r="W38" s="3"/>
    </row>
    <row r="39" spans="1:23" s="245" customFormat="1" ht="15" x14ac:dyDescent="0.25">
      <c r="A39" s="247"/>
      <c r="B39" s="786" t="s">
        <v>609</v>
      </c>
      <c r="C39" s="877"/>
      <c r="D39" s="878"/>
      <c r="E39" s="878"/>
      <c r="F39" s="878"/>
      <c r="G39" s="879"/>
      <c r="H39" s="793">
        <f>D30</f>
        <v>7</v>
      </c>
      <c r="I39" s="688">
        <v>108</v>
      </c>
      <c r="J39" s="785">
        <f>H39*I39</f>
        <v>756</v>
      </c>
      <c r="K39" s="247"/>
      <c r="L39" s="247"/>
      <c r="M39" s="247"/>
      <c r="N39" s="247"/>
      <c r="O39" s="247"/>
      <c r="P39" s="247"/>
      <c r="Q39" s="247"/>
      <c r="R39" s="247"/>
      <c r="S39" s="695"/>
      <c r="T39" s="247"/>
      <c r="W39" s="3"/>
    </row>
    <row r="40" spans="1:23" s="245" customFormat="1" ht="15" x14ac:dyDescent="0.25">
      <c r="A40" s="247"/>
      <c r="B40" s="786" t="s">
        <v>610</v>
      </c>
      <c r="C40" s="877"/>
      <c r="D40" s="878"/>
      <c r="E40" s="878"/>
      <c r="F40" s="878"/>
      <c r="G40" s="879"/>
      <c r="H40" s="793">
        <f t="shared" si="6"/>
        <v>4</v>
      </c>
      <c r="I40" s="688">
        <v>108</v>
      </c>
      <c r="J40" s="785">
        <f t="shared" ref="J40:J43" si="7">H40*I40</f>
        <v>432</v>
      </c>
      <c r="K40" s="247"/>
      <c r="L40" s="247"/>
      <c r="M40" s="247"/>
      <c r="N40" s="247"/>
      <c r="O40" s="247"/>
      <c r="P40" s="247"/>
      <c r="Q40" s="247"/>
      <c r="R40" s="247"/>
      <c r="S40" s="695"/>
      <c r="T40" s="247"/>
      <c r="W40" s="3"/>
    </row>
    <row r="41" spans="1:23" s="245" customFormat="1" ht="15" x14ac:dyDescent="0.25">
      <c r="A41" s="247"/>
      <c r="B41" s="786" t="s">
        <v>611</v>
      </c>
      <c r="C41" s="877"/>
      <c r="D41" s="878"/>
      <c r="E41" s="878"/>
      <c r="F41" s="878"/>
      <c r="G41" s="879"/>
      <c r="H41" s="793">
        <f t="shared" si="6"/>
        <v>2.2999999999999998</v>
      </c>
      <c r="I41" s="688">
        <v>108</v>
      </c>
      <c r="J41" s="785">
        <f t="shared" si="7"/>
        <v>248.39999999999998</v>
      </c>
      <c r="K41" s="247"/>
      <c r="L41" s="247"/>
      <c r="M41" s="247"/>
      <c r="N41" s="247"/>
      <c r="O41" s="247"/>
      <c r="P41" s="247"/>
      <c r="Q41" s="247"/>
      <c r="R41" s="247"/>
      <c r="S41" s="695"/>
      <c r="T41" s="247"/>
      <c r="W41" s="3"/>
    </row>
    <row r="42" spans="1:23" s="245" customFormat="1" ht="15" x14ac:dyDescent="0.25">
      <c r="A42" s="247"/>
      <c r="B42" s="786" t="s">
        <v>612</v>
      </c>
      <c r="C42" s="877"/>
      <c r="D42" s="878"/>
      <c r="E42" s="878"/>
      <c r="F42" s="878"/>
      <c r="G42" s="879"/>
      <c r="H42" s="793">
        <f t="shared" si="6"/>
        <v>1.2</v>
      </c>
      <c r="I42" s="688">
        <v>108</v>
      </c>
      <c r="J42" s="785">
        <f t="shared" si="7"/>
        <v>129.6</v>
      </c>
      <c r="K42" s="247"/>
      <c r="L42" s="247"/>
      <c r="M42" s="247"/>
      <c r="N42" s="247"/>
      <c r="O42" s="247"/>
      <c r="P42" s="247"/>
      <c r="Q42" s="247"/>
      <c r="R42" s="247"/>
      <c r="S42" s="695"/>
      <c r="T42" s="247"/>
      <c r="W42" s="3"/>
    </row>
    <row r="43" spans="1:23" s="245" customFormat="1" ht="15" x14ac:dyDescent="0.25">
      <c r="A43" s="247"/>
      <c r="B43" s="786" t="s">
        <v>613</v>
      </c>
      <c r="C43" s="880"/>
      <c r="D43" s="881"/>
      <c r="E43" s="881"/>
      <c r="F43" s="881"/>
      <c r="G43" s="882"/>
      <c r="H43" s="793">
        <f t="shared" si="6"/>
        <v>1</v>
      </c>
      <c r="I43" s="688">
        <v>108</v>
      </c>
      <c r="J43" s="785">
        <f t="shared" si="7"/>
        <v>108</v>
      </c>
      <c r="K43" s="247"/>
      <c r="L43" s="247"/>
      <c r="M43" s="247"/>
      <c r="N43" s="247"/>
      <c r="O43" s="247"/>
      <c r="P43" s="247"/>
      <c r="Q43" s="247"/>
      <c r="R43" s="247"/>
      <c r="S43" s="695"/>
      <c r="T43" s="247"/>
      <c r="W43" s="3"/>
    </row>
    <row r="44" spans="1:23" s="245" customFormat="1" ht="15" x14ac:dyDescent="0.25">
      <c r="A44" s="247"/>
      <c r="B44" s="794" t="s">
        <v>722</v>
      </c>
      <c r="C44" s="759"/>
      <c r="D44" s="759"/>
      <c r="E44" s="759"/>
      <c r="F44" s="131"/>
      <c r="G44" s="131"/>
      <c r="H44" s="131"/>
      <c r="I44" s="131"/>
      <c r="J44" s="795"/>
      <c r="K44" s="247"/>
      <c r="L44" s="247"/>
      <c r="M44" s="247"/>
      <c r="N44" s="247"/>
      <c r="O44" s="247"/>
      <c r="P44" s="247"/>
      <c r="Q44" s="247"/>
      <c r="R44" s="247"/>
      <c r="S44" s="695"/>
      <c r="T44" s="247"/>
      <c r="W44" s="3"/>
    </row>
    <row r="45" spans="1:23" s="245" customFormat="1" ht="15" x14ac:dyDescent="0.25">
      <c r="A45" s="247"/>
      <c r="B45" s="787" t="s">
        <v>1114</v>
      </c>
      <c r="C45" s="244"/>
      <c r="D45" s="244"/>
      <c r="E45" s="759"/>
      <c r="F45" s="131"/>
      <c r="G45" s="131"/>
      <c r="H45" s="131"/>
      <c r="I45" s="131"/>
      <c r="J45" s="795"/>
      <c r="K45" s="247"/>
      <c r="L45" s="247"/>
      <c r="M45" s="247"/>
      <c r="N45" s="247"/>
      <c r="O45" s="247"/>
      <c r="P45" s="247"/>
      <c r="Q45" s="247"/>
      <c r="R45" s="247"/>
      <c r="S45" s="695"/>
      <c r="T45" s="247"/>
      <c r="W45" s="3"/>
    </row>
    <row r="46" spans="1:23" s="245" customFormat="1" ht="15" x14ac:dyDescent="0.25">
      <c r="A46" s="247"/>
      <c r="B46" s="796" t="s">
        <v>1115</v>
      </c>
      <c r="C46" s="798"/>
      <c r="D46"/>
      <c r="E46" s="759"/>
      <c r="F46" s="131"/>
      <c r="G46" s="131"/>
      <c r="H46" s="131"/>
      <c r="I46" s="131"/>
      <c r="J46" s="795"/>
      <c r="K46" s="247"/>
      <c r="L46" s="247"/>
      <c r="M46" s="247"/>
      <c r="N46" s="247"/>
      <c r="O46" s="247"/>
      <c r="P46" s="247"/>
      <c r="Q46" s="247"/>
      <c r="R46" s="247"/>
      <c r="S46" s="695"/>
      <c r="T46" s="247"/>
      <c r="W46" s="3"/>
    </row>
    <row r="47" spans="1:23" s="245" customFormat="1" ht="15.75" thickBot="1" x14ac:dyDescent="0.3">
      <c r="A47" s="247"/>
      <c r="B47" s="799" t="s">
        <v>1116</v>
      </c>
      <c r="C47" s="800"/>
      <c r="D47" s="800"/>
      <c r="E47" s="800"/>
      <c r="F47" s="801"/>
      <c r="G47" s="801"/>
      <c r="H47" s="801"/>
      <c r="I47" s="801"/>
      <c r="J47" s="802"/>
      <c r="K47" s="247"/>
      <c r="L47" s="247"/>
      <c r="M47" s="247"/>
      <c r="N47" s="247"/>
      <c r="O47" s="247"/>
      <c r="P47" s="247"/>
      <c r="Q47" s="247"/>
      <c r="R47" s="247"/>
      <c r="S47" s="695"/>
      <c r="T47" s="247"/>
      <c r="W47" s="3"/>
    </row>
    <row r="48" spans="1:23" s="245" customFormat="1" ht="15" x14ac:dyDescent="0.25">
      <c r="A48" s="247"/>
      <c r="B48" s="133"/>
      <c r="C48" s="759"/>
      <c r="D48" s="759"/>
      <c r="E48" s="759"/>
      <c r="F48" s="131"/>
      <c r="G48" s="131"/>
      <c r="H48" s="131"/>
      <c r="I48" s="131"/>
      <c r="J48" s="131"/>
      <c r="K48" s="247"/>
      <c r="L48" s="247"/>
      <c r="M48" s="247"/>
      <c r="N48" s="247"/>
      <c r="O48" s="247"/>
      <c r="P48" s="247"/>
      <c r="Q48" s="247"/>
      <c r="R48" s="247"/>
      <c r="S48" s="695"/>
      <c r="T48" s="247"/>
      <c r="W48" s="3"/>
    </row>
    <row r="49" spans="1:23" s="245" customFormat="1" ht="15.75" thickBot="1" x14ac:dyDescent="0.3">
      <c r="A49" s="247"/>
      <c r="B49" s="803"/>
      <c r="C49" s="5"/>
      <c r="D49" s="5"/>
      <c r="E49" s="5"/>
      <c r="F49" s="5"/>
      <c r="G49" s="5"/>
      <c r="H49" s="5"/>
      <c r="I49" s="5"/>
      <c r="J49" s="5"/>
      <c r="K49" s="247"/>
      <c r="L49" s="247"/>
      <c r="M49" s="247"/>
      <c r="N49" s="247"/>
      <c r="O49" s="247"/>
      <c r="P49" s="247"/>
      <c r="Q49" s="247"/>
      <c r="R49" s="247"/>
      <c r="S49" s="695"/>
      <c r="T49" s="247"/>
      <c r="W49" s="3"/>
    </row>
    <row r="50" spans="1:23" s="245" customFormat="1" ht="15" x14ac:dyDescent="0.25">
      <c r="A50" s="247"/>
      <c r="B50" s="775" t="s">
        <v>1117</v>
      </c>
      <c r="C50" s="776"/>
      <c r="D50" s="776"/>
      <c r="E50" s="776"/>
      <c r="F50" s="776"/>
      <c r="G50" s="776"/>
      <c r="H50" s="776"/>
      <c r="I50" s="776"/>
      <c r="J50" s="777"/>
      <c r="K50" s="247"/>
      <c r="L50" s="247"/>
      <c r="M50" s="247"/>
      <c r="N50" s="247"/>
      <c r="O50" s="247"/>
      <c r="P50" s="247"/>
      <c r="Q50" s="247"/>
      <c r="R50" s="247"/>
      <c r="S50" s="695"/>
      <c r="T50" s="247"/>
      <c r="W50" s="3"/>
    </row>
    <row r="51" spans="1:23" s="245" customFormat="1" ht="105" x14ac:dyDescent="0.25">
      <c r="A51" s="247"/>
      <c r="B51" s="778" t="s">
        <v>1102</v>
      </c>
      <c r="C51" s="779" t="s">
        <v>1103</v>
      </c>
      <c r="D51" s="780" t="s">
        <v>1196</v>
      </c>
      <c r="E51" s="780" t="s">
        <v>1104</v>
      </c>
      <c r="F51" s="780" t="s">
        <v>1105</v>
      </c>
      <c r="G51" s="779" t="s">
        <v>1106</v>
      </c>
      <c r="H51" s="779" t="s">
        <v>1107</v>
      </c>
      <c r="I51" s="779" t="s">
        <v>754</v>
      </c>
      <c r="J51" s="781" t="s">
        <v>1108</v>
      </c>
      <c r="K51" s="247"/>
      <c r="L51" s="247"/>
      <c r="M51" s="247"/>
      <c r="N51" s="247"/>
      <c r="O51" s="247"/>
      <c r="P51" s="247"/>
      <c r="Q51" s="247"/>
      <c r="R51" s="247"/>
      <c r="S51" s="695"/>
      <c r="T51" s="247"/>
      <c r="W51" s="3"/>
    </row>
    <row r="52" spans="1:23" s="245" customFormat="1" ht="15" x14ac:dyDescent="0.25">
      <c r="A52" s="247"/>
      <c r="B52" s="786" t="s">
        <v>1109</v>
      </c>
      <c r="C52" s="678">
        <v>6</v>
      </c>
      <c r="D52" s="678">
        <v>0</v>
      </c>
      <c r="E52" s="853">
        <v>0</v>
      </c>
      <c r="F52" s="783">
        <f>D52*(100%+E52)</f>
        <v>0</v>
      </c>
      <c r="G52" s="688">
        <f>'Inputs and eligible population'!$E$82</f>
        <v>0</v>
      </c>
      <c r="H52" s="784">
        <f>F52*G52</f>
        <v>0</v>
      </c>
      <c r="I52" s="855">
        <f>'Inputs and eligible population'!$F$82</f>
        <v>0.2</v>
      </c>
      <c r="J52" s="785">
        <f>H52*(100%+I52)</f>
        <v>0</v>
      </c>
      <c r="K52" s="247"/>
      <c r="L52" s="247"/>
      <c r="M52" s="247"/>
      <c r="N52" s="247"/>
      <c r="O52" s="247"/>
      <c r="P52" s="247"/>
      <c r="Q52" s="247"/>
      <c r="R52" s="247"/>
      <c r="S52" s="695"/>
      <c r="T52" s="247"/>
      <c r="W52" s="3"/>
    </row>
    <row r="53" spans="1:23" s="245" customFormat="1" ht="15" x14ac:dyDescent="0.25">
      <c r="A53" s="247"/>
      <c r="B53" s="786" t="s">
        <v>609</v>
      </c>
      <c r="C53" s="678">
        <v>6</v>
      </c>
      <c r="D53" s="678">
        <v>6.8</v>
      </c>
      <c r="E53" s="853">
        <v>0</v>
      </c>
      <c r="F53" s="783">
        <f>D53*(100%+E53)</f>
        <v>6.8</v>
      </c>
      <c r="G53" s="688">
        <f>'Inputs and eligible population'!$E$82</f>
        <v>0</v>
      </c>
      <c r="H53" s="784">
        <f>F53*G53</f>
        <v>0</v>
      </c>
      <c r="I53" s="855">
        <f>'Inputs and eligible population'!$F$82</f>
        <v>0.2</v>
      </c>
      <c r="J53" s="785">
        <f>H53*(100%+I53)</f>
        <v>0</v>
      </c>
      <c r="K53" s="247"/>
      <c r="L53" s="247"/>
      <c r="M53" s="247"/>
      <c r="N53" s="247"/>
      <c r="O53" s="247"/>
      <c r="P53" s="247"/>
      <c r="Q53" s="247"/>
      <c r="R53" s="247"/>
      <c r="S53" s="695"/>
      <c r="T53" s="247"/>
      <c r="W53" s="3"/>
    </row>
    <row r="54" spans="1:23" s="245" customFormat="1" ht="15" x14ac:dyDescent="0.25">
      <c r="A54" s="247"/>
      <c r="B54" s="786" t="s">
        <v>610</v>
      </c>
      <c r="C54" s="678">
        <v>6</v>
      </c>
      <c r="D54" s="678">
        <v>4</v>
      </c>
      <c r="E54" s="853">
        <v>0</v>
      </c>
      <c r="F54" s="783">
        <f t="shared" ref="F54" si="8">D54*(100%+E54)</f>
        <v>4</v>
      </c>
      <c r="G54" s="688">
        <f>'Inputs and eligible population'!$E$82</f>
        <v>0</v>
      </c>
      <c r="H54" s="784">
        <f t="shared" ref="H54" si="9">F54*G54</f>
        <v>0</v>
      </c>
      <c r="I54" s="855">
        <f>'Inputs and eligible population'!$F$82</f>
        <v>0.2</v>
      </c>
      <c r="J54" s="785">
        <f t="shared" ref="J54:J56" si="10">H54*(100%+I54)</f>
        <v>0</v>
      </c>
      <c r="K54" s="247"/>
      <c r="L54" s="247"/>
      <c r="M54" s="247"/>
      <c r="N54" s="247"/>
      <c r="O54" s="247"/>
      <c r="P54" s="247"/>
      <c r="Q54" s="247"/>
      <c r="R54" s="247"/>
      <c r="S54" s="695"/>
      <c r="T54" s="247"/>
      <c r="W54" s="3"/>
    </row>
    <row r="55" spans="1:23" s="245" customFormat="1" ht="15" x14ac:dyDescent="0.25">
      <c r="A55" s="247"/>
      <c r="B55" s="786" t="s">
        <v>611</v>
      </c>
      <c r="C55" s="678">
        <v>6</v>
      </c>
      <c r="D55" s="678">
        <v>2</v>
      </c>
      <c r="E55" s="853">
        <v>0</v>
      </c>
      <c r="F55" s="783">
        <f>D55*(100%+E55)</f>
        <v>2</v>
      </c>
      <c r="G55" s="688">
        <f>'Inputs and eligible population'!$E$82</f>
        <v>0</v>
      </c>
      <c r="H55" s="784">
        <f>F55*G55</f>
        <v>0</v>
      </c>
      <c r="I55" s="855">
        <f>'Inputs and eligible population'!$F$82</f>
        <v>0.2</v>
      </c>
      <c r="J55" s="785">
        <f t="shared" si="10"/>
        <v>0</v>
      </c>
      <c r="K55" s="247"/>
      <c r="L55" s="247"/>
      <c r="M55" s="247"/>
      <c r="N55" s="247"/>
      <c r="O55" s="247"/>
      <c r="P55" s="247"/>
      <c r="Q55" s="247"/>
      <c r="R55" s="247"/>
      <c r="S55" s="695"/>
      <c r="T55" s="247"/>
      <c r="W55" s="3"/>
    </row>
    <row r="56" spans="1:23" s="245" customFormat="1" ht="15" x14ac:dyDescent="0.25">
      <c r="A56" s="247"/>
      <c r="B56" s="786" t="s">
        <v>612</v>
      </c>
      <c r="C56" s="678">
        <v>6</v>
      </c>
      <c r="D56" s="678">
        <v>2</v>
      </c>
      <c r="E56" s="853">
        <v>0</v>
      </c>
      <c r="F56" s="783">
        <f t="shared" ref="F56:F57" si="11">D56*(100%+E56)</f>
        <v>2</v>
      </c>
      <c r="G56" s="688">
        <f>'Inputs and eligible population'!$E$82</f>
        <v>0</v>
      </c>
      <c r="H56" s="784">
        <f t="shared" ref="H56:H57" si="12">F56*G56</f>
        <v>0</v>
      </c>
      <c r="I56" s="855">
        <f>'Inputs and eligible population'!$F$82</f>
        <v>0.2</v>
      </c>
      <c r="J56" s="785">
        <f t="shared" si="10"/>
        <v>0</v>
      </c>
      <c r="K56" s="247"/>
      <c r="L56" s="247"/>
      <c r="M56" s="247"/>
      <c r="N56" s="247"/>
      <c r="O56" s="247"/>
      <c r="P56" s="247"/>
      <c r="Q56" s="247"/>
      <c r="R56" s="247"/>
      <c r="S56" s="695"/>
      <c r="T56" s="247"/>
      <c r="W56" s="3"/>
    </row>
    <row r="57" spans="1:23" s="245" customFormat="1" ht="15" x14ac:dyDescent="0.25">
      <c r="A57" s="247"/>
      <c r="B57" s="786" t="s">
        <v>613</v>
      </c>
      <c r="C57" s="678">
        <v>6</v>
      </c>
      <c r="D57" s="678">
        <v>2</v>
      </c>
      <c r="E57" s="853">
        <v>0</v>
      </c>
      <c r="F57" s="783">
        <f t="shared" si="11"/>
        <v>2</v>
      </c>
      <c r="G57" s="688">
        <f>'Inputs and eligible population'!$E$82</f>
        <v>0</v>
      </c>
      <c r="H57" s="784">
        <f t="shared" si="12"/>
        <v>0</v>
      </c>
      <c r="I57" s="855">
        <f>'Inputs and eligible population'!$F$82</f>
        <v>0.2</v>
      </c>
      <c r="J57" s="785">
        <f>H57*(100%+I57)</f>
        <v>0</v>
      </c>
      <c r="K57" s="247"/>
      <c r="L57" s="247"/>
      <c r="M57" s="247"/>
      <c r="N57" s="247"/>
      <c r="O57" s="247"/>
      <c r="P57" s="247"/>
      <c r="Q57" s="247"/>
      <c r="R57" s="247"/>
      <c r="S57" s="695"/>
      <c r="T57" s="247"/>
      <c r="W57" s="3"/>
    </row>
    <row r="58" spans="1:23" s="245" customFormat="1" ht="15" x14ac:dyDescent="0.25">
      <c r="A58" s="247"/>
      <c r="B58" s="804"/>
      <c r="C58" s="244"/>
      <c r="D58" s="244"/>
      <c r="E58" s="244"/>
      <c r="F58" s="244"/>
      <c r="G58" s="788"/>
      <c r="H58" s="708"/>
      <c r="I58" s="242"/>
      <c r="J58" s="789"/>
      <c r="K58" s="247"/>
      <c r="L58" s="247"/>
      <c r="M58" s="247"/>
      <c r="N58" s="247"/>
      <c r="O58" s="247"/>
      <c r="P58" s="247"/>
      <c r="Q58" s="247"/>
      <c r="R58" s="247"/>
      <c r="S58" s="695"/>
      <c r="T58" s="247"/>
      <c r="W58" s="3"/>
    </row>
    <row r="59" spans="1:23" s="245" customFormat="1" ht="15" x14ac:dyDescent="0.25">
      <c r="A59" s="247"/>
      <c r="B59" s="790" t="s">
        <v>1118</v>
      </c>
      <c r="C59" s="247"/>
      <c r="D59" s="247"/>
      <c r="E59" s="247"/>
      <c r="F59" s="247"/>
      <c r="G59" s="247"/>
      <c r="H59" s="247"/>
      <c r="I59" s="247"/>
      <c r="J59" s="791"/>
      <c r="K59" s="247"/>
      <c r="L59" s="247"/>
      <c r="M59" s="247"/>
      <c r="N59" s="247"/>
      <c r="O59" s="247"/>
      <c r="P59" s="247"/>
      <c r="Q59" s="247"/>
      <c r="R59" s="247"/>
      <c r="S59" s="695"/>
      <c r="T59" s="247"/>
      <c r="W59" s="3"/>
    </row>
    <row r="60" spans="1:23" s="245" customFormat="1" ht="90" x14ac:dyDescent="0.25">
      <c r="A60" s="247"/>
      <c r="B60" s="778" t="s">
        <v>1102</v>
      </c>
      <c r="C60" s="883" t="s">
        <v>761</v>
      </c>
      <c r="D60" s="884"/>
      <c r="E60" s="884"/>
      <c r="F60" s="884"/>
      <c r="G60" s="885"/>
      <c r="H60" s="780" t="s">
        <v>1111</v>
      </c>
      <c r="I60" s="792" t="s">
        <v>1112</v>
      </c>
      <c r="J60" s="781" t="s">
        <v>1113</v>
      </c>
      <c r="K60" s="247"/>
      <c r="L60" s="247"/>
      <c r="M60" s="247"/>
      <c r="N60" s="247"/>
      <c r="O60" s="247"/>
      <c r="P60" s="247"/>
      <c r="Q60" s="247"/>
      <c r="R60" s="247"/>
      <c r="S60" s="695"/>
      <c r="T60" s="247"/>
      <c r="W60" s="3"/>
    </row>
    <row r="61" spans="1:23" s="245" customFormat="1" ht="14.45" customHeight="1" x14ac:dyDescent="0.25">
      <c r="A61" s="247"/>
      <c r="B61" s="782" t="s">
        <v>1109</v>
      </c>
      <c r="C61" s="874" t="s">
        <v>1143</v>
      </c>
      <c r="D61" s="875"/>
      <c r="E61" s="875"/>
      <c r="F61" s="875"/>
      <c r="G61" s="876"/>
      <c r="H61" s="793">
        <f t="shared" ref="H61:H66" si="13">D52</f>
        <v>0</v>
      </c>
      <c r="I61" s="688">
        <v>108</v>
      </c>
      <c r="J61" s="785">
        <f>H61*I61</f>
        <v>0</v>
      </c>
      <c r="K61" s="247"/>
      <c r="L61" s="247"/>
      <c r="M61" s="247"/>
      <c r="N61" s="247"/>
      <c r="O61" s="247"/>
      <c r="P61" s="247"/>
      <c r="Q61" s="247"/>
      <c r="R61" s="247"/>
      <c r="S61" s="695"/>
      <c r="T61" s="247"/>
      <c r="W61" s="3"/>
    </row>
    <row r="62" spans="1:23" s="245" customFormat="1" ht="15" x14ac:dyDescent="0.25">
      <c r="A62" s="247"/>
      <c r="B62" s="786" t="s">
        <v>609</v>
      </c>
      <c r="C62" s="877"/>
      <c r="D62" s="878"/>
      <c r="E62" s="878"/>
      <c r="F62" s="878"/>
      <c r="G62" s="879"/>
      <c r="H62" s="793">
        <f t="shared" si="13"/>
        <v>6.8</v>
      </c>
      <c r="I62" s="688">
        <v>108</v>
      </c>
      <c r="J62" s="785">
        <f>H62*I62</f>
        <v>734.4</v>
      </c>
      <c r="K62" s="247"/>
      <c r="L62" s="247"/>
      <c r="M62" s="247"/>
      <c r="N62" s="247"/>
      <c r="O62" s="247"/>
      <c r="P62" s="247"/>
      <c r="Q62" s="247"/>
      <c r="R62" s="247"/>
      <c r="S62" s="695"/>
      <c r="T62" s="247"/>
      <c r="W62" s="3"/>
    </row>
    <row r="63" spans="1:23" s="245" customFormat="1" ht="15" x14ac:dyDescent="0.25">
      <c r="A63" s="247"/>
      <c r="B63" s="786" t="s">
        <v>610</v>
      </c>
      <c r="C63" s="877"/>
      <c r="D63" s="878"/>
      <c r="E63" s="878"/>
      <c r="F63" s="878"/>
      <c r="G63" s="879"/>
      <c r="H63" s="793">
        <f t="shared" si="13"/>
        <v>4</v>
      </c>
      <c r="I63" s="688">
        <v>108</v>
      </c>
      <c r="J63" s="785">
        <f t="shared" ref="J63:J66" si="14">H63*I63</f>
        <v>432</v>
      </c>
      <c r="K63" s="247"/>
      <c r="L63" s="247"/>
      <c r="M63" s="247"/>
      <c r="N63" s="247"/>
      <c r="O63" s="247"/>
      <c r="P63" s="247"/>
      <c r="Q63" s="247"/>
      <c r="R63" s="247"/>
      <c r="S63" s="695"/>
      <c r="T63" s="247"/>
      <c r="W63" s="3"/>
    </row>
    <row r="64" spans="1:23" s="245" customFormat="1" ht="15" x14ac:dyDescent="0.25">
      <c r="A64" s="247"/>
      <c r="B64" s="786" t="s">
        <v>611</v>
      </c>
      <c r="C64" s="877"/>
      <c r="D64" s="878"/>
      <c r="E64" s="878"/>
      <c r="F64" s="878"/>
      <c r="G64" s="879"/>
      <c r="H64" s="793">
        <f t="shared" si="13"/>
        <v>2</v>
      </c>
      <c r="I64" s="688">
        <v>108</v>
      </c>
      <c r="J64" s="785">
        <f t="shared" si="14"/>
        <v>216</v>
      </c>
      <c r="K64" s="247"/>
      <c r="L64" s="247"/>
      <c r="M64" s="247"/>
      <c r="N64" s="247"/>
      <c r="O64" s="247"/>
      <c r="P64" s="247"/>
      <c r="Q64" s="247"/>
      <c r="R64" s="247"/>
      <c r="S64" s="695"/>
      <c r="T64" s="247"/>
      <c r="W64" s="3"/>
    </row>
    <row r="65" spans="1:23" s="245" customFormat="1" ht="15" x14ac:dyDescent="0.25">
      <c r="A65" s="247"/>
      <c r="B65" s="786" t="s">
        <v>612</v>
      </c>
      <c r="C65" s="877"/>
      <c r="D65" s="878"/>
      <c r="E65" s="878"/>
      <c r="F65" s="878"/>
      <c r="G65" s="879"/>
      <c r="H65" s="793">
        <f t="shared" si="13"/>
        <v>2</v>
      </c>
      <c r="I65" s="688">
        <v>108</v>
      </c>
      <c r="J65" s="785">
        <f t="shared" si="14"/>
        <v>216</v>
      </c>
      <c r="K65" s="247"/>
      <c r="L65" s="247"/>
      <c r="M65" s="247"/>
      <c r="N65" s="247"/>
      <c r="O65" s="247"/>
      <c r="P65" s="247"/>
      <c r="Q65" s="247"/>
      <c r="R65" s="247"/>
      <c r="S65" s="695"/>
      <c r="T65" s="247"/>
      <c r="W65" s="3"/>
    </row>
    <row r="66" spans="1:23" s="245" customFormat="1" ht="15" x14ac:dyDescent="0.25">
      <c r="A66" s="247"/>
      <c r="B66" s="786" t="s">
        <v>613</v>
      </c>
      <c r="C66" s="880"/>
      <c r="D66" s="881"/>
      <c r="E66" s="881"/>
      <c r="F66" s="881"/>
      <c r="G66" s="882"/>
      <c r="H66" s="793">
        <f t="shared" si="13"/>
        <v>2</v>
      </c>
      <c r="I66" s="688">
        <v>108</v>
      </c>
      <c r="J66" s="785">
        <f t="shared" si="14"/>
        <v>216</v>
      </c>
      <c r="K66" s="247"/>
      <c r="L66" s="247"/>
      <c r="M66" s="247"/>
      <c r="N66" s="247"/>
      <c r="O66" s="247"/>
      <c r="P66" s="247"/>
      <c r="Q66" s="247"/>
      <c r="R66" s="247"/>
      <c r="S66" s="695"/>
      <c r="T66" s="247"/>
      <c r="W66" s="3"/>
    </row>
    <row r="67" spans="1:23" s="245" customFormat="1" ht="15" x14ac:dyDescent="0.25">
      <c r="A67" s="247"/>
      <c r="B67" s="805"/>
      <c r="C67" s="244"/>
      <c r="D67" s="244"/>
      <c r="E67" s="244"/>
      <c r="F67" s="244"/>
      <c r="G67" s="242"/>
      <c r="H67" s="242"/>
      <c r="I67" s="658"/>
      <c r="J67" s="789"/>
      <c r="K67" s="247"/>
      <c r="L67" s="247"/>
      <c r="M67" s="247"/>
      <c r="N67" s="247"/>
      <c r="O67" s="247"/>
      <c r="P67" s="247"/>
      <c r="Q67" s="247"/>
      <c r="R67" s="247"/>
      <c r="S67" s="695"/>
      <c r="T67" s="247"/>
      <c r="W67" s="3"/>
    </row>
    <row r="68" spans="1:23" s="245" customFormat="1" ht="15" x14ac:dyDescent="0.25">
      <c r="A68" s="247"/>
      <c r="B68" s="806" t="s">
        <v>722</v>
      </c>
      <c r="C68" s="244"/>
      <c r="D68" s="244"/>
      <c r="E68" s="244"/>
      <c r="F68" s="244"/>
      <c r="G68" s="242"/>
      <c r="H68" s="242"/>
      <c r="I68" s="658"/>
      <c r="J68" s="789"/>
      <c r="K68" s="247"/>
      <c r="L68" s="247"/>
      <c r="M68" s="247"/>
      <c r="N68" s="247"/>
      <c r="O68" s="247"/>
      <c r="P68" s="247"/>
      <c r="Q68" s="247"/>
      <c r="R68" s="247"/>
      <c r="S68" s="695"/>
      <c r="T68" s="247"/>
      <c r="W68" s="3"/>
    </row>
    <row r="69" spans="1:23" s="245" customFormat="1" ht="15" x14ac:dyDescent="0.25">
      <c r="A69" s="247"/>
      <c r="B69" s="787" t="s">
        <v>1119</v>
      </c>
      <c r="C69" s="192"/>
      <c r="D69" s="192"/>
      <c r="E69" s="192"/>
      <c r="F69" s="192"/>
      <c r="G69" s="192"/>
      <c r="H69" s="192"/>
      <c r="I69" s="807"/>
      <c r="J69" s="808"/>
      <c r="K69" s="247"/>
      <c r="L69" s="247"/>
      <c r="M69" s="247"/>
      <c r="N69" s="247"/>
      <c r="O69" s="247"/>
      <c r="P69" s="247"/>
      <c r="Q69" s="247"/>
      <c r="R69" s="247"/>
      <c r="S69" s="695"/>
      <c r="T69" s="247"/>
      <c r="W69" s="3"/>
    </row>
    <row r="70" spans="1:23" s="245" customFormat="1" ht="15" x14ac:dyDescent="0.25">
      <c r="A70" s="247"/>
      <c r="B70" s="796" t="s">
        <v>1115</v>
      </c>
      <c r="C70" s="809"/>
      <c r="D70" s="809"/>
      <c r="E70" s="809"/>
      <c r="F70" s="809"/>
      <c r="G70" s="809"/>
      <c r="H70" s="809"/>
      <c r="I70" s="809"/>
      <c r="J70" s="810"/>
      <c r="K70" s="247"/>
      <c r="L70" s="247"/>
      <c r="M70" s="247"/>
      <c r="N70" s="247"/>
      <c r="O70" s="247"/>
      <c r="P70" s="247"/>
      <c r="Q70" s="247"/>
      <c r="R70" s="247"/>
      <c r="S70" s="695"/>
      <c r="T70" s="247"/>
      <c r="W70" s="3"/>
    </row>
    <row r="71" spans="1:23" s="245" customFormat="1" ht="15.75" thickBot="1" x14ac:dyDescent="0.3">
      <c r="A71" s="247"/>
      <c r="B71" s="799" t="s">
        <v>1120</v>
      </c>
      <c r="C71" s="811"/>
      <c r="D71" s="811"/>
      <c r="E71" s="811"/>
      <c r="F71" s="811"/>
      <c r="G71" s="811"/>
      <c r="H71" s="811"/>
      <c r="I71" s="812"/>
      <c r="J71" s="813"/>
      <c r="K71" s="247"/>
      <c r="L71" s="247"/>
      <c r="M71" s="247"/>
      <c r="N71" s="247"/>
      <c r="O71" s="247"/>
      <c r="P71" s="247"/>
      <c r="Q71" s="247"/>
      <c r="R71" s="247"/>
      <c r="S71" s="695"/>
      <c r="T71" s="247"/>
      <c r="W71" s="3"/>
    </row>
    <row r="72" spans="1:23" s="245" customFormat="1" ht="15.75" thickBot="1" x14ac:dyDescent="0.3">
      <c r="A72" s="247"/>
      <c r="B72" s="5"/>
      <c r="C72" s="192"/>
      <c r="D72" s="192"/>
      <c r="E72" s="192"/>
      <c r="F72" s="192"/>
      <c r="G72" s="192"/>
      <c r="H72" s="192"/>
      <c r="I72" s="807"/>
      <c r="J72" s="814"/>
      <c r="K72" s="247"/>
      <c r="L72" s="247"/>
      <c r="M72" s="247"/>
      <c r="N72" s="247"/>
      <c r="O72" s="247"/>
      <c r="P72" s="247"/>
      <c r="Q72" s="247"/>
      <c r="R72" s="247"/>
      <c r="S72" s="695"/>
      <c r="T72" s="247"/>
      <c r="W72" s="3"/>
    </row>
    <row r="73" spans="1:23" s="245" customFormat="1" ht="15" x14ac:dyDescent="0.25">
      <c r="A73" s="247"/>
      <c r="B73" s="815" t="s">
        <v>1121</v>
      </c>
      <c r="C73" s="816"/>
      <c r="D73" s="816"/>
      <c r="E73" s="816"/>
      <c r="F73" s="816"/>
      <c r="G73" s="816"/>
      <c r="H73" s="816"/>
      <c r="I73" s="816"/>
      <c r="J73" s="817"/>
      <c r="K73" s="247"/>
      <c r="L73" s="247"/>
      <c r="M73" s="247"/>
      <c r="N73" s="247"/>
      <c r="O73" s="247"/>
      <c r="P73" s="247"/>
      <c r="Q73" s="247"/>
      <c r="R73" s="247"/>
      <c r="S73" s="695"/>
      <c r="T73" s="247"/>
      <c r="W73" s="3"/>
    </row>
    <row r="74" spans="1:23" s="245" customFormat="1" ht="105" x14ac:dyDescent="0.25">
      <c r="A74" s="247"/>
      <c r="B74" s="778" t="s">
        <v>1102</v>
      </c>
      <c r="C74" s="779" t="s">
        <v>1103</v>
      </c>
      <c r="D74" s="780" t="s">
        <v>1196</v>
      </c>
      <c r="E74" s="780" t="s">
        <v>1104</v>
      </c>
      <c r="F74" s="780" t="s">
        <v>1105</v>
      </c>
      <c r="G74" s="779" t="s">
        <v>1122</v>
      </c>
      <c r="H74" s="779" t="s">
        <v>1107</v>
      </c>
      <c r="I74" s="779" t="s">
        <v>754</v>
      </c>
      <c r="J74" s="781" t="s">
        <v>1108</v>
      </c>
      <c r="K74" s="247"/>
      <c r="L74" s="247"/>
      <c r="M74" s="247"/>
      <c r="N74" s="247"/>
      <c r="O74" s="247"/>
      <c r="P74" s="247"/>
      <c r="Q74" s="247"/>
      <c r="R74" s="247"/>
      <c r="S74" s="695"/>
      <c r="T74" s="247"/>
      <c r="W74" s="3"/>
    </row>
    <row r="75" spans="1:23" s="245" customFormat="1" ht="15" x14ac:dyDescent="0.25">
      <c r="A75" s="247"/>
      <c r="B75" s="782" t="s">
        <v>1109</v>
      </c>
      <c r="C75" s="678">
        <v>2</v>
      </c>
      <c r="D75" s="678">
        <v>0</v>
      </c>
      <c r="E75" s="853">
        <v>0</v>
      </c>
      <c r="F75" s="783">
        <f>D75*(100%+E75)</f>
        <v>0</v>
      </c>
      <c r="G75" s="688">
        <f>'Inputs and eligible population'!$E$83</f>
        <v>0</v>
      </c>
      <c r="H75" s="784">
        <f>F75*G75</f>
        <v>0</v>
      </c>
      <c r="I75" s="855">
        <f>'Inputs and eligible population'!$F$83</f>
        <v>0.2</v>
      </c>
      <c r="J75" s="785">
        <f>H75*(100%+I75)</f>
        <v>0</v>
      </c>
      <c r="K75" s="247"/>
      <c r="L75" s="247"/>
      <c r="M75" s="247"/>
      <c r="N75" s="247"/>
      <c r="O75" s="247"/>
      <c r="P75" s="247"/>
      <c r="Q75" s="247"/>
      <c r="R75" s="247"/>
      <c r="S75" s="695"/>
      <c r="T75" s="247"/>
      <c r="W75" s="3"/>
    </row>
    <row r="76" spans="1:23" s="245" customFormat="1" ht="15" x14ac:dyDescent="0.25">
      <c r="A76" s="247"/>
      <c r="B76" s="786" t="s">
        <v>609</v>
      </c>
      <c r="C76" s="678">
        <v>2</v>
      </c>
      <c r="D76" s="678">
        <v>7.7</v>
      </c>
      <c r="E76" s="853">
        <v>0</v>
      </c>
      <c r="F76" s="783">
        <f>D76*(100%+E76)</f>
        <v>7.7</v>
      </c>
      <c r="G76" s="688">
        <f>'Inputs and eligible population'!$E$83</f>
        <v>0</v>
      </c>
      <c r="H76" s="784">
        <f>F76*G76</f>
        <v>0</v>
      </c>
      <c r="I76" s="855">
        <f>'Inputs and eligible population'!$F$83</f>
        <v>0.2</v>
      </c>
      <c r="J76" s="785">
        <f>H76*(100%+I76)</f>
        <v>0</v>
      </c>
      <c r="K76" s="247"/>
      <c r="L76" s="247"/>
      <c r="M76" s="247"/>
      <c r="N76" s="247"/>
      <c r="O76" s="247"/>
      <c r="P76" s="247"/>
      <c r="Q76" s="247"/>
      <c r="R76" s="247"/>
      <c r="S76" s="695"/>
      <c r="T76" s="247"/>
      <c r="W76" s="3"/>
    </row>
    <row r="77" spans="1:23" s="245" customFormat="1" ht="15" x14ac:dyDescent="0.25">
      <c r="A77" s="247"/>
      <c r="B77" s="786" t="s">
        <v>610</v>
      </c>
      <c r="C77" s="678">
        <v>2</v>
      </c>
      <c r="D77" s="678">
        <v>5.6</v>
      </c>
      <c r="E77" s="853">
        <v>0</v>
      </c>
      <c r="F77" s="783">
        <f t="shared" ref="F77" si="15">D77*(100%+E77)</f>
        <v>5.6</v>
      </c>
      <c r="G77" s="688">
        <f>'Inputs and eligible population'!$E$83</f>
        <v>0</v>
      </c>
      <c r="H77" s="784">
        <f t="shared" ref="H77" si="16">F77*G77</f>
        <v>0</v>
      </c>
      <c r="I77" s="855">
        <f>'Inputs and eligible population'!$F$83</f>
        <v>0.2</v>
      </c>
      <c r="J77" s="785">
        <f t="shared" ref="J77:J80" si="17">H77*(100%+I77)</f>
        <v>0</v>
      </c>
      <c r="K77" s="247"/>
      <c r="L77" s="247"/>
      <c r="M77" s="247"/>
      <c r="N77" s="247"/>
      <c r="O77" s="247"/>
      <c r="P77" s="247"/>
      <c r="Q77" s="247"/>
      <c r="R77" s="247"/>
      <c r="S77" s="695"/>
      <c r="T77" s="247"/>
      <c r="W77" s="3"/>
    </row>
    <row r="78" spans="1:23" s="245" customFormat="1" ht="15" x14ac:dyDescent="0.25">
      <c r="A78" s="247"/>
      <c r="B78" s="786" t="s">
        <v>611</v>
      </c>
      <c r="C78" s="678">
        <v>2</v>
      </c>
      <c r="D78" s="678">
        <v>2.2999999999999998</v>
      </c>
      <c r="E78" s="853">
        <v>0</v>
      </c>
      <c r="F78" s="783">
        <f>D78*(100%+E78)</f>
        <v>2.2999999999999998</v>
      </c>
      <c r="G78" s="688">
        <f>'Inputs and eligible population'!$E$83</f>
        <v>0</v>
      </c>
      <c r="H78" s="784">
        <f>F78*G78</f>
        <v>0</v>
      </c>
      <c r="I78" s="855">
        <f>'Inputs and eligible population'!$F$83</f>
        <v>0.2</v>
      </c>
      <c r="J78" s="785">
        <f t="shared" si="17"/>
        <v>0</v>
      </c>
      <c r="K78" s="247"/>
      <c r="L78" s="247"/>
      <c r="M78" s="247"/>
      <c r="N78" s="247"/>
      <c r="O78" s="247"/>
      <c r="P78" s="247"/>
      <c r="Q78" s="247"/>
      <c r="R78" s="247"/>
      <c r="S78" s="695"/>
      <c r="T78" s="247"/>
      <c r="W78" s="3"/>
    </row>
    <row r="79" spans="1:23" s="245" customFormat="1" ht="15" x14ac:dyDescent="0.25">
      <c r="A79" s="247"/>
      <c r="B79" s="786" t="s">
        <v>612</v>
      </c>
      <c r="C79" s="678">
        <v>2</v>
      </c>
      <c r="D79" s="678">
        <v>1.2</v>
      </c>
      <c r="E79" s="853">
        <v>0</v>
      </c>
      <c r="F79" s="783">
        <f t="shared" ref="F79:F80" si="18">D79*(100%+E79)</f>
        <v>1.2</v>
      </c>
      <c r="G79" s="688">
        <f>'Inputs and eligible population'!$E$83</f>
        <v>0</v>
      </c>
      <c r="H79" s="784">
        <f t="shared" ref="H79:H80" si="19">F79*G79</f>
        <v>0</v>
      </c>
      <c r="I79" s="855">
        <f>'Inputs and eligible population'!$F$83</f>
        <v>0.2</v>
      </c>
      <c r="J79" s="785">
        <f t="shared" si="17"/>
        <v>0</v>
      </c>
      <c r="K79" s="247"/>
      <c r="L79" s="247"/>
      <c r="M79" s="247"/>
      <c r="N79" s="247"/>
      <c r="O79" s="247"/>
      <c r="P79" s="247"/>
      <c r="Q79" s="247"/>
      <c r="R79" s="247"/>
      <c r="S79" s="695"/>
      <c r="T79" s="247"/>
      <c r="W79" s="3"/>
    </row>
    <row r="80" spans="1:23" s="245" customFormat="1" ht="15" x14ac:dyDescent="0.25">
      <c r="A80" s="247"/>
      <c r="B80" s="786" t="s">
        <v>613</v>
      </c>
      <c r="C80" s="678">
        <v>2</v>
      </c>
      <c r="D80" s="678">
        <v>1</v>
      </c>
      <c r="E80" s="853">
        <v>0</v>
      </c>
      <c r="F80" s="783">
        <f t="shared" si="18"/>
        <v>1</v>
      </c>
      <c r="G80" s="688">
        <f>'Inputs and eligible population'!$E$83</f>
        <v>0</v>
      </c>
      <c r="H80" s="784">
        <f t="shared" si="19"/>
        <v>0</v>
      </c>
      <c r="I80" s="855">
        <f>'Inputs and eligible population'!$F$83</f>
        <v>0.2</v>
      </c>
      <c r="J80" s="785">
        <f t="shared" si="17"/>
        <v>0</v>
      </c>
      <c r="K80" s="247"/>
      <c r="L80" s="247"/>
      <c r="M80" s="247"/>
      <c r="N80" s="247"/>
      <c r="O80" s="247"/>
      <c r="P80" s="247"/>
      <c r="Q80" s="247"/>
      <c r="R80" s="247"/>
      <c r="S80" s="695"/>
      <c r="T80" s="247"/>
      <c r="W80" s="3"/>
    </row>
    <row r="81" spans="1:23" s="245" customFormat="1" ht="15" x14ac:dyDescent="0.25">
      <c r="A81" s="247"/>
      <c r="B81" s="787"/>
      <c r="C81" s="244"/>
      <c r="D81" s="244"/>
      <c r="E81" s="244"/>
      <c r="F81" s="244"/>
      <c r="G81" s="788"/>
      <c r="H81" s="708"/>
      <c r="I81" s="242"/>
      <c r="J81" s="789"/>
      <c r="K81" s="247"/>
      <c r="L81" s="247"/>
      <c r="M81" s="247"/>
      <c r="N81" s="247"/>
      <c r="O81" s="247"/>
      <c r="P81" s="247"/>
      <c r="Q81" s="247"/>
      <c r="R81" s="247"/>
      <c r="S81" s="695"/>
      <c r="T81" s="247"/>
      <c r="W81" s="3"/>
    </row>
    <row r="82" spans="1:23" s="245" customFormat="1" ht="15" x14ac:dyDescent="0.25">
      <c r="A82" s="247"/>
      <c r="B82" s="790" t="s">
        <v>1123</v>
      </c>
      <c r="C82" s="247"/>
      <c r="D82" s="247"/>
      <c r="E82" s="247"/>
      <c r="F82" s="247"/>
      <c r="G82" s="247"/>
      <c r="H82" s="247"/>
      <c r="I82" s="247"/>
      <c r="J82" s="818"/>
      <c r="K82" s="247"/>
      <c r="L82" s="247"/>
      <c r="M82" s="247"/>
      <c r="N82" s="247"/>
      <c r="O82" s="247"/>
      <c r="P82" s="247"/>
      <c r="Q82" s="247"/>
      <c r="R82" s="247"/>
      <c r="S82" s="695"/>
      <c r="T82" s="247"/>
      <c r="W82" s="3"/>
    </row>
    <row r="83" spans="1:23" s="245" customFormat="1" ht="90" x14ac:dyDescent="0.25">
      <c r="A83" s="247"/>
      <c r="B83" s="778" t="s">
        <v>1102</v>
      </c>
      <c r="C83" s="883" t="s">
        <v>761</v>
      </c>
      <c r="D83" s="884"/>
      <c r="E83" s="884"/>
      <c r="F83" s="884"/>
      <c r="G83" s="885"/>
      <c r="H83" s="780" t="s">
        <v>1111</v>
      </c>
      <c r="I83" s="792" t="s">
        <v>1112</v>
      </c>
      <c r="J83" s="781" t="s">
        <v>1124</v>
      </c>
      <c r="K83" s="247"/>
      <c r="L83" s="247"/>
      <c r="M83" s="247"/>
      <c r="N83" s="247"/>
      <c r="O83" s="247"/>
      <c r="P83" s="247"/>
      <c r="Q83" s="247"/>
      <c r="R83" s="247"/>
      <c r="S83" s="695"/>
      <c r="T83" s="247"/>
      <c r="W83" s="3"/>
    </row>
    <row r="84" spans="1:23" s="245" customFormat="1" ht="15" x14ac:dyDescent="0.25">
      <c r="A84" s="247"/>
      <c r="B84" s="782" t="s">
        <v>1109</v>
      </c>
      <c r="C84" s="874" t="s">
        <v>1143</v>
      </c>
      <c r="D84" s="875"/>
      <c r="E84" s="875"/>
      <c r="F84" s="875"/>
      <c r="G84" s="876"/>
      <c r="H84" s="793">
        <f t="shared" ref="H84:H89" si="20">D75</f>
        <v>0</v>
      </c>
      <c r="I84" s="688">
        <v>108</v>
      </c>
      <c r="J84" s="785">
        <f>H84*I84</f>
        <v>0</v>
      </c>
      <c r="K84" s="247"/>
      <c r="L84" s="247"/>
      <c r="M84" s="247"/>
      <c r="N84" s="247"/>
      <c r="O84" s="247"/>
      <c r="P84" s="247"/>
      <c r="Q84" s="247"/>
      <c r="R84" s="247"/>
      <c r="S84" s="695"/>
      <c r="T84" s="247"/>
      <c r="W84" s="3"/>
    </row>
    <row r="85" spans="1:23" s="245" customFormat="1" ht="15" x14ac:dyDescent="0.25">
      <c r="A85" s="247"/>
      <c r="B85" s="786" t="s">
        <v>609</v>
      </c>
      <c r="C85" s="877"/>
      <c r="D85" s="878"/>
      <c r="E85" s="878"/>
      <c r="F85" s="878"/>
      <c r="G85" s="879"/>
      <c r="H85" s="793">
        <f t="shared" si="20"/>
        <v>7.7</v>
      </c>
      <c r="I85" s="688">
        <v>108</v>
      </c>
      <c r="J85" s="785">
        <f>H85*I85</f>
        <v>831.6</v>
      </c>
      <c r="K85" s="247"/>
      <c r="L85" s="247"/>
      <c r="M85" s="247"/>
      <c r="N85" s="247"/>
      <c r="O85" s="247"/>
      <c r="P85" s="247"/>
      <c r="Q85" s="247"/>
      <c r="R85" s="247"/>
      <c r="S85" s="695"/>
      <c r="T85" s="247"/>
      <c r="W85" s="3"/>
    </row>
    <row r="86" spans="1:23" s="245" customFormat="1" ht="15" x14ac:dyDescent="0.25">
      <c r="A86" s="247"/>
      <c r="B86" s="786" t="s">
        <v>610</v>
      </c>
      <c r="C86" s="877"/>
      <c r="D86" s="878"/>
      <c r="E86" s="878"/>
      <c r="F86" s="878"/>
      <c r="G86" s="879"/>
      <c r="H86" s="793">
        <f>D77</f>
        <v>5.6</v>
      </c>
      <c r="I86" s="688">
        <v>108</v>
      </c>
      <c r="J86" s="785">
        <f t="shared" ref="J86:J89" si="21">H86*I86</f>
        <v>604.79999999999995</v>
      </c>
      <c r="K86" s="247"/>
      <c r="L86" s="247"/>
      <c r="M86" s="247"/>
      <c r="N86" s="247"/>
      <c r="O86" s="247"/>
      <c r="P86" s="247"/>
      <c r="Q86" s="247"/>
      <c r="R86" s="247"/>
      <c r="S86" s="695"/>
      <c r="T86" s="247"/>
      <c r="W86" s="3"/>
    </row>
    <row r="87" spans="1:23" s="245" customFormat="1" ht="15" x14ac:dyDescent="0.25">
      <c r="A87" s="247"/>
      <c r="B87" s="786" t="s">
        <v>611</v>
      </c>
      <c r="C87" s="877"/>
      <c r="D87" s="878"/>
      <c r="E87" s="878"/>
      <c r="F87" s="878"/>
      <c r="G87" s="879"/>
      <c r="H87" s="793">
        <f t="shared" si="20"/>
        <v>2.2999999999999998</v>
      </c>
      <c r="I87" s="688">
        <v>108</v>
      </c>
      <c r="J87" s="785">
        <f t="shared" si="21"/>
        <v>248.39999999999998</v>
      </c>
      <c r="K87" s="247"/>
      <c r="L87" s="247"/>
      <c r="M87" s="247"/>
      <c r="N87" s="247"/>
      <c r="O87" s="247"/>
      <c r="P87" s="247"/>
      <c r="Q87" s="247"/>
      <c r="R87" s="247"/>
      <c r="S87" s="695"/>
      <c r="T87" s="247"/>
      <c r="W87" s="3"/>
    </row>
    <row r="88" spans="1:23" s="245" customFormat="1" ht="15" x14ac:dyDescent="0.25">
      <c r="A88" s="247"/>
      <c r="B88" s="786" t="s">
        <v>612</v>
      </c>
      <c r="C88" s="877"/>
      <c r="D88" s="878"/>
      <c r="E88" s="878"/>
      <c r="F88" s="878"/>
      <c r="G88" s="879"/>
      <c r="H88" s="793">
        <f t="shared" si="20"/>
        <v>1.2</v>
      </c>
      <c r="I88" s="688">
        <v>108</v>
      </c>
      <c r="J88" s="785">
        <f t="shared" si="21"/>
        <v>129.6</v>
      </c>
      <c r="K88" s="247"/>
      <c r="L88" s="247"/>
      <c r="M88" s="247"/>
      <c r="N88" s="247"/>
      <c r="O88" s="247"/>
      <c r="P88" s="247"/>
      <c r="Q88" s="247"/>
      <c r="R88" s="247"/>
      <c r="S88" s="695"/>
      <c r="T88" s="247"/>
      <c r="W88" s="3"/>
    </row>
    <row r="89" spans="1:23" s="245" customFormat="1" ht="15" x14ac:dyDescent="0.25">
      <c r="A89" s="247"/>
      <c r="B89" s="786" t="s">
        <v>613</v>
      </c>
      <c r="C89" s="880"/>
      <c r="D89" s="881"/>
      <c r="E89" s="881"/>
      <c r="F89" s="881"/>
      <c r="G89" s="882"/>
      <c r="H89" s="793">
        <f t="shared" si="20"/>
        <v>1</v>
      </c>
      <c r="I89" s="688">
        <v>108</v>
      </c>
      <c r="J89" s="785">
        <f t="shared" si="21"/>
        <v>108</v>
      </c>
      <c r="K89" s="247"/>
      <c r="L89" s="247"/>
      <c r="M89" s="247"/>
      <c r="N89" s="247"/>
      <c r="O89" s="247"/>
      <c r="P89" s="247"/>
      <c r="Q89" s="247"/>
      <c r="R89" s="247"/>
      <c r="S89" s="695"/>
      <c r="T89" s="247"/>
      <c r="W89" s="3"/>
    </row>
    <row r="90" spans="1:23" s="245" customFormat="1" ht="15" x14ac:dyDescent="0.25">
      <c r="A90" s="247"/>
      <c r="B90" s="819" t="s">
        <v>722</v>
      </c>
      <c r="C90" s="132"/>
      <c r="D90" s="132"/>
      <c r="E90" s="132"/>
      <c r="F90" s="132"/>
      <c r="G90" s="132"/>
      <c r="H90" s="132"/>
      <c r="I90" s="807"/>
      <c r="J90" s="820"/>
      <c r="K90" s="247"/>
      <c r="L90" s="247"/>
      <c r="M90" s="247"/>
      <c r="N90" s="247"/>
      <c r="O90" s="247"/>
      <c r="P90" s="247"/>
      <c r="Q90" s="247"/>
      <c r="R90" s="247"/>
      <c r="S90" s="695"/>
      <c r="T90" s="247"/>
      <c r="W90" s="3"/>
    </row>
    <row r="91" spans="1:23" s="245" customFormat="1" ht="15" x14ac:dyDescent="0.25">
      <c r="A91" s="247"/>
      <c r="B91" s="787" t="s">
        <v>1125</v>
      </c>
      <c r="C91" s="244"/>
      <c r="D91" s="244"/>
      <c r="E91" s="244"/>
      <c r="F91" s="244"/>
      <c r="G91" s="788"/>
      <c r="H91" s="708"/>
      <c r="I91" s="242"/>
      <c r="J91" s="789"/>
      <c r="K91" s="247"/>
      <c r="L91" s="247"/>
      <c r="M91" s="247"/>
      <c r="N91" s="247"/>
      <c r="O91" s="247"/>
      <c r="P91" s="247"/>
      <c r="Q91" s="247"/>
      <c r="R91" s="247"/>
      <c r="S91" s="695"/>
      <c r="T91" s="247"/>
      <c r="W91" s="3"/>
    </row>
    <row r="92" spans="1:23" s="245" customFormat="1" ht="15" x14ac:dyDescent="0.25">
      <c r="A92" s="247"/>
      <c r="B92" s="796" t="s">
        <v>1115</v>
      </c>
      <c r="C92" s="821"/>
      <c r="D92" s="821"/>
      <c r="E92" s="821"/>
      <c r="F92" s="821"/>
      <c r="G92" s="821"/>
      <c r="H92" s="821"/>
      <c r="I92" s="821"/>
      <c r="J92" s="822"/>
      <c r="K92" s="247"/>
      <c r="L92" s="247"/>
      <c r="M92" s="247"/>
      <c r="N92" s="247"/>
      <c r="O92" s="247"/>
      <c r="P92" s="247"/>
      <c r="Q92" s="247"/>
      <c r="R92" s="247"/>
      <c r="S92" s="695"/>
      <c r="T92" s="247"/>
      <c r="W92" s="3"/>
    </row>
    <row r="93" spans="1:23" s="245" customFormat="1" ht="15.75" thickBot="1" x14ac:dyDescent="0.3">
      <c r="A93" s="247"/>
      <c r="B93" s="799" t="s">
        <v>1126</v>
      </c>
      <c r="C93" s="823"/>
      <c r="D93" s="823"/>
      <c r="E93" s="823"/>
      <c r="F93" s="823"/>
      <c r="G93" s="823"/>
      <c r="H93" s="823"/>
      <c r="I93" s="823"/>
      <c r="J93" s="824"/>
      <c r="K93" s="247"/>
      <c r="L93" s="247"/>
      <c r="M93" s="247"/>
      <c r="N93" s="247"/>
      <c r="O93" s="247"/>
      <c r="P93" s="247"/>
      <c r="Q93" s="247"/>
      <c r="R93" s="247"/>
      <c r="S93" s="695"/>
      <c r="T93" s="247"/>
      <c r="W93" s="3"/>
    </row>
    <row r="94" spans="1:23" s="245" customFormat="1" ht="15" x14ac:dyDescent="0.25">
      <c r="A94" s="247"/>
      <c r="B94" s="797"/>
      <c r="C94" s="5"/>
      <c r="D94" s="5"/>
      <c r="E94" s="5"/>
      <c r="F94" s="5"/>
      <c r="G94" s="5"/>
      <c r="H94" s="5"/>
      <c r="I94" s="5"/>
      <c r="J94" s="5"/>
      <c r="K94" s="247"/>
      <c r="L94" s="247"/>
      <c r="M94" s="247"/>
      <c r="N94" s="247"/>
      <c r="O94" s="247"/>
      <c r="P94" s="247"/>
      <c r="Q94" s="247"/>
      <c r="R94" s="247"/>
      <c r="S94" s="695"/>
      <c r="T94" s="247"/>
      <c r="W94" s="3"/>
    </row>
    <row r="95" spans="1:23" s="245" customFormat="1" ht="15.75" thickBot="1" x14ac:dyDescent="0.3">
      <c r="A95" s="247"/>
      <c r="B95" s="797"/>
      <c r="C95" s="5"/>
      <c r="D95" s="5"/>
      <c r="E95" s="5"/>
      <c r="F95" s="5"/>
      <c r="G95" s="5"/>
      <c r="H95" s="5"/>
      <c r="I95" s="5"/>
      <c r="J95" s="5"/>
      <c r="K95" s="247"/>
      <c r="L95" s="247"/>
      <c r="M95" s="247"/>
      <c r="N95" s="247"/>
      <c r="O95" s="247"/>
      <c r="P95" s="247"/>
      <c r="Q95" s="247"/>
      <c r="R95" s="247"/>
      <c r="S95" s="695"/>
      <c r="T95" s="247"/>
      <c r="W95" s="3"/>
    </row>
    <row r="96" spans="1:23" s="245" customFormat="1" ht="15" x14ac:dyDescent="0.25">
      <c r="A96" s="247"/>
      <c r="B96" s="815" t="s">
        <v>1127</v>
      </c>
      <c r="C96" s="816"/>
      <c r="D96" s="816"/>
      <c r="E96" s="816"/>
      <c r="F96" s="816"/>
      <c r="G96" s="816"/>
      <c r="H96" s="816"/>
      <c r="I96" s="816"/>
      <c r="J96" s="817"/>
      <c r="K96" s="247"/>
      <c r="L96" s="247"/>
      <c r="M96" s="247"/>
      <c r="N96" s="247"/>
      <c r="O96" s="247"/>
      <c r="P96" s="247"/>
      <c r="Q96" s="247"/>
      <c r="R96" s="247"/>
      <c r="S96" s="695"/>
      <c r="T96" s="247"/>
      <c r="W96" s="3"/>
    </row>
    <row r="97" spans="1:23" s="245" customFormat="1" ht="105" x14ac:dyDescent="0.25">
      <c r="A97" s="247"/>
      <c r="B97" s="778" t="s">
        <v>1102</v>
      </c>
      <c r="C97" s="779" t="s">
        <v>1103</v>
      </c>
      <c r="D97" s="780" t="s">
        <v>1196</v>
      </c>
      <c r="E97" s="780" t="s">
        <v>1104</v>
      </c>
      <c r="F97" s="780" t="s">
        <v>1105</v>
      </c>
      <c r="G97" s="779" t="s">
        <v>1128</v>
      </c>
      <c r="H97" s="779" t="s">
        <v>1107</v>
      </c>
      <c r="I97" s="779" t="s">
        <v>754</v>
      </c>
      <c r="J97" s="781" t="s">
        <v>1108</v>
      </c>
      <c r="K97" s="247"/>
      <c r="L97" s="247"/>
      <c r="M97" s="247"/>
      <c r="N97" s="247"/>
      <c r="O97" s="247"/>
      <c r="P97" s="247"/>
      <c r="Q97" s="247"/>
      <c r="R97" s="247"/>
      <c r="S97" s="695"/>
      <c r="T97" s="247"/>
      <c r="W97" s="3"/>
    </row>
    <row r="98" spans="1:23" s="245" customFormat="1" ht="15" x14ac:dyDescent="0.25">
      <c r="A98" s="247"/>
      <c r="B98" s="782" t="s">
        <v>1109</v>
      </c>
      <c r="C98" s="678">
        <v>0.5</v>
      </c>
      <c r="D98" s="678">
        <v>0</v>
      </c>
      <c r="E98" s="853">
        <v>0</v>
      </c>
      <c r="F98" s="783">
        <f>D98*(100%+E98)</f>
        <v>0</v>
      </c>
      <c r="G98" s="688">
        <f>'Inputs and eligible population'!$E$84</f>
        <v>0</v>
      </c>
      <c r="H98" s="784">
        <f>F98*G98</f>
        <v>0</v>
      </c>
      <c r="I98" s="855">
        <f>'Inputs and eligible population'!$F$84</f>
        <v>0.2</v>
      </c>
      <c r="J98" s="785">
        <f>H98*(100%+I98)</f>
        <v>0</v>
      </c>
      <c r="K98" s="247"/>
      <c r="L98" s="247"/>
      <c r="M98" s="247"/>
      <c r="N98" s="247"/>
      <c r="O98" s="247"/>
      <c r="P98" s="247"/>
      <c r="Q98" s="247"/>
      <c r="R98" s="247"/>
      <c r="S98" s="695"/>
      <c r="T98" s="247"/>
      <c r="W98" s="3"/>
    </row>
    <row r="99" spans="1:23" s="245" customFormat="1" ht="15" x14ac:dyDescent="0.25">
      <c r="A99" s="247"/>
      <c r="B99" s="786" t="s">
        <v>609</v>
      </c>
      <c r="C99" s="678">
        <v>0.5</v>
      </c>
      <c r="D99" s="678">
        <v>7.7</v>
      </c>
      <c r="E99" s="853">
        <v>0</v>
      </c>
      <c r="F99" s="783">
        <f>D99*(100%+E99)</f>
        <v>7.7</v>
      </c>
      <c r="G99" s="688">
        <f>'Inputs and eligible population'!$E$84</f>
        <v>0</v>
      </c>
      <c r="H99" s="784">
        <f>F99*G99</f>
        <v>0</v>
      </c>
      <c r="I99" s="855">
        <f>'Inputs and eligible population'!$F$84</f>
        <v>0.2</v>
      </c>
      <c r="J99" s="785">
        <f>H99*(100%+I99)</f>
        <v>0</v>
      </c>
      <c r="K99" s="247"/>
      <c r="L99" s="247"/>
      <c r="M99" s="247"/>
      <c r="N99" s="247"/>
      <c r="O99" s="247"/>
      <c r="P99" s="247"/>
      <c r="Q99" s="247"/>
      <c r="R99" s="247"/>
      <c r="S99" s="695"/>
      <c r="T99" s="247"/>
      <c r="W99" s="3"/>
    </row>
    <row r="100" spans="1:23" s="245" customFormat="1" ht="15" x14ac:dyDescent="0.25">
      <c r="A100" s="247"/>
      <c r="B100" s="786" t="s">
        <v>610</v>
      </c>
      <c r="C100" s="678">
        <v>0.5</v>
      </c>
      <c r="D100" s="678">
        <v>5.6</v>
      </c>
      <c r="E100" s="853">
        <v>0</v>
      </c>
      <c r="F100" s="783">
        <f t="shared" ref="F100" si="22">D100*(100%+E100)</f>
        <v>5.6</v>
      </c>
      <c r="G100" s="688">
        <f>'Inputs and eligible population'!$E$84</f>
        <v>0</v>
      </c>
      <c r="H100" s="784">
        <f t="shared" ref="H100:H103" si="23">F100*G100</f>
        <v>0</v>
      </c>
      <c r="I100" s="855">
        <f>'Inputs and eligible population'!$F$84</f>
        <v>0.2</v>
      </c>
      <c r="J100" s="785">
        <f t="shared" ref="J100:J103" si="24">H100*(100%+I100)</f>
        <v>0</v>
      </c>
      <c r="K100" s="247"/>
      <c r="L100" s="247"/>
      <c r="M100" s="247"/>
      <c r="N100" s="247"/>
      <c r="O100" s="247"/>
      <c r="P100" s="247"/>
      <c r="Q100" s="247"/>
      <c r="R100" s="247"/>
      <c r="S100" s="695"/>
      <c r="T100" s="247"/>
      <c r="W100" s="3"/>
    </row>
    <row r="101" spans="1:23" s="245" customFormat="1" ht="15" x14ac:dyDescent="0.25">
      <c r="A101" s="247"/>
      <c r="B101" s="786" t="s">
        <v>611</v>
      </c>
      <c r="C101" s="678">
        <v>0.5</v>
      </c>
      <c r="D101" s="678">
        <v>2.2999999999999998</v>
      </c>
      <c r="E101" s="853">
        <v>0</v>
      </c>
      <c r="F101" s="783">
        <f>D101*(100%+E101)</f>
        <v>2.2999999999999998</v>
      </c>
      <c r="G101" s="688">
        <f>'Inputs and eligible population'!$E$84</f>
        <v>0</v>
      </c>
      <c r="H101" s="784">
        <f t="shared" si="23"/>
        <v>0</v>
      </c>
      <c r="I101" s="855">
        <f>'Inputs and eligible population'!$F$84</f>
        <v>0.2</v>
      </c>
      <c r="J101" s="785">
        <f t="shared" si="24"/>
        <v>0</v>
      </c>
      <c r="K101" s="247"/>
      <c r="L101" s="247"/>
      <c r="M101" s="247"/>
      <c r="N101" s="247"/>
      <c r="O101" s="247"/>
      <c r="P101" s="247"/>
      <c r="Q101" s="247"/>
      <c r="R101" s="247"/>
      <c r="S101" s="695"/>
      <c r="T101" s="247"/>
      <c r="W101" s="3"/>
    </row>
    <row r="102" spans="1:23" s="245" customFormat="1" ht="15" x14ac:dyDescent="0.25">
      <c r="A102" s="247"/>
      <c r="B102" s="786" t="s">
        <v>612</v>
      </c>
      <c r="C102" s="678">
        <v>0.5</v>
      </c>
      <c r="D102" s="678">
        <v>1.2</v>
      </c>
      <c r="E102" s="853">
        <v>0</v>
      </c>
      <c r="F102" s="783">
        <f t="shared" ref="F102:F103" si="25">D102*(100%+E102)</f>
        <v>1.2</v>
      </c>
      <c r="G102" s="688">
        <f>'Inputs and eligible population'!$E$84</f>
        <v>0</v>
      </c>
      <c r="H102" s="784">
        <f t="shared" si="23"/>
        <v>0</v>
      </c>
      <c r="I102" s="855">
        <f>'Inputs and eligible population'!$F$84</f>
        <v>0.2</v>
      </c>
      <c r="J102" s="785">
        <f t="shared" si="24"/>
        <v>0</v>
      </c>
      <c r="K102" s="247"/>
      <c r="L102" s="247"/>
      <c r="M102" s="247"/>
      <c r="N102" s="247"/>
      <c r="O102" s="247"/>
      <c r="P102" s="247"/>
      <c r="Q102" s="247"/>
      <c r="R102" s="247"/>
      <c r="S102" s="695"/>
      <c r="T102" s="247"/>
      <c r="W102" s="3"/>
    </row>
    <row r="103" spans="1:23" s="245" customFormat="1" ht="15" x14ac:dyDescent="0.25">
      <c r="A103" s="247"/>
      <c r="B103" s="786" t="s">
        <v>1129</v>
      </c>
      <c r="C103" s="678">
        <v>0.5</v>
      </c>
      <c r="D103" s="678">
        <v>1</v>
      </c>
      <c r="E103" s="853">
        <v>0</v>
      </c>
      <c r="F103" s="783">
        <f t="shared" si="25"/>
        <v>1</v>
      </c>
      <c r="G103" s="688">
        <f>'Inputs and eligible population'!$E$84</f>
        <v>0</v>
      </c>
      <c r="H103" s="784">
        <f t="shared" si="23"/>
        <v>0</v>
      </c>
      <c r="I103" s="855">
        <f>'Inputs and eligible population'!$F$84</f>
        <v>0.2</v>
      </c>
      <c r="J103" s="785">
        <f t="shared" si="24"/>
        <v>0</v>
      </c>
      <c r="K103" s="247"/>
      <c r="L103" s="247"/>
      <c r="M103" s="247"/>
      <c r="N103" s="247"/>
      <c r="O103" s="247"/>
      <c r="P103" s="247"/>
      <c r="Q103" s="247"/>
      <c r="R103" s="247"/>
      <c r="S103" s="695"/>
      <c r="T103" s="247"/>
      <c r="W103" s="3"/>
    </row>
    <row r="104" spans="1:23" s="245" customFormat="1" ht="15" x14ac:dyDescent="0.25">
      <c r="A104" s="247"/>
      <c r="B104" s="787"/>
      <c r="C104" s="244"/>
      <c r="D104" s="244"/>
      <c r="E104" s="244"/>
      <c r="F104" s="244"/>
      <c r="G104" s="788"/>
      <c r="H104" s="708"/>
      <c r="I104" s="242"/>
      <c r="J104" s="789"/>
      <c r="K104" s="247"/>
      <c r="L104" s="247"/>
      <c r="M104" s="247"/>
      <c r="N104" s="247"/>
      <c r="O104" s="247"/>
      <c r="P104" s="247"/>
      <c r="Q104" s="247"/>
      <c r="R104" s="247"/>
      <c r="S104" s="695"/>
      <c r="T104" s="247"/>
      <c r="W104" s="3"/>
    </row>
    <row r="105" spans="1:23" s="245" customFormat="1" ht="15" x14ac:dyDescent="0.25">
      <c r="A105" s="247"/>
      <c r="B105" s="790" t="s">
        <v>1130</v>
      </c>
      <c r="C105" s="247"/>
      <c r="D105" s="247"/>
      <c r="E105" s="247"/>
      <c r="F105" s="247"/>
      <c r="G105" s="247"/>
      <c r="H105" s="247"/>
      <c r="I105" s="247"/>
      <c r="J105" s="818"/>
      <c r="K105" s="247"/>
      <c r="L105" s="247"/>
      <c r="M105" s="247"/>
      <c r="N105" s="247"/>
      <c r="O105" s="247"/>
      <c r="P105" s="247"/>
      <c r="Q105" s="247"/>
      <c r="R105" s="247"/>
      <c r="S105" s="695"/>
      <c r="T105" s="247"/>
      <c r="W105" s="3"/>
    </row>
    <row r="106" spans="1:23" s="245" customFormat="1" ht="90" x14ac:dyDescent="0.25">
      <c r="A106" s="247"/>
      <c r="B106" s="778" t="s">
        <v>1102</v>
      </c>
      <c r="C106" s="883" t="s">
        <v>761</v>
      </c>
      <c r="D106" s="884"/>
      <c r="E106" s="884"/>
      <c r="F106" s="884"/>
      <c r="G106" s="885"/>
      <c r="H106" s="780" t="s">
        <v>1111</v>
      </c>
      <c r="I106" s="792" t="s">
        <v>1112</v>
      </c>
      <c r="J106" s="781" t="s">
        <v>1124</v>
      </c>
      <c r="K106" s="247"/>
      <c r="L106" s="247"/>
      <c r="M106" s="247"/>
      <c r="N106" s="247"/>
      <c r="O106" s="247"/>
      <c r="P106" s="247"/>
      <c r="Q106" s="247"/>
      <c r="R106" s="247"/>
      <c r="S106" s="695"/>
      <c r="T106" s="247"/>
      <c r="W106" s="3"/>
    </row>
    <row r="107" spans="1:23" s="245" customFormat="1" ht="15" x14ac:dyDescent="0.25">
      <c r="A107" s="247"/>
      <c r="B107" s="782" t="s">
        <v>1109</v>
      </c>
      <c r="C107" s="874" t="s">
        <v>1143</v>
      </c>
      <c r="D107" s="875"/>
      <c r="E107" s="875"/>
      <c r="F107" s="875"/>
      <c r="G107" s="876"/>
      <c r="H107" s="825">
        <f>D98</f>
        <v>0</v>
      </c>
      <c r="I107" s="688">
        <v>108</v>
      </c>
      <c r="J107" s="785">
        <f>H107*I107</f>
        <v>0</v>
      </c>
      <c r="K107" s="247"/>
      <c r="L107" s="247"/>
      <c r="M107" s="247"/>
      <c r="N107" s="247"/>
      <c r="O107" s="247"/>
      <c r="P107" s="247"/>
      <c r="Q107" s="247"/>
      <c r="R107" s="247"/>
      <c r="S107" s="695"/>
      <c r="T107" s="247"/>
      <c r="W107" s="3"/>
    </row>
    <row r="108" spans="1:23" s="245" customFormat="1" ht="15" x14ac:dyDescent="0.25">
      <c r="A108" s="247"/>
      <c r="B108" s="786" t="s">
        <v>609</v>
      </c>
      <c r="C108" s="877"/>
      <c r="D108" s="878"/>
      <c r="E108" s="878"/>
      <c r="F108" s="878"/>
      <c r="G108" s="879"/>
      <c r="H108" s="826">
        <f t="shared" ref="H108:H112" si="26">D99</f>
        <v>7.7</v>
      </c>
      <c r="I108" s="688">
        <v>108</v>
      </c>
      <c r="J108" s="785">
        <f>H108*I108</f>
        <v>831.6</v>
      </c>
      <c r="K108" s="247"/>
      <c r="L108" s="247"/>
      <c r="M108" s="247"/>
      <c r="N108" s="247"/>
      <c r="O108" s="247"/>
      <c r="P108" s="247"/>
      <c r="Q108" s="247"/>
      <c r="R108" s="247"/>
      <c r="S108" s="695"/>
      <c r="T108" s="247"/>
      <c r="W108" s="3"/>
    </row>
    <row r="109" spans="1:23" s="245" customFormat="1" ht="15" x14ac:dyDescent="0.25">
      <c r="A109" s="247"/>
      <c r="B109" s="786" t="s">
        <v>610</v>
      </c>
      <c r="C109" s="877"/>
      <c r="D109" s="878"/>
      <c r="E109" s="878"/>
      <c r="F109" s="878"/>
      <c r="G109" s="879"/>
      <c r="H109" s="826">
        <f t="shared" si="26"/>
        <v>5.6</v>
      </c>
      <c r="I109" s="688">
        <v>108</v>
      </c>
      <c r="J109" s="785">
        <f t="shared" ref="J109:J112" si="27">H109*I109</f>
        <v>604.79999999999995</v>
      </c>
      <c r="K109" s="247"/>
      <c r="L109" s="247"/>
      <c r="M109" s="247"/>
      <c r="N109" s="247"/>
      <c r="O109" s="247"/>
      <c r="P109" s="247"/>
      <c r="Q109" s="247"/>
      <c r="R109" s="247"/>
      <c r="S109" s="695"/>
      <c r="T109" s="247"/>
      <c r="W109" s="3"/>
    </row>
    <row r="110" spans="1:23" s="245" customFormat="1" ht="15" x14ac:dyDescent="0.25">
      <c r="A110" s="247"/>
      <c r="B110" s="786" t="s">
        <v>611</v>
      </c>
      <c r="C110" s="877"/>
      <c r="D110" s="878"/>
      <c r="E110" s="878"/>
      <c r="F110" s="878"/>
      <c r="G110" s="879"/>
      <c r="H110" s="826">
        <f>D101</f>
        <v>2.2999999999999998</v>
      </c>
      <c r="I110" s="688">
        <v>108</v>
      </c>
      <c r="J110" s="785">
        <f t="shared" si="27"/>
        <v>248.39999999999998</v>
      </c>
      <c r="K110" s="247"/>
      <c r="L110" s="247"/>
      <c r="M110" s="247"/>
      <c r="N110" s="247"/>
      <c r="O110" s="247"/>
      <c r="P110" s="247"/>
      <c r="Q110" s="247"/>
      <c r="R110" s="247"/>
      <c r="S110" s="695"/>
      <c r="T110" s="247"/>
      <c r="W110" s="3"/>
    </row>
    <row r="111" spans="1:23" s="245" customFormat="1" ht="15" x14ac:dyDescent="0.25">
      <c r="A111" s="247"/>
      <c r="B111" s="786" t="s">
        <v>612</v>
      </c>
      <c r="C111" s="877"/>
      <c r="D111" s="878"/>
      <c r="E111" s="878"/>
      <c r="F111" s="878"/>
      <c r="G111" s="879"/>
      <c r="H111" s="826">
        <f t="shared" si="26"/>
        <v>1.2</v>
      </c>
      <c r="I111" s="688">
        <v>108</v>
      </c>
      <c r="J111" s="785">
        <f t="shared" si="27"/>
        <v>129.6</v>
      </c>
      <c r="K111" s="247"/>
      <c r="L111" s="247"/>
      <c r="M111" s="247"/>
      <c r="N111" s="247"/>
      <c r="O111" s="247"/>
      <c r="P111" s="247"/>
      <c r="Q111" s="247"/>
      <c r="R111" s="247"/>
      <c r="S111" s="695"/>
      <c r="T111" s="247"/>
      <c r="W111" s="3"/>
    </row>
    <row r="112" spans="1:23" s="245" customFormat="1" ht="15" x14ac:dyDescent="0.25">
      <c r="A112" s="247"/>
      <c r="B112" s="786" t="s">
        <v>613</v>
      </c>
      <c r="C112" s="880"/>
      <c r="D112" s="881"/>
      <c r="E112" s="881"/>
      <c r="F112" s="881"/>
      <c r="G112" s="882"/>
      <c r="H112" s="826">
        <f t="shared" si="26"/>
        <v>1</v>
      </c>
      <c r="I112" s="688">
        <v>108</v>
      </c>
      <c r="J112" s="785">
        <f t="shared" si="27"/>
        <v>108</v>
      </c>
      <c r="K112" s="247"/>
      <c r="L112" s="247"/>
      <c r="M112" s="247"/>
      <c r="N112" s="247"/>
      <c r="O112" s="247"/>
      <c r="P112" s="247"/>
      <c r="Q112" s="247"/>
      <c r="R112" s="247"/>
      <c r="S112" s="695"/>
      <c r="T112" s="247"/>
      <c r="W112" s="3"/>
    </row>
    <row r="113" spans="1:23" s="245" customFormat="1" ht="15" x14ac:dyDescent="0.25">
      <c r="A113" s="247"/>
      <c r="B113" s="806" t="s">
        <v>722</v>
      </c>
      <c r="C113" s="798"/>
      <c r="D113"/>
      <c r="E113"/>
      <c r="F113"/>
      <c r="G113"/>
      <c r="H113"/>
      <c r="I113"/>
      <c r="J113" s="829"/>
      <c r="K113" s="247"/>
      <c r="L113" s="247"/>
      <c r="M113" s="247"/>
      <c r="N113" s="247"/>
      <c r="O113" s="247"/>
      <c r="P113" s="247"/>
      <c r="Q113" s="247"/>
      <c r="R113" s="247"/>
      <c r="S113" s="695"/>
      <c r="T113" s="247"/>
      <c r="W113" s="3"/>
    </row>
    <row r="114" spans="1:23" s="245" customFormat="1" ht="15" x14ac:dyDescent="0.25">
      <c r="A114" s="247"/>
      <c r="B114" s="827" t="s">
        <v>1131</v>
      </c>
      <c r="C114" s="244"/>
      <c r="D114" s="244"/>
      <c r="E114" s="244"/>
      <c r="F114" s="244"/>
      <c r="G114" s="788"/>
      <c r="H114" s="708"/>
      <c r="I114" s="242"/>
      <c r="J114" s="789"/>
      <c r="K114" s="247"/>
      <c r="L114" s="247"/>
      <c r="M114" s="247"/>
      <c r="N114" s="247"/>
      <c r="O114" s="247"/>
      <c r="P114" s="247"/>
      <c r="Q114" s="247"/>
      <c r="R114" s="247"/>
      <c r="S114" s="695"/>
      <c r="T114" s="247"/>
      <c r="W114" s="3"/>
    </row>
    <row r="115" spans="1:23" s="245" customFormat="1" ht="15" x14ac:dyDescent="0.25">
      <c r="A115" s="247"/>
      <c r="B115" s="827" t="s">
        <v>1132</v>
      </c>
      <c r="C115" s="244"/>
      <c r="D115" s="244"/>
      <c r="E115" s="244"/>
      <c r="F115" s="244"/>
      <c r="G115" s="788"/>
      <c r="H115" s="708"/>
      <c r="I115" s="242"/>
      <c r="J115" s="789"/>
      <c r="K115" s="247"/>
      <c r="L115" s="247"/>
      <c r="M115" s="247"/>
      <c r="N115" s="247"/>
      <c r="O115" s="247"/>
      <c r="P115" s="247"/>
      <c r="Q115" s="247"/>
      <c r="R115" s="247"/>
      <c r="S115" s="695"/>
      <c r="T115" s="247"/>
      <c r="W115" s="3"/>
    </row>
    <row r="116" spans="1:23" s="245" customFormat="1" ht="15" x14ac:dyDescent="0.25">
      <c r="A116" s="247"/>
      <c r="B116" s="796" t="s">
        <v>1115</v>
      </c>
      <c r="C116" s="5"/>
      <c r="D116" s="5"/>
      <c r="E116" s="5"/>
      <c r="F116" s="5"/>
      <c r="G116" s="5"/>
      <c r="H116" s="5"/>
      <c r="I116" s="5"/>
      <c r="J116" s="810"/>
      <c r="K116" s="247"/>
      <c r="L116" s="247"/>
      <c r="M116" s="247"/>
      <c r="N116" s="247"/>
      <c r="O116" s="247"/>
      <c r="P116" s="247"/>
      <c r="Q116" s="247"/>
      <c r="R116" s="247"/>
      <c r="S116" s="695"/>
      <c r="T116" s="247"/>
      <c r="W116" s="3"/>
    </row>
    <row r="117" spans="1:23" s="245" customFormat="1" ht="15.75" thickBot="1" x14ac:dyDescent="0.3">
      <c r="A117" s="247"/>
      <c r="B117" s="799" t="s">
        <v>1133</v>
      </c>
      <c r="C117" s="828"/>
      <c r="D117" s="828"/>
      <c r="E117" s="828"/>
      <c r="F117" s="828"/>
      <c r="G117" s="828"/>
      <c r="H117" s="828"/>
      <c r="I117" s="828"/>
      <c r="J117" s="824"/>
      <c r="K117" s="247"/>
      <c r="L117" s="247"/>
      <c r="M117" s="247"/>
      <c r="N117" s="247"/>
      <c r="O117" s="247"/>
      <c r="P117" s="247"/>
      <c r="Q117" s="247"/>
      <c r="R117" s="247"/>
      <c r="S117" s="695"/>
      <c r="T117" s="247"/>
      <c r="W117" s="3"/>
    </row>
    <row r="118" spans="1:23" s="245" customFormat="1" ht="15" x14ac:dyDescent="0.25">
      <c r="A118" s="247"/>
      <c r="B118" s="5"/>
      <c r="C118" s="5"/>
      <c r="D118" s="5"/>
      <c r="E118" s="5"/>
      <c r="F118" s="5"/>
      <c r="G118" s="5"/>
      <c r="H118" s="5"/>
      <c r="I118" s="5"/>
      <c r="J118" s="810"/>
      <c r="K118" s="247"/>
      <c r="L118" s="247"/>
      <c r="M118" s="247"/>
      <c r="N118" s="247"/>
      <c r="O118" s="247"/>
      <c r="P118" s="247"/>
      <c r="Q118" s="247"/>
      <c r="R118" s="247"/>
      <c r="S118" s="695"/>
      <c r="T118" s="247"/>
      <c r="W118" s="3"/>
    </row>
    <row r="119" spans="1:23" s="4" customFormat="1" ht="15" x14ac:dyDescent="0.25">
      <c r="A119" s="5"/>
      <c r="B119" s="469" t="s">
        <v>762</v>
      </c>
      <c r="C119" s="177"/>
      <c r="D119" s="177"/>
      <c r="E119" s="112"/>
      <c r="F119" s="178"/>
      <c r="G119" s="179"/>
      <c r="H119" s="5"/>
      <c r="I119" s="5"/>
      <c r="J119" s="180"/>
      <c r="K119" s="179"/>
      <c r="L119" s="179"/>
      <c r="M119" s="179"/>
      <c r="N119" s="179"/>
      <c r="O119" s="179"/>
      <c r="P119" s="179"/>
      <c r="Q119" s="179"/>
      <c r="R119" s="180"/>
      <c r="S119" s="695"/>
      <c r="T119" s="5"/>
      <c r="W119" s="3"/>
    </row>
    <row r="120" spans="1:23" s="4" customFormat="1" ht="15" x14ac:dyDescent="0.25">
      <c r="A120" s="5"/>
      <c r="B120" s="246" t="s">
        <v>758</v>
      </c>
      <c r="C120" s="248" t="s">
        <v>759</v>
      </c>
      <c r="D120" s="251" t="s">
        <v>760</v>
      </c>
      <c r="E120" s="465"/>
      <c r="F120" s="466"/>
      <c r="G120" s="467"/>
      <c r="H120" s="468"/>
      <c r="I120" s="467"/>
      <c r="J120" s="468"/>
      <c r="K120" s="467"/>
      <c r="L120" s="468"/>
      <c r="M120" s="467"/>
      <c r="N120" s="470" t="s">
        <v>761</v>
      </c>
      <c r="O120" s="179"/>
      <c r="P120" s="179"/>
      <c r="Q120" s="179"/>
      <c r="R120" s="180"/>
      <c r="S120" s="695"/>
      <c r="T120" s="5"/>
      <c r="W120" s="3"/>
    </row>
    <row r="121" spans="1:23" s="4" customFormat="1" ht="15" x14ac:dyDescent="0.25">
      <c r="A121" s="5"/>
      <c r="B121" s="677" t="s">
        <v>763</v>
      </c>
      <c r="C121" s="689" t="s">
        <v>1100</v>
      </c>
      <c r="D121" s="683" t="s">
        <v>1099</v>
      </c>
      <c r="E121" s="690"/>
      <c r="F121" s="684"/>
      <c r="G121" s="685"/>
      <c r="H121" s="686"/>
      <c r="I121" s="686"/>
      <c r="J121" s="686"/>
      <c r="K121" s="686"/>
      <c r="L121" s="685"/>
      <c r="M121" s="687"/>
      <c r="N121" s="688">
        <v>152</v>
      </c>
      <c r="O121" s="179"/>
      <c r="P121" s="179"/>
      <c r="Q121" s="179"/>
      <c r="R121" s="180"/>
      <c r="S121" s="695"/>
      <c r="T121" s="5"/>
      <c r="W121" s="3"/>
    </row>
    <row r="122" spans="1:23" s="4" customFormat="1" ht="15" x14ac:dyDescent="0.25">
      <c r="A122" s="5"/>
      <c r="B122" s="677" t="s">
        <v>764</v>
      </c>
      <c r="C122" s="689" t="s">
        <v>1100</v>
      </c>
      <c r="D122" s="683" t="s">
        <v>1099</v>
      </c>
      <c r="E122" s="690"/>
      <c r="F122" s="684"/>
      <c r="G122" s="685"/>
      <c r="H122" s="686"/>
      <c r="I122" s="686"/>
      <c r="J122" s="686"/>
      <c r="K122" s="686"/>
      <c r="L122" s="685"/>
      <c r="M122" s="687"/>
      <c r="N122" s="688">
        <v>69</v>
      </c>
      <c r="O122" s="179"/>
      <c r="P122" s="179"/>
      <c r="Q122" s="179"/>
      <c r="R122" s="180"/>
      <c r="S122" s="695"/>
      <c r="T122" s="5"/>
      <c r="W122" s="3"/>
    </row>
    <row r="123" spans="1:23" s="4" customFormat="1" ht="15" x14ac:dyDescent="0.25">
      <c r="A123" s="5"/>
      <c r="B123" s="715" t="s">
        <v>765</v>
      </c>
      <c r="C123" s="5"/>
      <c r="D123" s="177"/>
      <c r="E123" s="112"/>
      <c r="F123" s="178"/>
      <c r="G123" s="179"/>
      <c r="H123" s="5"/>
      <c r="I123" s="5"/>
      <c r="J123" s="180"/>
      <c r="K123" s="179"/>
      <c r="L123" s="179"/>
      <c r="M123" s="179"/>
      <c r="N123" s="179"/>
      <c r="O123" s="179"/>
      <c r="P123" s="179"/>
      <c r="Q123" s="179"/>
      <c r="R123" s="180"/>
      <c r="S123" s="695"/>
      <c r="T123" s="5"/>
      <c r="W123" s="3"/>
    </row>
    <row r="124" spans="1:23" s="4" customFormat="1" ht="15" hidden="1" x14ac:dyDescent="0.25">
      <c r="A124" s="5"/>
      <c r="B124" s="193"/>
      <c r="C124" s="5"/>
      <c r="D124" s="177"/>
      <c r="E124" s="112"/>
      <c r="F124" s="178"/>
      <c r="G124" s="179"/>
      <c r="H124" s="5"/>
      <c r="I124" s="5"/>
      <c r="J124" s="180"/>
      <c r="K124" s="179"/>
      <c r="L124" s="179"/>
      <c r="M124" s="179"/>
      <c r="N124" s="179"/>
      <c r="O124" s="179"/>
      <c r="P124" s="179"/>
      <c r="Q124" s="179"/>
      <c r="R124" s="180"/>
      <c r="S124" s="695"/>
      <c r="T124" s="5"/>
      <c r="W124" s="3"/>
    </row>
    <row r="125" spans="1:23" s="4" customFormat="1" ht="15" hidden="1" x14ac:dyDescent="0.25">
      <c r="A125" s="5"/>
      <c r="B125" s="469" t="s">
        <v>766</v>
      </c>
      <c r="C125" s="177"/>
      <c r="D125" s="177"/>
      <c r="E125" s="112"/>
      <c r="F125" s="178"/>
      <c r="G125" s="179"/>
      <c r="H125" s="5"/>
      <c r="I125" s="5"/>
      <c r="J125" s="180"/>
      <c r="K125" s="179"/>
      <c r="L125" s="179"/>
      <c r="M125" s="179"/>
      <c r="N125" s="179"/>
      <c r="O125" s="179"/>
      <c r="P125" s="179"/>
      <c r="Q125" s="179"/>
      <c r="R125" s="180"/>
      <c r="S125" s="695"/>
      <c r="T125" s="5"/>
      <c r="W125" s="3"/>
    </row>
    <row r="126" spans="1:23" s="4" customFormat="1" ht="15" hidden="1" x14ac:dyDescent="0.25">
      <c r="A126" s="5"/>
      <c r="B126" s="246" t="s">
        <v>758</v>
      </c>
      <c r="C126" s="248" t="s">
        <v>759</v>
      </c>
      <c r="D126" s="251" t="s">
        <v>760</v>
      </c>
      <c r="E126" s="465"/>
      <c r="F126" s="466"/>
      <c r="G126" s="467"/>
      <c r="H126" s="468"/>
      <c r="I126" s="467"/>
      <c r="J126" s="468"/>
      <c r="K126" s="467"/>
      <c r="L126" s="468"/>
      <c r="M126" s="467"/>
      <c r="N126" s="470" t="s">
        <v>761</v>
      </c>
      <c r="O126" s="179"/>
      <c r="P126" s="179"/>
      <c r="Q126" s="179"/>
      <c r="R126" s="180"/>
      <c r="S126" s="695"/>
      <c r="T126" s="5"/>
      <c r="W126" s="3"/>
    </row>
    <row r="127" spans="1:23" s="4" customFormat="1" ht="15" hidden="1" x14ac:dyDescent="0.25">
      <c r="A127" s="5"/>
      <c r="B127" s="677" t="s">
        <v>767</v>
      </c>
      <c r="C127" s="689"/>
      <c r="D127" s="683"/>
      <c r="E127" s="690"/>
      <c r="F127" s="684"/>
      <c r="G127" s="685"/>
      <c r="H127" s="686"/>
      <c r="I127" s="686"/>
      <c r="J127" s="686"/>
      <c r="K127" s="686"/>
      <c r="L127" s="685"/>
      <c r="M127" s="687"/>
      <c r="N127" s="688"/>
      <c r="O127" s="179"/>
      <c r="P127" s="179"/>
      <c r="Q127" s="179"/>
      <c r="R127" s="180"/>
      <c r="S127" s="695"/>
      <c r="T127" s="5"/>
      <c r="W127" s="3"/>
    </row>
    <row r="128" spans="1:23" s="4" customFormat="1" ht="15" hidden="1" x14ac:dyDescent="0.25">
      <c r="A128" s="5"/>
      <c r="B128" s="715" t="s">
        <v>765</v>
      </c>
      <c r="C128" s="5"/>
      <c r="D128" s="177"/>
      <c r="E128" s="112"/>
      <c r="F128" s="178"/>
      <c r="G128" s="179"/>
      <c r="H128" s="5"/>
      <c r="I128" s="5"/>
      <c r="J128" s="180"/>
      <c r="K128" s="179"/>
      <c r="L128" s="179"/>
      <c r="M128" s="179"/>
      <c r="N128" s="179"/>
      <c r="O128" s="179"/>
      <c r="P128" s="179"/>
      <c r="Q128" s="179"/>
      <c r="R128" s="180"/>
      <c r="S128" s="695"/>
      <c r="T128" s="5"/>
      <c r="W128" s="3"/>
    </row>
    <row r="129" spans="1:23" s="4" customFormat="1" ht="15" hidden="1" x14ac:dyDescent="0.25">
      <c r="A129" s="5"/>
      <c r="B129" s="193"/>
      <c r="C129" s="5"/>
      <c r="D129" s="177"/>
      <c r="E129" s="112"/>
      <c r="F129" s="178"/>
      <c r="G129" s="179"/>
      <c r="H129" s="5"/>
      <c r="I129" s="5"/>
      <c r="J129" s="180"/>
      <c r="K129" s="179"/>
      <c r="L129" s="179"/>
      <c r="M129" s="179"/>
      <c r="N129" s="179"/>
      <c r="O129" s="179"/>
      <c r="P129" s="179"/>
      <c r="Q129" s="179"/>
      <c r="R129" s="180"/>
      <c r="S129" s="695"/>
      <c r="T129" s="5"/>
      <c r="W129" s="3"/>
    </row>
    <row r="130" spans="1:23" s="4" customFormat="1" ht="15" hidden="1" x14ac:dyDescent="0.25">
      <c r="A130" s="5"/>
      <c r="B130" s="469" t="s">
        <v>768</v>
      </c>
      <c r="C130" s="177"/>
      <c r="D130" s="177"/>
      <c r="E130" s="112"/>
      <c r="F130" s="178"/>
      <c r="G130" s="179"/>
      <c r="H130" s="5"/>
      <c r="I130" s="5"/>
      <c r="J130" s="180"/>
      <c r="K130" s="179"/>
      <c r="L130" s="179"/>
      <c r="M130" s="179"/>
      <c r="N130" s="179"/>
      <c r="O130" s="179"/>
      <c r="P130" s="179"/>
      <c r="Q130" s="179"/>
      <c r="R130" s="180"/>
      <c r="S130" s="695"/>
      <c r="T130" s="5"/>
      <c r="W130" s="3"/>
    </row>
    <row r="131" spans="1:23" s="4" customFormat="1" ht="15" hidden="1" x14ac:dyDescent="0.25">
      <c r="A131" s="5"/>
      <c r="B131" s="246" t="s">
        <v>758</v>
      </c>
      <c r="C131" s="248" t="s">
        <v>759</v>
      </c>
      <c r="D131" s="251" t="s">
        <v>760</v>
      </c>
      <c r="E131" s="465"/>
      <c r="F131" s="466"/>
      <c r="G131" s="467"/>
      <c r="H131" s="468"/>
      <c r="I131" s="467"/>
      <c r="J131" s="468"/>
      <c r="K131" s="467"/>
      <c r="L131" s="468"/>
      <c r="M131" s="467"/>
      <c r="N131" s="470" t="s">
        <v>761</v>
      </c>
      <c r="O131" s="179"/>
      <c r="P131" s="179"/>
      <c r="Q131" s="179"/>
      <c r="R131" s="180"/>
      <c r="S131" s="695"/>
      <c r="T131" s="5"/>
      <c r="W131" s="3"/>
    </row>
    <row r="132" spans="1:23" s="4" customFormat="1" ht="15" hidden="1" x14ac:dyDescent="0.25">
      <c r="A132" s="5"/>
      <c r="B132" s="677" t="s">
        <v>767</v>
      </c>
      <c r="C132" s="689"/>
      <c r="D132" s="683"/>
      <c r="E132" s="690"/>
      <c r="F132" s="684"/>
      <c r="G132" s="685"/>
      <c r="H132" s="686"/>
      <c r="I132" s="686"/>
      <c r="J132" s="686"/>
      <c r="K132" s="686"/>
      <c r="L132" s="685"/>
      <c r="M132" s="687"/>
      <c r="N132" s="688"/>
      <c r="O132" s="179"/>
      <c r="P132" s="179"/>
      <c r="Q132" s="179"/>
      <c r="R132" s="180"/>
      <c r="S132" s="695"/>
      <c r="T132" s="5"/>
      <c r="W132" s="3"/>
    </row>
    <row r="133" spans="1:23" s="4" customFormat="1" ht="15" hidden="1" x14ac:dyDescent="0.25">
      <c r="A133" s="5"/>
      <c r="B133" s="715" t="s">
        <v>765</v>
      </c>
      <c r="C133" s="5"/>
      <c r="D133" s="177"/>
      <c r="E133" s="112"/>
      <c r="F133" s="178"/>
      <c r="G133" s="179"/>
      <c r="H133" s="5"/>
      <c r="I133" s="5"/>
      <c r="J133" s="180"/>
      <c r="K133" s="179"/>
      <c r="L133" s="179"/>
      <c r="M133" s="179"/>
      <c r="N133" s="179"/>
      <c r="O133" s="179"/>
      <c r="P133" s="179"/>
      <c r="Q133" s="179"/>
      <c r="R133" s="180"/>
      <c r="S133" s="695"/>
      <c r="T133" s="5"/>
      <c r="W133" s="3"/>
    </row>
    <row r="134" spans="1:23" s="4" customFormat="1" ht="15" x14ac:dyDescent="0.25">
      <c r="A134" s="5"/>
      <c r="B134" s="193"/>
      <c r="C134" s="5"/>
      <c r="D134" s="177"/>
      <c r="E134" s="112"/>
      <c r="F134" s="178"/>
      <c r="G134" s="179"/>
      <c r="H134" s="5"/>
      <c r="I134" s="5"/>
      <c r="J134" s="180"/>
      <c r="K134" s="179"/>
      <c r="L134" s="179"/>
      <c r="M134" s="179"/>
      <c r="N134" s="179"/>
      <c r="O134" s="179"/>
      <c r="P134" s="179"/>
      <c r="Q134" s="179"/>
      <c r="R134" s="180"/>
      <c r="S134" s="695"/>
      <c r="T134" s="5"/>
      <c r="W134" s="3"/>
    </row>
    <row r="135" spans="1:23" s="4" customFormat="1" ht="15" hidden="1" x14ac:dyDescent="0.25">
      <c r="A135" s="5"/>
      <c r="B135" s="243" t="s">
        <v>769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79"/>
      <c r="R135" s="5"/>
      <c r="S135" s="695"/>
      <c r="T135" s="5"/>
      <c r="W135" s="3"/>
    </row>
    <row r="136" spans="1:23" s="4" customFormat="1" ht="15" hidden="1" x14ac:dyDescent="0.25">
      <c r="A136" s="5"/>
      <c r="B136" t="s">
        <v>774</v>
      </c>
      <c r="C136" s="5"/>
      <c r="D136" s="5"/>
      <c r="E136" s="5"/>
      <c r="F136" s="5"/>
      <c r="G136" s="472"/>
      <c r="H136" s="468"/>
      <c r="I136" s="475" t="s">
        <v>42</v>
      </c>
      <c r="J136" s="473"/>
      <c r="K136" s="179"/>
      <c r="L136" s="472"/>
      <c r="M136" s="468"/>
      <c r="N136" s="476" t="s">
        <v>47</v>
      </c>
      <c r="O136" s="473"/>
      <c r="P136" s="720"/>
      <c r="Q136" s="179"/>
      <c r="R136" s="5"/>
      <c r="S136" s="695"/>
      <c r="T136" s="5"/>
      <c r="W136" s="3"/>
    </row>
    <row r="137" spans="1:23" s="4" customFormat="1" ht="60" hidden="1" x14ac:dyDescent="0.25">
      <c r="A137" s="5"/>
      <c r="B137" s="249" t="s">
        <v>770</v>
      </c>
      <c r="C137" s="249" t="s">
        <v>675</v>
      </c>
      <c r="D137" s="249" t="s">
        <v>676</v>
      </c>
      <c r="E137" s="249" t="s">
        <v>677</v>
      </c>
      <c r="F137" s="5"/>
      <c r="G137" s="249" t="s">
        <v>771</v>
      </c>
      <c r="H137" s="249" t="s">
        <v>675</v>
      </c>
      <c r="I137" s="249" t="s">
        <v>676</v>
      </c>
      <c r="J137" s="249" t="s">
        <v>677</v>
      </c>
      <c r="K137" s="179"/>
      <c r="L137" s="249" t="s">
        <v>772</v>
      </c>
      <c r="M137" s="249" t="s">
        <v>675</v>
      </c>
      <c r="N137" s="249" t="s">
        <v>676</v>
      </c>
      <c r="O137" s="249" t="s">
        <v>677</v>
      </c>
      <c r="P137" s="721"/>
      <c r="Q137" s="179"/>
      <c r="R137" s="5"/>
      <c r="S137" s="695"/>
      <c r="T137" s="5"/>
      <c r="W137" s="3"/>
    </row>
    <row r="138" spans="1:23" s="4" customFormat="1" ht="15" hidden="1" x14ac:dyDescent="0.25">
      <c r="A138" s="5"/>
      <c r="B138" s="691"/>
      <c r="C138" s="692"/>
      <c r="D138" s="692"/>
      <c r="E138" s="692"/>
      <c r="F138" s="5"/>
      <c r="G138" s="471"/>
      <c r="H138" s="693">
        <f t="shared" ref="H138:I144" si="28">C138*$G138</f>
        <v>0</v>
      </c>
      <c r="I138" s="693">
        <f t="shared" si="28"/>
        <v>0</v>
      </c>
      <c r="J138" s="688">
        <f t="shared" ref="J138:J144" si="29">E138*$G138</f>
        <v>0</v>
      </c>
      <c r="K138" s="179"/>
      <c r="L138" s="694"/>
      <c r="M138" s="693">
        <f t="shared" ref="M138:O144" si="30">C138*$L138</f>
        <v>0</v>
      </c>
      <c r="N138" s="693">
        <f t="shared" si="30"/>
        <v>0</v>
      </c>
      <c r="O138" s="688">
        <f t="shared" si="30"/>
        <v>0</v>
      </c>
      <c r="P138" s="721"/>
      <c r="Q138" s="179"/>
      <c r="R138" s="5"/>
      <c r="S138" s="695"/>
      <c r="T138" s="5"/>
      <c r="W138" s="3"/>
    </row>
    <row r="139" spans="1:23" s="4" customFormat="1" ht="15" hidden="1" x14ac:dyDescent="0.25">
      <c r="A139" s="5"/>
      <c r="B139" s="691"/>
      <c r="C139" s="692"/>
      <c r="D139" s="692"/>
      <c r="E139" s="692"/>
      <c r="F139" s="5"/>
      <c r="G139" s="471"/>
      <c r="H139" s="693">
        <f t="shared" si="28"/>
        <v>0</v>
      </c>
      <c r="I139" s="693">
        <f t="shared" si="28"/>
        <v>0</v>
      </c>
      <c r="J139" s="688">
        <f t="shared" si="29"/>
        <v>0</v>
      </c>
      <c r="K139" s="179"/>
      <c r="L139" s="694"/>
      <c r="M139" s="693">
        <f t="shared" si="30"/>
        <v>0</v>
      </c>
      <c r="N139" s="693">
        <f t="shared" si="30"/>
        <v>0</v>
      </c>
      <c r="O139" s="688">
        <f t="shared" si="30"/>
        <v>0</v>
      </c>
      <c r="P139" s="721"/>
      <c r="Q139" s="179"/>
      <c r="R139" s="5"/>
      <c r="S139" s="695"/>
      <c r="T139" s="5"/>
      <c r="W139" s="3"/>
    </row>
    <row r="140" spans="1:23" s="4" customFormat="1" ht="15" hidden="1" x14ac:dyDescent="0.25">
      <c r="A140" s="5"/>
      <c r="B140" s="691"/>
      <c r="C140" s="692"/>
      <c r="D140" s="692"/>
      <c r="E140" s="692"/>
      <c r="F140" s="5"/>
      <c r="G140" s="471"/>
      <c r="H140" s="693">
        <f t="shared" si="28"/>
        <v>0</v>
      </c>
      <c r="I140" s="693">
        <f t="shared" si="28"/>
        <v>0</v>
      </c>
      <c r="J140" s="688">
        <f t="shared" si="29"/>
        <v>0</v>
      </c>
      <c r="K140" s="179"/>
      <c r="L140" s="694"/>
      <c r="M140" s="693">
        <f t="shared" si="30"/>
        <v>0</v>
      </c>
      <c r="N140" s="693">
        <f t="shared" si="30"/>
        <v>0</v>
      </c>
      <c r="O140" s="688">
        <f t="shared" si="30"/>
        <v>0</v>
      </c>
      <c r="P140" s="721"/>
      <c r="Q140" s="179"/>
      <c r="R140" s="5"/>
      <c r="S140" s="695"/>
      <c r="T140" s="5"/>
      <c r="W140" s="3"/>
    </row>
    <row r="141" spans="1:23" s="4" customFormat="1" ht="15" hidden="1" x14ac:dyDescent="0.25">
      <c r="A141" s="5"/>
      <c r="B141" s="691"/>
      <c r="C141" s="692"/>
      <c r="D141" s="692"/>
      <c r="E141" s="692"/>
      <c r="F141" s="5"/>
      <c r="G141" s="471"/>
      <c r="H141" s="693">
        <f t="shared" si="28"/>
        <v>0</v>
      </c>
      <c r="I141" s="693">
        <f t="shared" si="28"/>
        <v>0</v>
      </c>
      <c r="J141" s="688">
        <f t="shared" si="29"/>
        <v>0</v>
      </c>
      <c r="K141" s="179"/>
      <c r="L141" s="694"/>
      <c r="M141" s="693">
        <f t="shared" si="30"/>
        <v>0</v>
      </c>
      <c r="N141" s="693">
        <f t="shared" si="30"/>
        <v>0</v>
      </c>
      <c r="O141" s="688">
        <f t="shared" si="30"/>
        <v>0</v>
      </c>
      <c r="P141" s="721"/>
      <c r="Q141" s="179"/>
      <c r="R141" s="5"/>
      <c r="S141" s="695"/>
      <c r="T141" s="5"/>
      <c r="W141" s="3"/>
    </row>
    <row r="142" spans="1:23" s="4" customFormat="1" ht="15" hidden="1" x14ac:dyDescent="0.25">
      <c r="A142" s="5"/>
      <c r="B142" s="691"/>
      <c r="C142" s="692"/>
      <c r="D142" s="692"/>
      <c r="E142" s="692"/>
      <c r="F142" s="5"/>
      <c r="G142" s="471"/>
      <c r="H142" s="693">
        <f t="shared" si="28"/>
        <v>0</v>
      </c>
      <c r="I142" s="693">
        <f t="shared" si="28"/>
        <v>0</v>
      </c>
      <c r="J142" s="688">
        <f t="shared" si="29"/>
        <v>0</v>
      </c>
      <c r="K142" s="179"/>
      <c r="L142" s="694"/>
      <c r="M142" s="693">
        <f t="shared" si="30"/>
        <v>0</v>
      </c>
      <c r="N142" s="693">
        <f t="shared" si="30"/>
        <v>0</v>
      </c>
      <c r="O142" s="688">
        <f t="shared" si="30"/>
        <v>0</v>
      </c>
      <c r="P142" s="721"/>
      <c r="Q142" s="179"/>
      <c r="R142" s="5"/>
      <c r="S142" s="695"/>
      <c r="T142" s="5"/>
      <c r="W142" s="3"/>
    </row>
    <row r="143" spans="1:23" s="4" customFormat="1" ht="15" hidden="1" x14ac:dyDescent="0.25">
      <c r="A143" s="5"/>
      <c r="B143" s="691"/>
      <c r="C143" s="692"/>
      <c r="D143" s="692"/>
      <c r="E143" s="692"/>
      <c r="F143" s="5"/>
      <c r="G143" s="471"/>
      <c r="H143" s="693">
        <f t="shared" si="28"/>
        <v>0</v>
      </c>
      <c r="I143" s="693">
        <f t="shared" si="28"/>
        <v>0</v>
      </c>
      <c r="J143" s="688">
        <f t="shared" si="29"/>
        <v>0</v>
      </c>
      <c r="K143" s="179"/>
      <c r="L143" s="694"/>
      <c r="M143" s="693">
        <f t="shared" si="30"/>
        <v>0</v>
      </c>
      <c r="N143" s="693">
        <f t="shared" si="30"/>
        <v>0</v>
      </c>
      <c r="O143" s="688">
        <f t="shared" si="30"/>
        <v>0</v>
      </c>
      <c r="P143" s="721"/>
      <c r="Q143" s="179"/>
      <c r="R143" s="5"/>
      <c r="S143" s="695"/>
      <c r="T143" s="5"/>
      <c r="W143" s="3"/>
    </row>
    <row r="144" spans="1:23" s="4" customFormat="1" ht="15" hidden="1" x14ac:dyDescent="0.25">
      <c r="A144" s="5"/>
      <c r="B144" s="691"/>
      <c r="C144" s="692"/>
      <c r="D144" s="692"/>
      <c r="E144" s="692"/>
      <c r="F144" s="5"/>
      <c r="G144" s="471"/>
      <c r="H144" s="693">
        <f t="shared" si="28"/>
        <v>0</v>
      </c>
      <c r="I144" s="693">
        <f t="shared" si="28"/>
        <v>0</v>
      </c>
      <c r="J144" s="688">
        <f t="shared" si="29"/>
        <v>0</v>
      </c>
      <c r="K144" s="179"/>
      <c r="L144" s="694"/>
      <c r="M144" s="693">
        <f t="shared" si="30"/>
        <v>0</v>
      </c>
      <c r="N144" s="693">
        <f t="shared" si="30"/>
        <v>0</v>
      </c>
      <c r="O144" s="688">
        <f t="shared" si="30"/>
        <v>0</v>
      </c>
      <c r="P144" s="708"/>
      <c r="Q144" s="179"/>
      <c r="R144" s="5"/>
      <c r="S144" s="695"/>
      <c r="T144" s="5"/>
      <c r="W144" s="3"/>
    </row>
    <row r="145" spans="1:23" s="4" customFormat="1" ht="15" hidden="1" x14ac:dyDescent="0.25">
      <c r="A145" s="5"/>
      <c r="B145" s="5"/>
      <c r="C145" s="361">
        <f t="shared" ref="C145:E145" si="31">SUM(C138:C144)</f>
        <v>0</v>
      </c>
      <c r="D145" s="361">
        <f t="shared" si="31"/>
        <v>0</v>
      </c>
      <c r="E145" s="361">
        <f t="shared" si="31"/>
        <v>0</v>
      </c>
      <c r="F145" s="5"/>
      <c r="G145" s="474"/>
      <c r="H145" s="451">
        <f>SUM(H138:H144)</f>
        <v>0</v>
      </c>
      <c r="I145" s="451">
        <f>SUM(I138:I144)</f>
        <v>0</v>
      </c>
      <c r="J145" s="452">
        <f>SUM(J138:J144)</f>
        <v>0</v>
      </c>
      <c r="K145" s="179"/>
      <c r="L145" s="5"/>
      <c r="M145" s="451">
        <f>SUM(M138:M144)</f>
        <v>0</v>
      </c>
      <c r="N145" s="451">
        <f>SUM(N138:N144)</f>
        <v>0</v>
      </c>
      <c r="O145" s="452">
        <f>SUM(O138:O144)</f>
        <v>0</v>
      </c>
      <c r="P145" s="5"/>
      <c r="Q145" s="5"/>
      <c r="R145" s="5"/>
      <c r="S145" s="695"/>
      <c r="T145" s="5"/>
      <c r="W145" s="3"/>
    </row>
    <row r="146" spans="1:23" s="4" customFormat="1" ht="15" hidden="1" x14ac:dyDescent="0.25">
      <c r="A146" s="5"/>
      <c r="B146" s="722" t="s">
        <v>773</v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695"/>
      <c r="T146" s="5"/>
      <c r="W146" s="3"/>
    </row>
    <row r="147" spans="1:23" s="4" customFormat="1" ht="15" hidden="1" x14ac:dyDescent="0.25">
      <c r="A147" s="5"/>
      <c r="B147" t="s">
        <v>775</v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W147" s="3"/>
    </row>
    <row r="148" spans="1:23" hidden="1" x14ac:dyDescent="0.2">
      <c r="A148" s="192"/>
      <c r="B148" s="192"/>
      <c r="C148" s="339"/>
      <c r="D148" s="339"/>
      <c r="E148" s="339"/>
      <c r="F148" s="339"/>
      <c r="G148" s="339"/>
      <c r="H148" s="339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</row>
  </sheetData>
  <sheetProtection algorithmName="SHA-512" hashValue="HpYbip6Sc5D99y2AL74cdn81cRTgaOODArCTTN0qra2jkw20CpUKZXZ7vusDjWbxN/1JvrebaOMf71Pp3xZdew==" saltValue="fNCaNicoNAr0O2CnNz37qw==" spinCount="100000" sheet="1" objects="1" scenarios="1"/>
  <protectedRanges>
    <protectedRange sqref="B138:E144 G138:G144 L138:L144" name="Range1"/>
    <protectedRange sqref="B91:E91 G91 B85:B86 G81:G83 B81:E83" name="Range1_3"/>
  </protectedRanges>
  <mergeCells count="8">
    <mergeCell ref="C107:G112"/>
    <mergeCell ref="C37:G37"/>
    <mergeCell ref="C60:G60"/>
    <mergeCell ref="C83:G83"/>
    <mergeCell ref="C106:G106"/>
    <mergeCell ref="C38:G43"/>
    <mergeCell ref="C61:G66"/>
    <mergeCell ref="C84:G89"/>
  </mergeCells>
  <phoneticPr fontId="43" type="noConversion"/>
  <hyperlinks>
    <hyperlink ref="B123" r:id="rId1" location="National-Tariff-Payment-System" xr:uid="{F3BC5873-6E66-475B-821A-EF39B8D5033A}"/>
    <hyperlink ref="B128" r:id="rId2" location="National-Tariff-Payment-System" xr:uid="{9885F19C-CDD8-4680-A296-B6B7F5893CA7}"/>
    <hyperlink ref="B133" r:id="rId3" location="National-Tariff-Payment-System" xr:uid="{AB2CBFFE-3AD6-4F6E-9946-DBE217E0603D}"/>
    <hyperlink ref="B13" r:id="rId4" location="drug-action" display="https://bnf.nice.org.uk/drugs/fenofibrate/ - drug-action" xr:uid="{5B0BAD4D-684F-4F0C-A151-7CA383950007}"/>
    <hyperlink ref="B24" r:id="rId5" xr:uid="{AC13FF6B-4133-4031-A7D4-C1F0EB21F032}"/>
  </hyperlinks>
  <pageMargins left="0.70866141732283472" right="0.70866141732283472" top="0.74803149606299213" bottom="0.74803149606299213" header="0.31496062992125984" footer="0.31496062992125984"/>
  <pageSetup paperSize="9" scale="25" orientation="portrait" r:id="rId6"/>
  <ignoredErrors>
    <ignoredError sqref="H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82"/>
  <sheetViews>
    <sheetView showGridLines="0" zoomScale="80" zoomScaleNormal="80" zoomScaleSheetLayoutView="80" workbookViewId="0">
      <selection activeCell="D30" sqref="D30"/>
    </sheetView>
  </sheetViews>
  <sheetFormatPr defaultColWidth="8.85546875" defaultRowHeight="15" x14ac:dyDescent="0.25"/>
  <cols>
    <col min="1" max="1" width="3.5703125" customWidth="1"/>
    <col min="2" max="2" width="53.85546875" style="1" customWidth="1"/>
    <col min="3" max="3" width="11.570312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576" t="str">
        <f>'Inputs and eligible population'!B1</f>
        <v>Diabetic retinopathy: management and monitoring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25">
      <c r="B2" s="386" t="s">
        <v>8</v>
      </c>
      <c r="C2" s="141"/>
      <c r="E2" s="127" t="s">
        <v>734</v>
      </c>
      <c r="F2" s="127" t="s">
        <v>734</v>
      </c>
      <c r="G2" s="127" t="s">
        <v>734</v>
      </c>
      <c r="H2" s="127" t="s">
        <v>734</v>
      </c>
      <c r="I2" s="127" t="s">
        <v>734</v>
      </c>
      <c r="J2" s="141"/>
    </row>
    <row r="3" spans="2:10" x14ac:dyDescent="0.25">
      <c r="B3" s="130" t="s">
        <v>734</v>
      </c>
      <c r="C3" s="130"/>
      <c r="D3" s="133" t="s">
        <v>734</v>
      </c>
      <c r="E3" s="133" t="s">
        <v>734</v>
      </c>
      <c r="F3" s="133" t="s">
        <v>734</v>
      </c>
      <c r="G3" s="133" t="s">
        <v>734</v>
      </c>
      <c r="H3" s="133" t="s">
        <v>734</v>
      </c>
      <c r="I3" s="133" t="s">
        <v>734</v>
      </c>
      <c r="J3" s="141"/>
    </row>
    <row r="4" spans="2:10" ht="45" x14ac:dyDescent="0.25">
      <c r="B4" s="258" t="s">
        <v>1068</v>
      </c>
      <c r="C4" s="238" t="s">
        <v>776</v>
      </c>
      <c r="D4" s="268" t="s">
        <v>666</v>
      </c>
      <c r="E4" s="268" t="s">
        <v>667</v>
      </c>
      <c r="F4" s="269" t="s">
        <v>777</v>
      </c>
      <c r="G4" s="269" t="s">
        <v>778</v>
      </c>
      <c r="H4" s="268" t="s">
        <v>779</v>
      </c>
      <c r="J4" s="141"/>
    </row>
    <row r="5" spans="2:10" s="148" customFormat="1" x14ac:dyDescent="0.25">
      <c r="B5" s="167" t="s">
        <v>780</v>
      </c>
      <c r="C5" s="128">
        <f>'Inputs and eligible population'!F50</f>
        <v>1033561.4780304381</v>
      </c>
      <c r="D5" s="128">
        <f>'Inputs and eligible population'!G50</f>
        <v>1056049.2013493862</v>
      </c>
      <c r="E5" s="128">
        <f>'Inputs and eligible population'!H50</f>
        <v>1079026.2015142876</v>
      </c>
      <c r="F5" s="128">
        <f>'Inputs and eligible population'!I50</f>
        <v>1102503.1239705968</v>
      </c>
      <c r="G5" s="128">
        <f>'Inputs and eligible population'!J50</f>
        <v>1126490.8457821449</v>
      </c>
      <c r="H5" s="128">
        <f>'Inputs and eligible population'!K50</f>
        <v>1151000.4806705792</v>
      </c>
      <c r="I5"/>
      <c r="J5" s="141"/>
    </row>
    <row r="6" spans="2:10" ht="33" customHeight="1" x14ac:dyDescent="0.25">
      <c r="B6" s="167" t="s">
        <v>1175</v>
      </c>
      <c r="C6" s="128">
        <f>'Financial impact (cash)'!D15</f>
        <v>0</v>
      </c>
      <c r="D6" s="128">
        <f>'Financial impact (cash)'!E15</f>
        <v>0</v>
      </c>
      <c r="E6" s="128">
        <f>'Financial impact (cash)'!F15</f>
        <v>0</v>
      </c>
      <c r="F6" s="128">
        <f>'Financial impact (cash)'!G15</f>
        <v>0</v>
      </c>
      <c r="G6" s="128">
        <f>'Financial impact (cash)'!H15</f>
        <v>0</v>
      </c>
      <c r="H6" s="128">
        <f>'Financial impact (cash)'!I15</f>
        <v>0</v>
      </c>
      <c r="J6" s="133"/>
    </row>
    <row r="7" spans="2:10" ht="14.45" customHeight="1" x14ac:dyDescent="0.25">
      <c r="B7" s="244"/>
      <c r="C7" s="244"/>
      <c r="D7" s="133"/>
      <c r="E7" s="133"/>
      <c r="F7" s="133"/>
      <c r="G7" s="133"/>
      <c r="H7" s="133"/>
      <c r="J7" s="133"/>
    </row>
    <row r="8" spans="2:10" ht="44.45" customHeight="1" x14ac:dyDescent="0.25">
      <c r="B8" s="258" t="s">
        <v>1155</v>
      </c>
      <c r="C8" s="238" t="s">
        <v>776</v>
      </c>
      <c r="D8" s="268" t="s">
        <v>666</v>
      </c>
      <c r="E8" s="268" t="s">
        <v>667</v>
      </c>
      <c r="F8" s="269" t="s">
        <v>777</v>
      </c>
      <c r="G8" s="269" t="s">
        <v>778</v>
      </c>
      <c r="H8" s="268" t="s">
        <v>779</v>
      </c>
      <c r="J8" s="133"/>
    </row>
    <row r="9" spans="2:10" ht="14.45" customHeight="1" x14ac:dyDescent="0.25">
      <c r="B9" s="167" t="s">
        <v>780</v>
      </c>
      <c r="C9" s="128">
        <f>'Inputs and eligible population'!F51</f>
        <v>132540.29962918357</v>
      </c>
      <c r="D9" s="128">
        <f>'Inputs and eligible population'!G51</f>
        <v>135424.04641157264</v>
      </c>
      <c r="E9" s="128">
        <f>'Inputs and eligible population'!H51</f>
        <v>138370.5363409759</v>
      </c>
      <c r="F9" s="128">
        <f>'Inputs and eligible population'!I51</f>
        <v>141381.13455198886</v>
      </c>
      <c r="G9" s="128">
        <f>'Inputs and eligible population'!J51</f>
        <v>144457.23588113539</v>
      </c>
      <c r="H9" s="128">
        <f>'Inputs and eligible population'!K51</f>
        <v>147600.26551310791</v>
      </c>
      <c r="J9" s="133"/>
    </row>
    <row r="10" spans="2:10" ht="14.45" customHeight="1" x14ac:dyDescent="0.25">
      <c r="B10" s="167" t="s">
        <v>1176</v>
      </c>
      <c r="C10" s="128">
        <f>'Financial impact (cash)'!D26</f>
        <v>0</v>
      </c>
      <c r="D10" s="128">
        <f>'Financial impact (cash)'!E26</f>
        <v>0</v>
      </c>
      <c r="E10" s="128">
        <f>'Financial impact (cash)'!F26</f>
        <v>0</v>
      </c>
      <c r="F10" s="128">
        <f>'Financial impact (cash)'!G26</f>
        <v>0</v>
      </c>
      <c r="G10" s="128">
        <f>'Financial impact (cash)'!H26</f>
        <v>0</v>
      </c>
      <c r="H10" s="128">
        <f>'Financial impact (cash)'!I26</f>
        <v>0</v>
      </c>
      <c r="J10" s="133"/>
    </row>
    <row r="11" spans="2:10" ht="14.45" customHeight="1" x14ac:dyDescent="0.25">
      <c r="B11" s="167" t="s">
        <v>1177</v>
      </c>
      <c r="C11" s="128">
        <f>'Financial impact (cash)'!D27</f>
        <v>0</v>
      </c>
      <c r="D11" s="128">
        <f>'Financial impact (cash)'!E27</f>
        <v>0</v>
      </c>
      <c r="E11" s="128">
        <f>'Financial impact (cash)'!F27</f>
        <v>0</v>
      </c>
      <c r="F11" s="128">
        <f>'Financial impact (cash)'!G27</f>
        <v>0</v>
      </c>
      <c r="G11" s="128">
        <f>'Financial impact (cash)'!H27</f>
        <v>0</v>
      </c>
      <c r="H11" s="128">
        <f>'Financial impact (cash)'!I27</f>
        <v>0</v>
      </c>
      <c r="J11" s="133"/>
    </row>
    <row r="12" spans="2:10" ht="14.45" customHeight="1" x14ac:dyDescent="0.25">
      <c r="B12" s="244"/>
      <c r="C12" s="244"/>
      <c r="D12" s="133"/>
      <c r="E12" s="133"/>
      <c r="F12" s="133"/>
      <c r="G12" s="133"/>
      <c r="H12" s="133"/>
      <c r="J12" s="133"/>
    </row>
    <row r="13" spans="2:10" ht="14.45" customHeight="1" x14ac:dyDescent="0.25">
      <c r="B13" s="258" t="s">
        <v>1164</v>
      </c>
      <c r="C13" s="238" t="s">
        <v>776</v>
      </c>
      <c r="D13" s="268" t="s">
        <v>666</v>
      </c>
      <c r="E13" s="268" t="s">
        <v>667</v>
      </c>
      <c r="F13" s="269" t="s">
        <v>777</v>
      </c>
      <c r="G13" s="269" t="s">
        <v>778</v>
      </c>
      <c r="H13" s="268" t="s">
        <v>779</v>
      </c>
      <c r="J13" s="133"/>
    </row>
    <row r="14" spans="2:10" ht="14.45" customHeight="1" x14ac:dyDescent="0.25">
      <c r="B14" s="167" t="s">
        <v>780</v>
      </c>
      <c r="C14" s="128">
        <f>'Inputs and eligible population'!F52</f>
        <v>75002.216613690936</v>
      </c>
      <c r="D14" s="128">
        <f>'Inputs and eligible population'!G52</f>
        <v>76634.078028195814</v>
      </c>
      <c r="E14" s="128">
        <f>'Inputs and eligible population'!H52</f>
        <v>78301.444682364003</v>
      </c>
      <c r="F14" s="128">
        <f>'Inputs and eligible population'!I52</f>
        <v>80005.089081772516</v>
      </c>
      <c r="G14" s="128">
        <f>'Inputs and eligible population'!J52</f>
        <v>81745.80053979544</v>
      </c>
      <c r="H14" s="128">
        <f>'Inputs and eligible population'!K52</f>
        <v>83524.385543299883</v>
      </c>
      <c r="J14" s="133"/>
    </row>
    <row r="15" spans="2:10" ht="14.45" customHeight="1" x14ac:dyDescent="0.25">
      <c r="B15" s="167" t="s">
        <v>1176</v>
      </c>
      <c r="C15" s="128">
        <f>'Financial impact (cash)'!D39</f>
        <v>0</v>
      </c>
      <c r="D15" s="128">
        <f>'Financial impact (cash)'!E39</f>
        <v>0</v>
      </c>
      <c r="E15" s="128">
        <f>'Financial impact (cash)'!F39</f>
        <v>0</v>
      </c>
      <c r="F15" s="128">
        <f>'Financial impact (cash)'!G39</f>
        <v>0</v>
      </c>
      <c r="G15" s="128">
        <f>'Financial impact (cash)'!H39</f>
        <v>0</v>
      </c>
      <c r="H15" s="128">
        <f>'Financial impact (cash)'!I39</f>
        <v>0</v>
      </c>
      <c r="J15" s="133"/>
    </row>
    <row r="16" spans="2:10" ht="14.45" customHeight="1" x14ac:dyDescent="0.25">
      <c r="B16" s="167" t="s">
        <v>1177</v>
      </c>
      <c r="C16" s="128">
        <f>'Financial impact (cash)'!D40</f>
        <v>0</v>
      </c>
      <c r="D16" s="128">
        <f>'Financial impact (cash)'!E40</f>
        <v>0</v>
      </c>
      <c r="E16" s="128">
        <f>'Financial impact (cash)'!F40</f>
        <v>0</v>
      </c>
      <c r="F16" s="128">
        <f>'Financial impact (cash)'!G40</f>
        <v>0</v>
      </c>
      <c r="G16" s="128">
        <f>'Financial impact (cash)'!H40</f>
        <v>0</v>
      </c>
      <c r="H16" s="128">
        <f>'Financial impact (cash)'!I40</f>
        <v>0</v>
      </c>
      <c r="J16" s="133"/>
    </row>
    <row r="17" spans="1:10" ht="14.45" customHeight="1" x14ac:dyDescent="0.25">
      <c r="B17" s="167" t="s">
        <v>1178</v>
      </c>
      <c r="C17" s="128">
        <f>'Financial impact (cash)'!D41</f>
        <v>0</v>
      </c>
      <c r="D17" s="128">
        <f>'Financial impact (cash)'!E41</f>
        <v>0</v>
      </c>
      <c r="E17" s="128">
        <f>'Financial impact (cash)'!F41</f>
        <v>0</v>
      </c>
      <c r="F17" s="128">
        <f>'Financial impact (cash)'!G41</f>
        <v>0</v>
      </c>
      <c r="G17" s="128">
        <f>'Financial impact (cash)'!H41</f>
        <v>0</v>
      </c>
      <c r="H17" s="128">
        <f>'Financial impact (cash)'!I41</f>
        <v>0</v>
      </c>
      <c r="J17" s="133"/>
    </row>
    <row r="18" spans="1:10" ht="14.45" customHeight="1" x14ac:dyDescent="0.25">
      <c r="B18" s="167" t="s">
        <v>1179</v>
      </c>
      <c r="C18" s="128">
        <f>'Financial impact (cash)'!D42</f>
        <v>0</v>
      </c>
      <c r="D18" s="128">
        <f>'Financial impact (cash)'!E42</f>
        <v>0</v>
      </c>
      <c r="E18" s="128">
        <f>'Financial impact (cash)'!F42</f>
        <v>0</v>
      </c>
      <c r="F18" s="128">
        <f>'Financial impact (cash)'!G42</f>
        <v>0</v>
      </c>
      <c r="G18" s="128">
        <f>'Financial impact (cash)'!H42</f>
        <v>0</v>
      </c>
      <c r="H18" s="128">
        <f>'Financial impact (cash)'!I42</f>
        <v>0</v>
      </c>
      <c r="J18" s="133"/>
    </row>
    <row r="19" spans="1:10" ht="14.45" customHeight="1" x14ac:dyDescent="0.25">
      <c r="B19" s="167" t="s">
        <v>1180</v>
      </c>
      <c r="C19" s="128">
        <f>'Financial impact (cash)'!D43</f>
        <v>0</v>
      </c>
      <c r="D19" s="128">
        <f>'Financial impact (cash)'!E43</f>
        <v>0</v>
      </c>
      <c r="E19" s="128">
        <f>'Financial impact (cash)'!F43</f>
        <v>0</v>
      </c>
      <c r="F19" s="128">
        <f>'Financial impact (cash)'!G43</f>
        <v>0</v>
      </c>
      <c r="G19" s="128">
        <f>'Financial impact (cash)'!H43</f>
        <v>0</v>
      </c>
      <c r="H19" s="128">
        <f>'Financial impact (cash)'!I43</f>
        <v>0</v>
      </c>
      <c r="J19" s="133"/>
    </row>
    <row r="20" spans="1:10" ht="14.45" customHeight="1" x14ac:dyDescent="0.25">
      <c r="B20" s="167" t="s">
        <v>1181</v>
      </c>
      <c r="C20" s="128">
        <f>'Financial impact (cash)'!D44</f>
        <v>0</v>
      </c>
      <c r="D20" s="128">
        <f>'Financial impact (cash)'!E44</f>
        <v>0</v>
      </c>
      <c r="E20" s="128">
        <f>'Financial impact (cash)'!F44</f>
        <v>0</v>
      </c>
      <c r="F20" s="128">
        <f>'Financial impact (cash)'!G44</f>
        <v>0</v>
      </c>
      <c r="G20" s="128">
        <f>'Financial impact (cash)'!H44</f>
        <v>0</v>
      </c>
      <c r="H20" s="128">
        <f>'Financial impact (cash)'!I44</f>
        <v>0</v>
      </c>
      <c r="J20" s="133"/>
    </row>
    <row r="21" spans="1:10" ht="15.75" thickBot="1" x14ac:dyDescent="0.3">
      <c r="B21" s="528"/>
      <c r="C21" s="528"/>
      <c r="D21" s="529"/>
      <c r="E21" s="529"/>
      <c r="F21" s="529"/>
      <c r="G21" s="529"/>
      <c r="H21" s="529"/>
      <c r="I21" s="530"/>
      <c r="J21" s="133"/>
    </row>
    <row r="22" spans="1:10" x14ac:dyDescent="0.25">
      <c r="B22" s="265"/>
      <c r="C22" s="265"/>
      <c r="D22" s="340"/>
      <c r="E22" s="340"/>
      <c r="F22" s="340"/>
      <c r="G22" s="340"/>
      <c r="H22" s="340"/>
      <c r="I22" s="133"/>
      <c r="J22" s="133"/>
    </row>
    <row r="23" spans="1:10" ht="45" x14ac:dyDescent="0.25">
      <c r="B23" s="260" t="s">
        <v>1174</v>
      </c>
      <c r="C23" s="238" t="s">
        <v>776</v>
      </c>
      <c r="D23" s="268" t="s">
        <v>666</v>
      </c>
      <c r="E23" s="268" t="s">
        <v>667</v>
      </c>
      <c r="F23" s="269" t="s">
        <v>777</v>
      </c>
      <c r="G23" s="269" t="s">
        <v>778</v>
      </c>
      <c r="H23" s="268" t="s">
        <v>779</v>
      </c>
      <c r="I23" s="133"/>
      <c r="J23" s="133"/>
    </row>
    <row r="24" spans="1:10" x14ac:dyDescent="0.25">
      <c r="B24" s="291" t="s">
        <v>781</v>
      </c>
      <c r="C24" s="723" t="s">
        <v>782</v>
      </c>
      <c r="D24" s="723" t="s">
        <v>782</v>
      </c>
      <c r="E24" s="723" t="s">
        <v>782</v>
      </c>
      <c r="F24" s="723" t="s">
        <v>782</v>
      </c>
      <c r="G24" s="723" t="s">
        <v>782</v>
      </c>
      <c r="H24" s="723" t="s">
        <v>782</v>
      </c>
      <c r="I24" s="133"/>
      <c r="J24" s="133"/>
    </row>
    <row r="25" spans="1:10" x14ac:dyDescent="0.25">
      <c r="B25" s="264" t="s">
        <v>783</v>
      </c>
      <c r="C25" s="253">
        <f>'Financial impact (cash)'!D20+'Financial impact (cash)'!D33+'Financial impact (cash)'!D54</f>
        <v>0</v>
      </c>
      <c r="D25" s="253">
        <f>'Financial impact (cash)'!E20+'Financial impact (cash)'!E33+'Financial impact (cash)'!E54</f>
        <v>0</v>
      </c>
      <c r="E25" s="253">
        <f>'Financial impact (cash)'!F20+'Financial impact (cash)'!F33+'Financial impact (cash)'!F54</f>
        <v>0</v>
      </c>
      <c r="F25" s="253">
        <f>'Financial impact (cash)'!G20+'Financial impact (cash)'!G33+'Financial impact (cash)'!G54</f>
        <v>0</v>
      </c>
      <c r="G25" s="253">
        <f>'Financial impact (cash)'!H20+'Financial impact (cash)'!H33+'Financial impact (cash)'!H54</f>
        <v>0</v>
      </c>
      <c r="H25" s="253">
        <f>'Financial impact (cash)'!I20+'Financial impact (cash)'!I33+'Financial impact (cash)'!I54</f>
        <v>0</v>
      </c>
      <c r="I25" s="133"/>
      <c r="J25" s="133"/>
    </row>
    <row r="26" spans="1:10" x14ac:dyDescent="0.25">
      <c r="C26" s="78"/>
      <c r="D26" s="195">
        <f>D25-$C$25</f>
        <v>0</v>
      </c>
      <c r="E26" s="195">
        <f>E25-$C$25</f>
        <v>0</v>
      </c>
      <c r="F26" s="195">
        <f>F25-$C$25</f>
        <v>0</v>
      </c>
      <c r="G26" s="195">
        <f>G25-$C$25</f>
        <v>0</v>
      </c>
      <c r="H26" s="195">
        <f>H25-$C$25</f>
        <v>0</v>
      </c>
      <c r="I26" s="477" t="s">
        <v>784</v>
      </c>
      <c r="J26" s="133"/>
    </row>
    <row r="27" spans="1:10" x14ac:dyDescent="0.25">
      <c r="C27" s="88"/>
      <c r="D27" s="195">
        <f>D25-C25</f>
        <v>0</v>
      </c>
      <c r="E27" s="195">
        <f>E25-D25</f>
        <v>0</v>
      </c>
      <c r="F27" s="195">
        <f>F25-E25</f>
        <v>0</v>
      </c>
      <c r="G27" s="195">
        <f>G25-F25</f>
        <v>0</v>
      </c>
      <c r="H27" s="195">
        <f>H25-G25</f>
        <v>0</v>
      </c>
      <c r="I27" s="477" t="s">
        <v>785</v>
      </c>
      <c r="J27" s="133"/>
    </row>
    <row r="28" spans="1:10" x14ac:dyDescent="0.25">
      <c r="B28" s="265"/>
      <c r="C28" s="265"/>
      <c r="D28" s="413"/>
      <c r="E28" s="413"/>
      <c r="F28" s="413"/>
      <c r="G28" s="413"/>
      <c r="H28" s="413"/>
      <c r="J28" s="133"/>
    </row>
    <row r="29" spans="1:10" x14ac:dyDescent="0.25">
      <c r="B29" t="s">
        <v>786</v>
      </c>
      <c r="C29" s="265"/>
      <c r="D29" s="413"/>
      <c r="E29" s="413"/>
      <c r="F29" s="413"/>
      <c r="G29" s="413"/>
      <c r="H29" s="413"/>
      <c r="J29" s="133"/>
    </row>
    <row r="30" spans="1:10" x14ac:dyDescent="0.25">
      <c r="B30" s="657" t="s">
        <v>42</v>
      </c>
      <c r="C30" s="265"/>
      <c r="D30" s="413"/>
      <c r="E30" s="413"/>
      <c r="F30" s="413"/>
      <c r="G30" s="413"/>
      <c r="H30" s="413"/>
      <c r="J30" s="133"/>
    </row>
    <row r="31" spans="1:10" x14ac:dyDescent="0.25">
      <c r="B31" s="265"/>
      <c r="C31" s="265"/>
      <c r="D31" s="413"/>
      <c r="E31" s="413"/>
      <c r="F31" s="413"/>
      <c r="G31" s="413"/>
      <c r="H31" s="413"/>
      <c r="J31" s="133"/>
    </row>
    <row r="32" spans="1:10" ht="45" x14ac:dyDescent="0.25">
      <c r="A32" s="413"/>
      <c r="B32" s="260" t="s">
        <v>787</v>
      </c>
      <c r="C32" s="238" t="s">
        <v>776</v>
      </c>
      <c r="D32" s="268" t="s">
        <v>666</v>
      </c>
      <c r="E32" s="268" t="s">
        <v>667</v>
      </c>
      <c r="F32" s="269" t="s">
        <v>777</v>
      </c>
      <c r="G32" s="269" t="s">
        <v>778</v>
      </c>
      <c r="H32" s="268" t="s">
        <v>779</v>
      </c>
      <c r="J32" s="133"/>
    </row>
    <row r="33" spans="1:10" x14ac:dyDescent="0.25">
      <c r="A33" s="413"/>
      <c r="B33" s="291" t="s">
        <v>788</v>
      </c>
      <c r="C33" s="723" t="s">
        <v>782</v>
      </c>
      <c r="D33" s="723" t="s">
        <v>782</v>
      </c>
      <c r="E33" s="723" t="s">
        <v>782</v>
      </c>
      <c r="F33" s="723" t="s">
        <v>782</v>
      </c>
      <c r="G33" s="723" t="s">
        <v>782</v>
      </c>
      <c r="H33" s="723" t="s">
        <v>782</v>
      </c>
      <c r="J33" s="133"/>
    </row>
    <row r="34" spans="1:10" x14ac:dyDescent="0.25">
      <c r="A34" s="413"/>
      <c r="B34" s="264" t="s">
        <v>789</v>
      </c>
      <c r="C34" s="253">
        <f>IF($B$30="national prices",'Capacity (national prices)'!L25,IF($B$30="local prices",'Capacity (local prices)'!L27,0))</f>
        <v>0</v>
      </c>
      <c r="D34" s="253">
        <f>IF($B$30="national prices",'Capacity (national prices)'!M25,IF($B$30="local prices",'Capacity (local prices)'!M27,0))</f>
        <v>0</v>
      </c>
      <c r="E34" s="253">
        <f>IF($B$30="national prices",'Capacity (national prices)'!N25,IF($B$30="local prices",'Capacity (local prices)'!N27,0))</f>
        <v>0</v>
      </c>
      <c r="F34" s="253">
        <f>IF($B$30="national prices",'Capacity (national prices)'!O25,IF($B$30="local prices",'Capacity (local prices)'!O27,0))</f>
        <v>0</v>
      </c>
      <c r="G34" s="253">
        <f>IF($B$30="national prices",'Capacity (national prices)'!P25,IF($B$30="local prices",'Capacity (local prices)'!P27,0))</f>
        <v>0</v>
      </c>
      <c r="H34" s="253">
        <f>IF($B$30="national prices",'Capacity (national prices)'!Q25,IF($B$30="local prices",'Capacity (local prices)'!Q27,0))</f>
        <v>0</v>
      </c>
      <c r="J34" s="133"/>
    </row>
    <row r="35" spans="1:10" x14ac:dyDescent="0.25">
      <c r="A35" s="413"/>
      <c r="C35" s="78"/>
      <c r="D35" s="195">
        <f>D34-$C$34</f>
        <v>0</v>
      </c>
      <c r="E35" s="195">
        <f>E34-$C$34</f>
        <v>0</v>
      </c>
      <c r="F35" s="195">
        <f>F34-$C$34</f>
        <v>0</v>
      </c>
      <c r="G35" s="195">
        <f>G34-$C$34</f>
        <v>0</v>
      </c>
      <c r="H35" s="195">
        <f>H34-$C$34</f>
        <v>0</v>
      </c>
      <c r="I35" s="477" t="s">
        <v>784</v>
      </c>
      <c r="J35" s="133"/>
    </row>
    <row r="36" spans="1:10" x14ac:dyDescent="0.25">
      <c r="A36" s="413"/>
      <c r="C36" s="88"/>
      <c r="D36" s="195">
        <f>D34-C34</f>
        <v>0</v>
      </c>
      <c r="E36" s="195">
        <f>E34-D34</f>
        <v>0</v>
      </c>
      <c r="F36" s="195">
        <f>F34-E34</f>
        <v>0</v>
      </c>
      <c r="G36" s="195">
        <f>G34-F34</f>
        <v>0</v>
      </c>
      <c r="H36" s="195">
        <f>H34-G34</f>
        <v>0</v>
      </c>
      <c r="I36" s="477" t="s">
        <v>785</v>
      </c>
      <c r="J36" s="133"/>
    </row>
    <row r="37" spans="1:10" x14ac:dyDescent="0.25">
      <c r="A37" s="413"/>
      <c r="B37" s="413"/>
      <c r="C37" s="413"/>
      <c r="D37" s="413"/>
      <c r="E37" s="413"/>
      <c r="F37" s="413"/>
      <c r="G37" s="413"/>
      <c r="H37" s="413"/>
      <c r="J37" s="133"/>
    </row>
    <row r="38" spans="1:10" ht="45" x14ac:dyDescent="0.25">
      <c r="A38" s="413"/>
      <c r="B38" s="260" t="s">
        <v>790</v>
      </c>
      <c r="C38" s="238" t="s">
        <v>776</v>
      </c>
      <c r="D38" s="268" t="s">
        <v>666</v>
      </c>
      <c r="E38" s="268" t="s">
        <v>667</v>
      </c>
      <c r="F38" s="269" t="s">
        <v>777</v>
      </c>
      <c r="G38" s="269" t="s">
        <v>778</v>
      </c>
      <c r="H38" s="268" t="s">
        <v>779</v>
      </c>
      <c r="J38" s="133"/>
    </row>
    <row r="39" spans="1:10" x14ac:dyDescent="0.25">
      <c r="B39" s="291"/>
      <c r="C39" s="723" t="s">
        <v>782</v>
      </c>
      <c r="D39" s="723" t="s">
        <v>782</v>
      </c>
      <c r="E39" s="723" t="s">
        <v>782</v>
      </c>
      <c r="F39" s="723" t="s">
        <v>782</v>
      </c>
      <c r="G39" s="723" t="s">
        <v>782</v>
      </c>
      <c r="H39" s="723" t="s">
        <v>782</v>
      </c>
      <c r="I39" s="133"/>
      <c r="J39" s="133"/>
    </row>
    <row r="40" spans="1:10" x14ac:dyDescent="0.25">
      <c r="B40" s="524" t="s">
        <v>791</v>
      </c>
      <c r="C40" s="544">
        <f>C25+C34</f>
        <v>0</v>
      </c>
      <c r="D40" s="544">
        <f t="shared" ref="D40:H40" si="0">D25+D34</f>
        <v>0</v>
      </c>
      <c r="E40" s="544">
        <f t="shared" si="0"/>
        <v>0</v>
      </c>
      <c r="F40" s="544">
        <f t="shared" si="0"/>
        <v>0</v>
      </c>
      <c r="G40" s="544">
        <f t="shared" si="0"/>
        <v>0</v>
      </c>
      <c r="H40" s="544">
        <f t="shared" si="0"/>
        <v>0</v>
      </c>
      <c r="I40" s="133"/>
      <c r="J40" s="133"/>
    </row>
    <row r="41" spans="1:10" x14ac:dyDescent="0.25">
      <c r="B41" s="523"/>
      <c r="C41" s="525"/>
      <c r="D41" s="526">
        <f>D40-$C$40</f>
        <v>0</v>
      </c>
      <c r="E41" s="526">
        <f t="shared" ref="E41:H41" si="1">E40-$C$40</f>
        <v>0</v>
      </c>
      <c r="F41" s="526">
        <f t="shared" si="1"/>
        <v>0</v>
      </c>
      <c r="G41" s="526">
        <f t="shared" si="1"/>
        <v>0</v>
      </c>
      <c r="H41" s="526">
        <f t="shared" si="1"/>
        <v>0</v>
      </c>
      <c r="I41" s="477" t="s">
        <v>784</v>
      </c>
      <c r="J41" s="133"/>
    </row>
    <row r="42" spans="1:10" x14ac:dyDescent="0.25">
      <c r="B42" s="523"/>
      <c r="C42" s="525"/>
      <c r="D42" s="527">
        <f>D40-C40</f>
        <v>0</v>
      </c>
      <c r="E42" s="527">
        <f>E40-D40</f>
        <v>0</v>
      </c>
      <c r="F42" s="527">
        <f>F40-E40</f>
        <v>0</v>
      </c>
      <c r="G42" s="527">
        <f>G40-F40</f>
        <v>0</v>
      </c>
      <c r="H42" s="527">
        <f>H40-G40</f>
        <v>0</v>
      </c>
      <c r="I42" s="477" t="s">
        <v>785</v>
      </c>
      <c r="J42" s="133"/>
    </row>
    <row r="43" spans="1:10" ht="15.75" thickBot="1" x14ac:dyDescent="0.3">
      <c r="B43" s="528"/>
      <c r="C43" s="528"/>
      <c r="D43" s="529"/>
      <c r="E43" s="529"/>
      <c r="F43" s="529"/>
      <c r="G43" s="529"/>
      <c r="H43" s="529"/>
      <c r="I43" s="530"/>
      <c r="J43" s="133"/>
    </row>
    <row r="44" spans="1:10" x14ac:dyDescent="0.25">
      <c r="B44" s="265"/>
      <c r="C44" s="265"/>
      <c r="D44" s="340"/>
      <c r="E44" s="340"/>
      <c r="F44" s="340"/>
      <c r="G44" s="340"/>
      <c r="H44" s="340"/>
      <c r="I44" s="133"/>
      <c r="J44" s="133"/>
    </row>
    <row r="45" spans="1:10" ht="45" x14ac:dyDescent="0.25">
      <c r="B45" s="260" t="s">
        <v>792</v>
      </c>
      <c r="C45" s="511"/>
      <c r="D45" s="268" t="s">
        <v>666</v>
      </c>
      <c r="E45" s="268" t="s">
        <v>667</v>
      </c>
      <c r="F45" s="269" t="s">
        <v>777</v>
      </c>
      <c r="G45" s="269" t="s">
        <v>778</v>
      </c>
      <c r="H45" s="268" t="s">
        <v>779</v>
      </c>
      <c r="I45" s="133"/>
      <c r="J45" s="133"/>
    </row>
    <row r="46" spans="1:10" x14ac:dyDescent="0.25">
      <c r="B46" s="514"/>
      <c r="C46" s="512"/>
      <c r="D46" s="513"/>
      <c r="E46" s="513"/>
      <c r="F46" s="513"/>
      <c r="G46" s="513"/>
      <c r="H46" s="513"/>
      <c r="I46" s="133"/>
      <c r="J46" s="133"/>
    </row>
    <row r="47" spans="1:10" x14ac:dyDescent="0.25">
      <c r="B47" s="260" t="s">
        <v>793</v>
      </c>
      <c r="C47" s="259"/>
      <c r="D47" s="255"/>
      <c r="E47" s="255"/>
      <c r="F47" s="255"/>
      <c r="G47" s="255"/>
      <c r="H47" s="256"/>
      <c r="I47" s="133"/>
      <c r="J47" s="133"/>
    </row>
    <row r="48" spans="1:10" x14ac:dyDescent="0.25">
      <c r="B48" s="655" t="s">
        <v>1152</v>
      </c>
      <c r="C48" s="654"/>
      <c r="D48" s="656">
        <f>'Capacity (national prices)'!E33</f>
        <v>0</v>
      </c>
      <c r="E48" s="656">
        <f>'Capacity (national prices)'!F33</f>
        <v>0</v>
      </c>
      <c r="F48" s="656">
        <f>'Capacity (national prices)'!G33</f>
        <v>0</v>
      </c>
      <c r="G48" s="656">
        <f>'Capacity (national prices)'!H33</f>
        <v>0</v>
      </c>
      <c r="H48" s="656">
        <f>'Capacity (national prices)'!I33</f>
        <v>0</v>
      </c>
      <c r="I48" s="133"/>
      <c r="J48" s="133"/>
    </row>
    <row r="49" spans="2:10" x14ac:dyDescent="0.25">
      <c r="B49" s="655" t="s">
        <v>794</v>
      </c>
      <c r="C49" s="654"/>
      <c r="D49" s="656">
        <f>'Capacity (national prices)'!E49</f>
        <v>0</v>
      </c>
      <c r="E49" s="656">
        <f>'Capacity (national prices)'!F49</f>
        <v>0</v>
      </c>
      <c r="F49" s="656">
        <f>'Capacity (national prices)'!G49</f>
        <v>0</v>
      </c>
      <c r="G49" s="656">
        <f>'Capacity (national prices)'!H49</f>
        <v>0</v>
      </c>
      <c r="H49" s="656">
        <f>'Capacity (national prices)'!I49</f>
        <v>0</v>
      </c>
      <c r="I49" s="133"/>
      <c r="J49" s="133"/>
    </row>
    <row r="50" spans="2:10" x14ac:dyDescent="0.25">
      <c r="B50" s="262" t="s">
        <v>1153</v>
      </c>
      <c r="C50" s="263"/>
      <c r="D50" s="181">
        <f>'Capacity (local prices)'!E35</f>
        <v>0</v>
      </c>
      <c r="E50" s="181">
        <f>'Capacity (local prices)'!F35</f>
        <v>0</v>
      </c>
      <c r="F50" s="181">
        <f>'Capacity (local prices)'!G35</f>
        <v>0</v>
      </c>
      <c r="G50" s="181">
        <f>'Capacity (local prices)'!H35</f>
        <v>0</v>
      </c>
      <c r="H50" s="181">
        <f>'Capacity (local prices)'!I35</f>
        <v>0</v>
      </c>
      <c r="I50" s="133"/>
      <c r="J50" s="133"/>
    </row>
    <row r="51" spans="2:10" x14ac:dyDescent="0.25">
      <c r="B51" s="262" t="s">
        <v>795</v>
      </c>
      <c r="C51" s="263"/>
      <c r="D51" s="181">
        <f>'Capacity (local prices)'!E49</f>
        <v>0</v>
      </c>
      <c r="E51" s="181">
        <f>'Capacity (local prices)'!F49</f>
        <v>0</v>
      </c>
      <c r="F51" s="181">
        <f>'Capacity (local prices)'!G49</f>
        <v>0</v>
      </c>
      <c r="G51" s="181">
        <f>'Capacity (local prices)'!H49</f>
        <v>0</v>
      </c>
      <c r="H51" s="181">
        <f>'Capacity (local prices)'!I49</f>
        <v>0</v>
      </c>
      <c r="I51" s="133"/>
      <c r="J51" s="133"/>
    </row>
    <row r="52" spans="2:10" x14ac:dyDescent="0.25">
      <c r="B52" s="262" t="s">
        <v>796</v>
      </c>
      <c r="C52" s="263"/>
      <c r="D52" s="181">
        <f>'Capacity (local prices)'!E56</f>
        <v>0</v>
      </c>
      <c r="E52" s="181">
        <f>'Capacity (local prices)'!F56</f>
        <v>0</v>
      </c>
      <c r="F52" s="181">
        <f>'Capacity (local prices)'!G56</f>
        <v>0</v>
      </c>
      <c r="G52" s="181">
        <f>'Capacity (local prices)'!H56</f>
        <v>0</v>
      </c>
      <c r="H52" s="181">
        <f>'Capacity (local prices)'!I56</f>
        <v>0</v>
      </c>
      <c r="I52" s="133"/>
      <c r="J52" s="133"/>
    </row>
    <row r="53" spans="2:10" x14ac:dyDescent="0.25">
      <c r="B53" s="262" t="s">
        <v>797</v>
      </c>
      <c r="C53" s="263"/>
      <c r="D53" s="181">
        <f>'Capacity (local prices)'!E65</f>
        <v>0</v>
      </c>
      <c r="E53" s="181">
        <f>'Capacity (local prices)'!F65</f>
        <v>0</v>
      </c>
      <c r="F53" s="181">
        <f>'Capacity (local prices)'!G65</f>
        <v>0</v>
      </c>
      <c r="G53" s="181">
        <f>'Capacity (local prices)'!H65</f>
        <v>0</v>
      </c>
      <c r="H53" s="181">
        <f>'Capacity (local prices)'!I65</f>
        <v>0</v>
      </c>
      <c r="I53" s="133"/>
      <c r="J53" s="133"/>
    </row>
    <row r="54" spans="2:10" x14ac:dyDescent="0.25">
      <c r="I54" s="133"/>
      <c r="J54" s="133"/>
    </row>
    <row r="55" spans="2:10" x14ac:dyDescent="0.25">
      <c r="B55" s="260" t="s">
        <v>798</v>
      </c>
      <c r="C55" s="261"/>
      <c r="D55" s="255"/>
      <c r="E55" s="255"/>
      <c r="F55" s="255"/>
      <c r="G55" s="255"/>
      <c r="H55" s="256"/>
      <c r="I55" s="133"/>
      <c r="J55" s="133"/>
    </row>
    <row r="56" spans="2:10" x14ac:dyDescent="0.25">
      <c r="B56" s="262" t="s">
        <v>799</v>
      </c>
      <c r="C56" s="263"/>
      <c r="D56" s="181">
        <f>'Capacity (local prices)'!E75</f>
        <v>0</v>
      </c>
      <c r="E56" s="181">
        <f>'Capacity (local prices)'!F75</f>
        <v>0</v>
      </c>
      <c r="F56" s="181">
        <f>'Capacity (local prices)'!G75</f>
        <v>0</v>
      </c>
      <c r="G56" s="181">
        <f>'Capacity (local prices)'!H75</f>
        <v>0</v>
      </c>
      <c r="H56" s="181">
        <f>'Capacity (local prices)'!I75</f>
        <v>0</v>
      </c>
      <c r="I56" s="133"/>
      <c r="J56" s="133"/>
    </row>
    <row r="57" spans="2:10" x14ac:dyDescent="0.25">
      <c r="B57" s="262" t="s">
        <v>800</v>
      </c>
      <c r="C57" s="263"/>
      <c r="D57" s="181">
        <f>'Capacity (local prices)'!E84</f>
        <v>0</v>
      </c>
      <c r="E57" s="181">
        <f>'Capacity (local prices)'!F84</f>
        <v>0</v>
      </c>
      <c r="F57" s="181">
        <f>'Capacity (local prices)'!G84</f>
        <v>0</v>
      </c>
      <c r="G57" s="181">
        <f>'Capacity (local prices)'!H84</f>
        <v>0</v>
      </c>
      <c r="H57" s="181">
        <f>'Capacity (local prices)'!I84</f>
        <v>0</v>
      </c>
      <c r="I57" s="133"/>
      <c r="J57" s="133"/>
    </row>
    <row r="58" spans="2:10" x14ac:dyDescent="0.25">
      <c r="B58" s="262" t="s">
        <v>801</v>
      </c>
      <c r="C58" s="263"/>
      <c r="D58" s="181">
        <f>'Capacity (local prices)'!E93</f>
        <v>0</v>
      </c>
      <c r="E58" s="181">
        <f>'Capacity (local prices)'!F93</f>
        <v>0</v>
      </c>
      <c r="F58" s="181">
        <f>'Capacity (local prices)'!G93</f>
        <v>0</v>
      </c>
      <c r="G58" s="181">
        <f>'Capacity (local prices)'!H93</f>
        <v>0</v>
      </c>
      <c r="H58" s="181">
        <f>'Capacity (local prices)'!I93</f>
        <v>0</v>
      </c>
      <c r="I58" s="133"/>
      <c r="J58" s="133"/>
    </row>
    <row r="59" spans="2:10" x14ac:dyDescent="0.25">
      <c r="I59" s="133"/>
      <c r="J59" s="133"/>
    </row>
    <row r="60" spans="2:10" x14ac:dyDescent="0.25">
      <c r="B60" s="260" t="s">
        <v>802</v>
      </c>
      <c r="C60" s="261"/>
      <c r="D60" s="255"/>
      <c r="E60" s="255"/>
      <c r="F60" s="255"/>
      <c r="G60" s="255"/>
      <c r="H60" s="256"/>
      <c r="I60" s="133"/>
      <c r="J60" s="133"/>
    </row>
    <row r="61" spans="2:10" ht="30" hidden="1" x14ac:dyDescent="0.25">
      <c r="B61" s="347" t="s">
        <v>803</v>
      </c>
      <c r="C61" s="266"/>
      <c r="D61" s="385"/>
      <c r="E61" s="181"/>
      <c r="F61" s="181"/>
      <c r="G61" s="181"/>
      <c r="H61" s="181"/>
      <c r="I61" s="133"/>
      <c r="J61" s="133"/>
    </row>
    <row r="62" spans="2:10" ht="30" hidden="1" x14ac:dyDescent="0.25">
      <c r="B62" s="347" t="s">
        <v>804</v>
      </c>
      <c r="C62" s="266"/>
      <c r="D62" s="385"/>
      <c r="E62" s="181"/>
      <c r="F62" s="181"/>
      <c r="G62" s="181"/>
      <c r="H62" s="181"/>
      <c r="I62" s="133"/>
    </row>
    <row r="63" spans="2:10" ht="14.45" hidden="1" customHeight="1" x14ac:dyDescent="0.25">
      <c r="B63" s="347" t="s">
        <v>805</v>
      </c>
      <c r="C63" s="266"/>
      <c r="D63" s="385"/>
      <c r="E63" s="181"/>
      <c r="F63" s="181"/>
      <c r="G63" s="181"/>
      <c r="H63" s="181"/>
      <c r="I63" s="133"/>
      <c r="J63" s="133"/>
    </row>
    <row r="64" spans="2:10" ht="14.45" hidden="1" customHeight="1" x14ac:dyDescent="0.25">
      <c r="B64" s="347" t="s">
        <v>806</v>
      </c>
      <c r="C64" s="266"/>
      <c r="D64" s="385"/>
      <c r="E64" s="181"/>
      <c r="F64" s="181"/>
      <c r="G64" s="181"/>
      <c r="H64" s="181"/>
      <c r="I64" s="133"/>
      <c r="J64" s="133"/>
    </row>
    <row r="65" spans="2:14" x14ac:dyDescent="0.25">
      <c r="B65" s="347" t="s">
        <v>807</v>
      </c>
      <c r="C65" s="266"/>
      <c r="D65" s="385">
        <f>'Capacity (local prices)'!E103</f>
        <v>0</v>
      </c>
      <c r="E65" s="181">
        <f>'Capacity (local prices)'!F103</f>
        <v>0</v>
      </c>
      <c r="F65" s="181">
        <f>'Capacity (local prices)'!G103</f>
        <v>0</v>
      </c>
      <c r="G65" s="181">
        <f>'Capacity (local prices)'!H103</f>
        <v>0</v>
      </c>
      <c r="H65" s="181">
        <f>'Capacity (local prices)'!I103</f>
        <v>0</v>
      </c>
      <c r="I65" s="133"/>
      <c r="J65" s="133"/>
    </row>
    <row r="66" spans="2:14" x14ac:dyDescent="0.25">
      <c r="I66" s="133"/>
      <c r="J66" s="133"/>
    </row>
    <row r="67" spans="2:14" hidden="1" x14ac:dyDescent="0.25">
      <c r="B67" s="260" t="s">
        <v>808</v>
      </c>
      <c r="C67" s="261"/>
      <c r="D67" s="255"/>
      <c r="E67" s="255"/>
      <c r="F67" s="255"/>
      <c r="G67" s="255"/>
      <c r="H67" s="256"/>
      <c r="I67" s="133"/>
      <c r="J67" s="133"/>
    </row>
    <row r="68" spans="2:14" hidden="1" x14ac:dyDescent="0.25">
      <c r="B68" s="347" t="s">
        <v>809</v>
      </c>
      <c r="C68" s="266"/>
      <c r="D68" s="385">
        <f>'Capacity (local prices)'!E112</f>
        <v>0</v>
      </c>
      <c r="E68" s="181">
        <f>'Capacity (local prices)'!F112</f>
        <v>0</v>
      </c>
      <c r="F68" s="181">
        <f>'Capacity (local prices)'!G112</f>
        <v>0</v>
      </c>
      <c r="G68" s="181">
        <f>'Capacity (local prices)'!H112</f>
        <v>0</v>
      </c>
      <c r="H68" s="181">
        <f>'Capacity (local prices)'!I112</f>
        <v>0</v>
      </c>
      <c r="I68" s="133"/>
      <c r="J68" s="133"/>
    </row>
    <row r="69" spans="2:14" hidden="1" x14ac:dyDescent="0.25">
      <c r="I69" s="133"/>
      <c r="J69" s="133"/>
    </row>
    <row r="70" spans="2:14" hidden="1" x14ac:dyDescent="0.25">
      <c r="B70" s="260" t="s">
        <v>810</v>
      </c>
      <c r="C70" s="261"/>
      <c r="D70" s="255"/>
      <c r="E70" s="255"/>
      <c r="F70" s="255"/>
      <c r="G70" s="255"/>
      <c r="H70" s="256"/>
      <c r="I70" s="133"/>
      <c r="J70" s="133"/>
    </row>
    <row r="71" spans="2:14" hidden="1" x14ac:dyDescent="0.25">
      <c r="B71" s="347" t="s">
        <v>811</v>
      </c>
      <c r="C71" s="263"/>
      <c r="D71" s="385">
        <f>'Capacity (local prices)'!E121</f>
        <v>0</v>
      </c>
      <c r="E71" s="181">
        <f>'Capacity (local prices)'!F121</f>
        <v>0</v>
      </c>
      <c r="F71" s="181">
        <f>'Capacity (local prices)'!G121</f>
        <v>0</v>
      </c>
      <c r="G71" s="181">
        <f>'Capacity (local prices)'!H121</f>
        <v>0</v>
      </c>
      <c r="H71" s="181">
        <f>'Capacity (local prices)'!I121</f>
        <v>0</v>
      </c>
      <c r="I71" s="133"/>
      <c r="J71" s="133"/>
    </row>
    <row r="72" spans="2:14" hidden="1" x14ac:dyDescent="0.25">
      <c r="B72" s="347" t="s">
        <v>812</v>
      </c>
      <c r="C72" s="263"/>
      <c r="D72" s="385">
        <f>'Capacity (local prices)'!E129</f>
        <v>0</v>
      </c>
      <c r="E72" s="181">
        <f>'Capacity (local prices)'!F129</f>
        <v>0</v>
      </c>
      <c r="F72" s="181">
        <f>'Capacity (local prices)'!G129</f>
        <v>0</v>
      </c>
      <c r="G72" s="181">
        <f>'Capacity (local prices)'!H129</f>
        <v>0</v>
      </c>
      <c r="H72" s="181">
        <f>'Capacity (local prices)'!I129</f>
        <v>0</v>
      </c>
      <c r="I72" s="133"/>
      <c r="J72" s="133"/>
    </row>
    <row r="73" spans="2:14" hidden="1" x14ac:dyDescent="0.25">
      <c r="B73" s="347" t="s">
        <v>813</v>
      </c>
      <c r="C73" s="263"/>
      <c r="D73" s="385">
        <f>'Capacity (local prices)'!E137</f>
        <v>0</v>
      </c>
      <c r="E73" s="181">
        <f>'Capacity (local prices)'!F137</f>
        <v>0</v>
      </c>
      <c r="F73" s="181">
        <f>'Capacity (local prices)'!G137</f>
        <v>0</v>
      </c>
      <c r="G73" s="181">
        <f>'Capacity (local prices)'!H137</f>
        <v>0</v>
      </c>
      <c r="H73" s="181">
        <f>'Capacity (local prices)'!I137</f>
        <v>0</v>
      </c>
      <c r="I73" s="133"/>
      <c r="J73" s="133"/>
    </row>
    <row r="74" spans="2:14" ht="30" hidden="1" x14ac:dyDescent="0.25">
      <c r="B74" s="347" t="s">
        <v>814</v>
      </c>
      <c r="C74" s="263"/>
      <c r="D74" s="385">
        <f>'Capacity (local prices)'!E145</f>
        <v>0</v>
      </c>
      <c r="E74" s="181">
        <f>'Capacity (local prices)'!F145</f>
        <v>0</v>
      </c>
      <c r="F74" s="181">
        <f>'Capacity (local prices)'!G145</f>
        <v>0</v>
      </c>
      <c r="G74" s="181">
        <f>'Capacity (local prices)'!H145</f>
        <v>0</v>
      </c>
      <c r="H74" s="181">
        <f>'Capacity (local prices)'!I145</f>
        <v>0</v>
      </c>
      <c r="I74" s="133"/>
      <c r="J74" s="133"/>
    </row>
    <row r="75" spans="2:14" hidden="1" x14ac:dyDescent="0.25">
      <c r="I75" s="133"/>
      <c r="J75" s="133"/>
    </row>
    <row r="76" spans="2:14" hidden="1" x14ac:dyDescent="0.25">
      <c r="B76" s="260" t="s">
        <v>815</v>
      </c>
      <c r="C76" s="259"/>
      <c r="D76" s="255"/>
      <c r="E76" s="255"/>
      <c r="F76" s="255"/>
      <c r="G76" s="255"/>
      <c r="H76" s="256"/>
      <c r="I76" s="133"/>
      <c r="J76" s="133"/>
    </row>
    <row r="77" spans="2:14" hidden="1" x14ac:dyDescent="0.25">
      <c r="B77" s="262" t="s">
        <v>816</v>
      </c>
      <c r="C77" s="263"/>
      <c r="D77" s="385">
        <f>'Capacity (local prices)'!E158</f>
        <v>0</v>
      </c>
      <c r="E77" s="181">
        <f>'Capacity (local prices)'!F158</f>
        <v>0</v>
      </c>
      <c r="F77" s="181">
        <f>'Capacity (local prices)'!G158</f>
        <v>0</v>
      </c>
      <c r="G77" s="181">
        <f>'Capacity (local prices)'!H158</f>
        <v>0</v>
      </c>
      <c r="H77" s="181">
        <f>'Capacity (local prices)'!I158</f>
        <v>0</v>
      </c>
      <c r="I77" s="133"/>
      <c r="J77" s="133"/>
    </row>
    <row r="78" spans="2:14" x14ac:dyDescent="0.25">
      <c r="B78" s="265"/>
      <c r="C78" s="265"/>
      <c r="D78" s="254"/>
      <c r="E78" s="254"/>
      <c r="F78" s="254"/>
      <c r="G78" s="254"/>
      <c r="H78" s="254"/>
      <c r="I78" s="133"/>
      <c r="J78" s="133"/>
    </row>
    <row r="80" spans="2:14" x14ac:dyDescent="0.25">
      <c r="D80" s="886"/>
      <c r="E80" s="872"/>
      <c r="F80" s="872"/>
      <c r="G80" s="872"/>
      <c r="H80" s="872"/>
      <c r="I80" s="872"/>
      <c r="J80" s="872"/>
      <c r="K80" s="872"/>
      <c r="L80" s="872"/>
      <c r="M80" s="872"/>
      <c r="N80" s="872"/>
    </row>
    <row r="81" spans="4:14" x14ac:dyDescent="0.25">
      <c r="D81" s="872"/>
      <c r="E81" s="872"/>
      <c r="F81" s="872"/>
      <c r="G81" s="872"/>
      <c r="H81" s="872"/>
      <c r="I81" s="872"/>
      <c r="J81" s="872"/>
      <c r="K81" s="872"/>
      <c r="L81" s="872"/>
      <c r="M81" s="872"/>
      <c r="N81" s="872"/>
    </row>
    <row r="82" spans="4:14" x14ac:dyDescent="0.25">
      <c r="D82" s="886"/>
      <c r="E82" s="872"/>
      <c r="F82" s="872"/>
      <c r="G82" s="872"/>
      <c r="H82" s="872"/>
      <c r="I82" s="872"/>
      <c r="J82" s="872"/>
      <c r="K82" s="872"/>
      <c r="L82" s="872"/>
      <c r="M82" s="872"/>
      <c r="N82" s="872"/>
    </row>
  </sheetData>
  <sheetProtection algorithmName="SHA-512" hashValue="ld9ZdHnx78gLbh2Jv5Bw2RUbEDgx1F1b86PPEo6190yv57Q8mACC8BNOBufa9/zAdCsC0h78osZennCICxr2gw==" saltValue="f9MVsA2lTCIOMWZer5ng5w==" spinCount="100000" sheet="1" objects="1" scenarios="1"/>
  <mergeCells count="2">
    <mergeCell ref="D80:N81"/>
    <mergeCell ref="D82:N82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57"/>
  <sheetViews>
    <sheetView showGridLines="0" topLeftCell="B1" zoomScale="84" zoomScaleNormal="84" zoomScaleSheetLayoutView="80" workbookViewId="0">
      <selection activeCell="I50" sqref="I50"/>
    </sheetView>
  </sheetViews>
  <sheetFormatPr defaultColWidth="8.85546875" defaultRowHeight="15" x14ac:dyDescent="0.25"/>
  <cols>
    <col min="1" max="1" width="3.5703125" customWidth="1"/>
    <col min="2" max="2" width="76.425781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576" t="str">
        <f>'Inputs and eligible population'!B1</f>
        <v>Diabetic retinopathy: management and monitoring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25">
      <c r="B2" s="383" t="s">
        <v>817</v>
      </c>
      <c r="C2" s="127" t="s">
        <v>734</v>
      </c>
      <c r="D2" s="127" t="s">
        <v>734</v>
      </c>
      <c r="E2" s="127" t="s">
        <v>734</v>
      </c>
      <c r="F2" s="127" t="s">
        <v>734</v>
      </c>
      <c r="G2" s="127" t="s">
        <v>734</v>
      </c>
      <c r="H2" s="127"/>
      <c r="I2" s="127" t="s">
        <v>734</v>
      </c>
      <c r="J2" s="133"/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25">
      <c r="B3" s="130" t="s">
        <v>734</v>
      </c>
      <c r="C3" s="133" t="s">
        <v>734</v>
      </c>
      <c r="D3" s="133" t="s">
        <v>734</v>
      </c>
      <c r="E3" s="133" t="s">
        <v>734</v>
      </c>
      <c r="F3" s="133" t="s">
        <v>734</v>
      </c>
      <c r="G3" s="133" t="s">
        <v>734</v>
      </c>
      <c r="H3" s="133" t="s">
        <v>734</v>
      </c>
      <c r="I3" s="133" t="s">
        <v>734</v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2" customFormat="1" x14ac:dyDescent="0.25">
      <c r="B4" s="247" t="s">
        <v>818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2" customFormat="1" x14ac:dyDescent="0.25">
      <c r="B5" s="247" t="s">
        <v>819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2" customFormat="1" x14ac:dyDescent="0.25">
      <c r="B6" s="247"/>
      <c r="C6" s="133" t="s">
        <v>734</v>
      </c>
      <c r="D6" s="133" t="s">
        <v>734</v>
      </c>
      <c r="E6" s="133"/>
      <c r="F6" s="133"/>
      <c r="G6" s="133"/>
      <c r="H6" s="133"/>
      <c r="I6" s="133" t="s">
        <v>734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2" customFormat="1" ht="45" x14ac:dyDescent="0.25">
      <c r="B7" s="258" t="s">
        <v>780</v>
      </c>
      <c r="C7" s="267"/>
      <c r="D7" s="428" t="s">
        <v>820</v>
      </c>
      <c r="E7" s="268" t="s">
        <v>666</v>
      </c>
      <c r="F7" s="268" t="s">
        <v>667</v>
      </c>
      <c r="G7" s="269" t="s">
        <v>777</v>
      </c>
      <c r="H7" s="269" t="s">
        <v>778</v>
      </c>
      <c r="I7" s="269" t="s">
        <v>779</v>
      </c>
      <c r="J7" s="133"/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25">
      <c r="B8" s="225" t="s">
        <v>1090</v>
      </c>
      <c r="C8" s="182"/>
      <c r="D8" s="181">
        <f>'Inputs and eligible population'!F50</f>
        <v>1033561.4780304381</v>
      </c>
      <c r="E8" s="181">
        <f>'Inputs and eligible population'!G50</f>
        <v>1056049.2013493862</v>
      </c>
      <c r="F8" s="181">
        <f>'Inputs and eligible population'!H50</f>
        <v>1079026.2015142876</v>
      </c>
      <c r="G8" s="181">
        <f>'Inputs and eligible population'!I50</f>
        <v>1102503.1239705968</v>
      </c>
      <c r="H8" s="181">
        <f>'Inputs and eligible population'!J50</f>
        <v>1126490.8457821449</v>
      </c>
      <c r="I8" s="181">
        <f>'Inputs and eligible population'!K50</f>
        <v>1151000.4806705792</v>
      </c>
      <c r="J8" s="133"/>
      <c r="K8" s="133"/>
      <c r="L8" s="133"/>
    </row>
    <row r="9" spans="2:34" s="148" customFormat="1" x14ac:dyDescent="0.25">
      <c r="B9" s="225" t="s">
        <v>1091</v>
      </c>
      <c r="C9" s="182"/>
      <c r="D9" s="181">
        <f>'Inputs and eligible population'!F51</f>
        <v>132540.29962918357</v>
      </c>
      <c r="E9" s="181">
        <f>'Inputs and eligible population'!G51</f>
        <v>135424.04641157264</v>
      </c>
      <c r="F9" s="181">
        <f>'Inputs and eligible population'!H51</f>
        <v>138370.5363409759</v>
      </c>
      <c r="G9" s="181">
        <f>'Inputs and eligible population'!I51</f>
        <v>141381.13455198886</v>
      </c>
      <c r="H9" s="181">
        <f>'Inputs and eligible population'!J51</f>
        <v>144457.23588113539</v>
      </c>
      <c r="I9" s="181">
        <f>'Inputs and eligible population'!K51</f>
        <v>147600.26551310791</v>
      </c>
      <c r="J9" s="133"/>
      <c r="K9" s="133"/>
      <c r="L9" s="133"/>
    </row>
    <row r="10" spans="2:34" s="148" customFormat="1" x14ac:dyDescent="0.25">
      <c r="B10" s="225" t="s">
        <v>1165</v>
      </c>
      <c r="C10" s="182"/>
      <c r="D10" s="181">
        <f>'Inputs and eligible population'!F52</f>
        <v>75002.216613690936</v>
      </c>
      <c r="E10" s="181">
        <f>'Inputs and eligible population'!G52</f>
        <v>76634.078028195814</v>
      </c>
      <c r="F10" s="181">
        <f>'Inputs and eligible population'!H52</f>
        <v>78301.444682364003</v>
      </c>
      <c r="G10" s="181">
        <f>'Inputs and eligible population'!I52</f>
        <v>80005.089081772516</v>
      </c>
      <c r="H10" s="181">
        <f>'Inputs and eligible population'!J52</f>
        <v>81745.80053979544</v>
      </c>
      <c r="I10" s="181">
        <f>'Inputs and eligible population'!K52</f>
        <v>83524.385543299883</v>
      </c>
      <c r="J10" s="133"/>
      <c r="K10" s="133"/>
      <c r="L10" s="133"/>
    </row>
    <row r="11" spans="2:34" s="242" customFormat="1" x14ac:dyDescent="0.25">
      <c r="B11" s="244" t="s">
        <v>734</v>
      </c>
      <c r="C11" s="133" t="s">
        <v>734</v>
      </c>
      <c r="D11" s="133" t="s">
        <v>734</v>
      </c>
      <c r="E11" s="133" t="s">
        <v>734</v>
      </c>
      <c r="F11" s="133" t="s">
        <v>734</v>
      </c>
      <c r="G11" s="133" t="s">
        <v>734</v>
      </c>
      <c r="H11" s="133"/>
      <c r="I11" s="133"/>
      <c r="J11" s="133"/>
      <c r="K11" s="133"/>
      <c r="L11" s="133"/>
      <c r="N11" s="133"/>
      <c r="O11" s="133"/>
      <c r="P11" s="133"/>
      <c r="Q11" s="133"/>
      <c r="R11" s="133"/>
      <c r="S11" s="133"/>
      <c r="T11" s="133"/>
      <c r="AD11" s="270"/>
      <c r="AE11" s="270"/>
      <c r="AF11" s="270"/>
      <c r="AG11" s="270"/>
      <c r="AH11" s="270"/>
    </row>
    <row r="12" spans="2:34" s="242" customFormat="1" x14ac:dyDescent="0.25">
      <c r="B12" s="343" t="s">
        <v>781</v>
      </c>
      <c r="C12" s="344"/>
      <c r="D12" s="345"/>
      <c r="E12" s="345"/>
      <c r="F12" s="345"/>
      <c r="G12" s="345"/>
      <c r="H12" s="345"/>
      <c r="I12" s="346"/>
      <c r="J12" s="133"/>
      <c r="K12" s="133"/>
      <c r="L12" s="133"/>
      <c r="N12" s="133"/>
      <c r="O12" s="133"/>
      <c r="P12" s="133"/>
      <c r="Q12" s="133"/>
      <c r="R12" s="133"/>
      <c r="S12" s="133"/>
      <c r="T12" s="133"/>
    </row>
    <row r="13" spans="2:34" s="242" customFormat="1" x14ac:dyDescent="0.25">
      <c r="B13" s="244"/>
      <c r="C13" s="133"/>
      <c r="D13" s="133"/>
      <c r="E13" s="133"/>
      <c r="F13" s="133"/>
      <c r="G13" s="133"/>
      <c r="H13" s="133"/>
      <c r="I13" s="133"/>
      <c r="N13" s="133"/>
      <c r="O13" s="133"/>
      <c r="P13" s="133"/>
      <c r="Q13" s="133"/>
      <c r="R13" s="133"/>
      <c r="S13" s="133"/>
      <c r="T13" s="133"/>
      <c r="AD13" s="270"/>
      <c r="AE13" s="270"/>
      <c r="AF13" s="270"/>
      <c r="AG13" s="270"/>
      <c r="AH13" s="270"/>
    </row>
    <row r="14" spans="2:34" s="242" customFormat="1" x14ac:dyDescent="0.25">
      <c r="B14" s="276" t="s">
        <v>1093</v>
      </c>
      <c r="C14" s="271"/>
      <c r="D14" s="183"/>
      <c r="E14" s="183"/>
      <c r="F14" s="183"/>
      <c r="G14" s="183"/>
      <c r="H14" s="183"/>
      <c r="I14" s="184"/>
      <c r="N14" s="133"/>
      <c r="O14" s="133"/>
      <c r="P14" s="133"/>
      <c r="Q14" s="133"/>
      <c r="R14" s="133"/>
      <c r="S14" s="133"/>
      <c r="T14" s="133"/>
    </row>
    <row r="15" spans="2:34" s="242" customFormat="1" x14ac:dyDescent="0.25">
      <c r="B15" s="352" t="s">
        <v>1051</v>
      </c>
      <c r="C15" s="353"/>
      <c r="D15" s="272">
        <f>'Inputs and eligible population'!L64</f>
        <v>0</v>
      </c>
      <c r="E15" s="272">
        <f>'Inputs and eligible population'!M64</f>
        <v>0</v>
      </c>
      <c r="F15" s="272">
        <f>'Inputs and eligible population'!N64</f>
        <v>0</v>
      </c>
      <c r="G15" s="272">
        <f>'Inputs and eligible population'!O64</f>
        <v>0</v>
      </c>
      <c r="H15" s="272">
        <f>'Inputs and eligible population'!P64</f>
        <v>0</v>
      </c>
      <c r="I15" s="272">
        <f>'Inputs and eligible population'!Q64</f>
        <v>0</v>
      </c>
      <c r="N15" s="133"/>
      <c r="O15" s="133"/>
      <c r="P15" s="133"/>
      <c r="Q15" s="133"/>
      <c r="R15" s="133"/>
      <c r="S15" s="133"/>
      <c r="T15" s="133"/>
      <c r="V15" s="270"/>
      <c r="W15" s="270"/>
      <c r="X15" s="270"/>
      <c r="Y15" s="270"/>
      <c r="Z15" s="270"/>
      <c r="AA15" s="270"/>
      <c r="AC15" s="270"/>
      <c r="AD15" s="270"/>
      <c r="AE15" s="270"/>
      <c r="AF15" s="270"/>
      <c r="AG15" s="270"/>
      <c r="AH15" s="270"/>
    </row>
    <row r="16" spans="2:34" s="242" customFormat="1" x14ac:dyDescent="0.25">
      <c r="B16" s="277"/>
      <c r="C16" s="185"/>
      <c r="D16" s="186">
        <f t="shared" ref="D16:I16" si="0">SUM(D15:D15)</f>
        <v>0</v>
      </c>
      <c r="E16" s="186">
        <f t="shared" si="0"/>
        <v>0</v>
      </c>
      <c r="F16" s="186">
        <f t="shared" si="0"/>
        <v>0</v>
      </c>
      <c r="G16" s="186">
        <f t="shared" si="0"/>
        <v>0</v>
      </c>
      <c r="H16" s="186">
        <f t="shared" si="0"/>
        <v>0</v>
      </c>
      <c r="I16" s="186">
        <f t="shared" si="0"/>
        <v>0</v>
      </c>
      <c r="N16" s="133"/>
      <c r="O16" s="133"/>
      <c r="P16" s="133"/>
      <c r="Q16" s="133"/>
      <c r="R16" s="133"/>
      <c r="S16" s="133"/>
      <c r="T16" s="133"/>
      <c r="V16" s="270"/>
      <c r="W16" s="270"/>
      <c r="X16" s="270"/>
      <c r="Y16" s="270"/>
      <c r="Z16" s="270"/>
      <c r="AA16" s="270"/>
      <c r="AC16" s="270"/>
      <c r="AD16" s="270"/>
      <c r="AE16" s="270"/>
      <c r="AF16" s="270"/>
      <c r="AG16" s="270"/>
      <c r="AH16" s="270"/>
    </row>
    <row r="17" spans="2:34" s="242" customFormat="1" x14ac:dyDescent="0.25">
      <c r="B17" s="278"/>
      <c r="C17" s="133"/>
      <c r="D17" s="133"/>
      <c r="E17" s="133"/>
      <c r="F17" s="133"/>
      <c r="G17" s="133"/>
      <c r="H17" s="133"/>
      <c r="I17" s="133"/>
      <c r="N17" s="133"/>
      <c r="O17" s="133"/>
      <c r="P17" s="133"/>
      <c r="Q17" s="133"/>
      <c r="R17" s="133"/>
      <c r="S17" s="133"/>
      <c r="T17" s="133"/>
      <c r="AD17" s="270"/>
      <c r="AE17" s="270"/>
      <c r="AF17" s="270"/>
      <c r="AG17" s="270"/>
      <c r="AH17" s="270"/>
    </row>
    <row r="18" spans="2:34" s="242" customFormat="1" x14ac:dyDescent="0.25">
      <c r="B18" s="279" t="s">
        <v>1095</v>
      </c>
      <c r="C18" s="273" t="s">
        <v>821</v>
      </c>
      <c r="D18" s="723" t="s">
        <v>782</v>
      </c>
      <c r="E18" s="723" t="s">
        <v>782</v>
      </c>
      <c r="F18" s="723" t="s">
        <v>782</v>
      </c>
      <c r="G18" s="723" t="s">
        <v>782</v>
      </c>
      <c r="H18" s="723" t="s">
        <v>782</v>
      </c>
      <c r="I18" s="723" t="s">
        <v>782</v>
      </c>
      <c r="N18" s="133"/>
      <c r="O18" s="133"/>
      <c r="P18" s="133"/>
      <c r="Q18" s="133"/>
      <c r="R18" s="133"/>
      <c r="S18" s="133"/>
      <c r="T18" s="133"/>
      <c r="AD18" s="270"/>
      <c r="AE18" s="270"/>
      <c r="AF18" s="270"/>
      <c r="AG18" s="270"/>
      <c r="AH18" s="270"/>
    </row>
    <row r="19" spans="2:34" s="242" customFormat="1" x14ac:dyDescent="0.25">
      <c r="B19" s="351" t="s">
        <v>1051</v>
      </c>
      <c r="C19" s="274">
        <f>'Unit costs'!S10</f>
        <v>40.04</v>
      </c>
      <c r="D19" s="274">
        <f t="shared" ref="D19:I19" si="1">D15*$C19/1000</f>
        <v>0</v>
      </c>
      <c r="E19" s="274">
        <f t="shared" si="1"/>
        <v>0</v>
      </c>
      <c r="F19" s="274">
        <f t="shared" si="1"/>
        <v>0</v>
      </c>
      <c r="G19" s="274">
        <f t="shared" si="1"/>
        <v>0</v>
      </c>
      <c r="H19" s="274">
        <f t="shared" si="1"/>
        <v>0</v>
      </c>
      <c r="I19" s="274">
        <f t="shared" si="1"/>
        <v>0</v>
      </c>
      <c r="N19" s="133"/>
      <c r="O19" s="133"/>
      <c r="P19" s="133"/>
      <c r="Q19" s="133"/>
      <c r="R19" s="133"/>
      <c r="S19" s="133"/>
      <c r="T19" s="133"/>
      <c r="AD19" s="270"/>
      <c r="AE19" s="270"/>
      <c r="AF19" s="270"/>
      <c r="AG19" s="270"/>
      <c r="AH19" s="270"/>
    </row>
    <row r="20" spans="2:34" s="242" customFormat="1" x14ac:dyDescent="0.25">
      <c r="B20" s="277" t="s">
        <v>1094</v>
      </c>
      <c r="C20" s="696"/>
      <c r="D20" s="187">
        <f t="shared" ref="D20:I20" si="2">SUM(D19:D19)</f>
        <v>0</v>
      </c>
      <c r="E20" s="187">
        <f t="shared" si="2"/>
        <v>0</v>
      </c>
      <c r="F20" s="187">
        <f t="shared" si="2"/>
        <v>0</v>
      </c>
      <c r="G20" s="187">
        <f t="shared" si="2"/>
        <v>0</v>
      </c>
      <c r="H20" s="188">
        <f t="shared" si="2"/>
        <v>0</v>
      </c>
      <c r="I20" s="187">
        <f t="shared" si="2"/>
        <v>0</v>
      </c>
      <c r="N20" s="133"/>
      <c r="O20" s="133"/>
      <c r="P20" s="133"/>
      <c r="Q20" s="133"/>
      <c r="R20" s="133"/>
      <c r="S20" s="133"/>
      <c r="T20" s="133"/>
      <c r="AD20" s="270"/>
      <c r="AE20" s="270"/>
      <c r="AF20" s="270"/>
      <c r="AG20" s="270"/>
      <c r="AH20" s="270"/>
    </row>
    <row r="21" spans="2:34" s="242" customFormat="1" x14ac:dyDescent="0.25">
      <c r="B21" s="278"/>
      <c r="C21" s="133"/>
      <c r="D21" s="133"/>
      <c r="E21" s="133"/>
      <c r="F21" s="133"/>
      <c r="G21" s="133"/>
      <c r="H21" s="133"/>
      <c r="I21" s="133"/>
      <c r="N21" s="133"/>
      <c r="O21" s="133"/>
      <c r="P21" s="133"/>
      <c r="Q21" s="133"/>
      <c r="R21" s="133"/>
      <c r="S21" s="133"/>
      <c r="T21" s="133"/>
      <c r="AD21" s="270"/>
      <c r="AE21" s="270"/>
      <c r="AF21" s="270"/>
      <c r="AG21" s="270"/>
      <c r="AH21" s="270"/>
    </row>
    <row r="22" spans="2:34" s="242" customFormat="1" x14ac:dyDescent="0.25">
      <c r="B22" s="384"/>
      <c r="C22" s="275"/>
      <c r="D22" s="360" t="s">
        <v>1189</v>
      </c>
      <c r="E22" s="187">
        <f>E20-$D$20</f>
        <v>0</v>
      </c>
      <c r="F22" s="187">
        <f t="shared" ref="F22:H22" si="3">F20-$D$20</f>
        <v>0</v>
      </c>
      <c r="G22" s="187">
        <f t="shared" si="3"/>
        <v>0</v>
      </c>
      <c r="H22" s="187">
        <f t="shared" si="3"/>
        <v>0</v>
      </c>
      <c r="I22" s="187">
        <f>I20-$D$20</f>
        <v>0</v>
      </c>
      <c r="N22" s="133"/>
      <c r="O22" s="133"/>
      <c r="P22" s="133"/>
      <c r="Q22" s="133"/>
      <c r="R22" s="133"/>
      <c r="S22" s="133"/>
      <c r="T22" s="133"/>
      <c r="AD22" s="270"/>
      <c r="AE22" s="270"/>
      <c r="AF22" s="270"/>
      <c r="AG22" s="270"/>
      <c r="AH22" s="270"/>
    </row>
    <row r="23" spans="2:34" s="242" customFormat="1" x14ac:dyDescent="0.25">
      <c r="B23" s="384"/>
      <c r="C23" s="275"/>
      <c r="D23" s="281" t="s">
        <v>1190</v>
      </c>
      <c r="E23" s="187">
        <f>E22</f>
        <v>0</v>
      </c>
      <c r="F23" s="189">
        <f>F22-E22</f>
        <v>0</v>
      </c>
      <c r="G23" s="189">
        <f t="shared" ref="G23:H23" si="4">G22-F22</f>
        <v>0</v>
      </c>
      <c r="H23" s="189">
        <f t="shared" si="4"/>
        <v>0</v>
      </c>
      <c r="I23" s="187">
        <f>I22-H22</f>
        <v>0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AD23" s="270"/>
      <c r="AE23" s="270"/>
      <c r="AF23" s="270"/>
      <c r="AG23" s="270"/>
      <c r="AH23" s="270"/>
    </row>
    <row r="25" spans="2:34" x14ac:dyDescent="0.25">
      <c r="B25" s="276" t="s">
        <v>1096</v>
      </c>
      <c r="C25" s="773"/>
      <c r="D25" s="183"/>
      <c r="E25" s="183"/>
      <c r="F25" s="183"/>
      <c r="G25" s="183"/>
      <c r="H25" s="183"/>
      <c r="I25" s="184"/>
      <c r="J25" s="242"/>
      <c r="K25" s="242"/>
    </row>
    <row r="26" spans="2:34" x14ac:dyDescent="0.25">
      <c r="B26" s="352" t="s">
        <v>1079</v>
      </c>
      <c r="C26" s="353"/>
      <c r="D26" s="272">
        <f>'Inputs and eligible population'!L73</f>
        <v>0</v>
      </c>
      <c r="E26" s="272">
        <f>'Inputs and eligible population'!M73</f>
        <v>0</v>
      </c>
      <c r="F26" s="272">
        <f>'Inputs and eligible population'!N73</f>
        <v>0</v>
      </c>
      <c r="G26" s="272">
        <f>'Inputs and eligible population'!O73</f>
        <v>0</v>
      </c>
      <c r="H26" s="272">
        <f>'Inputs and eligible population'!P73</f>
        <v>0</v>
      </c>
      <c r="I26" s="272">
        <f>'Inputs and eligible population'!Q73</f>
        <v>0</v>
      </c>
      <c r="J26" s="242"/>
      <c r="K26" s="242"/>
    </row>
    <row r="27" spans="2:34" x14ac:dyDescent="0.25">
      <c r="B27" s="352" t="s">
        <v>1080</v>
      </c>
      <c r="C27" s="353"/>
      <c r="D27" s="272">
        <f>'Inputs and eligible population'!L74</f>
        <v>0</v>
      </c>
      <c r="E27" s="272">
        <f>'Inputs and eligible population'!M74</f>
        <v>0</v>
      </c>
      <c r="F27" s="272">
        <f>'Inputs and eligible population'!N74</f>
        <v>0</v>
      </c>
      <c r="G27" s="272">
        <f>'Inputs and eligible population'!O74</f>
        <v>0</v>
      </c>
      <c r="H27" s="272">
        <f>'Inputs and eligible population'!P74</f>
        <v>0</v>
      </c>
      <c r="I27" s="272">
        <f>'Inputs and eligible population'!Q74</f>
        <v>0</v>
      </c>
      <c r="J27" s="242"/>
      <c r="K27" s="242"/>
    </row>
    <row r="28" spans="2:34" x14ac:dyDescent="0.25">
      <c r="B28" s="277"/>
      <c r="C28" s="185"/>
      <c r="D28" s="186">
        <f>SUM(D26:D27)</f>
        <v>0</v>
      </c>
      <c r="E28" s="186">
        <f t="shared" ref="E28:H28" si="5">SUM(E26:E27)</f>
        <v>0</v>
      </c>
      <c r="F28" s="186">
        <f t="shared" si="5"/>
        <v>0</v>
      </c>
      <c r="G28" s="186">
        <f t="shared" si="5"/>
        <v>0</v>
      </c>
      <c r="H28" s="186">
        <f t="shared" si="5"/>
        <v>0</v>
      </c>
      <c r="I28" s="186">
        <f>SUM(I26:I27)</f>
        <v>0</v>
      </c>
      <c r="J28" s="242"/>
      <c r="K28" s="242"/>
    </row>
    <row r="29" spans="2:34" x14ac:dyDescent="0.25">
      <c r="B29" s="278"/>
      <c r="C29" s="133"/>
      <c r="D29" s="133"/>
      <c r="E29" s="133"/>
      <c r="F29" s="133"/>
      <c r="G29" s="133"/>
      <c r="H29" s="133"/>
      <c r="I29" s="133"/>
    </row>
    <row r="30" spans="2:34" x14ac:dyDescent="0.25">
      <c r="B30" s="276" t="s">
        <v>1098</v>
      </c>
      <c r="C30" s="773"/>
      <c r="D30" s="723" t="s">
        <v>782</v>
      </c>
      <c r="E30" s="723" t="s">
        <v>782</v>
      </c>
      <c r="F30" s="723" t="s">
        <v>782</v>
      </c>
      <c r="G30" s="723" t="s">
        <v>782</v>
      </c>
      <c r="H30" s="723" t="s">
        <v>782</v>
      </c>
      <c r="I30" s="723" t="s">
        <v>782</v>
      </c>
    </row>
    <row r="31" spans="2:34" x14ac:dyDescent="0.25">
      <c r="B31" s="352" t="s">
        <v>1079</v>
      </c>
      <c r="C31" s="353"/>
      <c r="D31" s="274">
        <f>(D26*$C$31)/1000</f>
        <v>0</v>
      </c>
      <c r="E31" s="274">
        <f t="shared" ref="E31:I31" si="6">(E26*$C$31)/1000</f>
        <v>0</v>
      </c>
      <c r="F31" s="274">
        <f t="shared" si="6"/>
        <v>0</v>
      </c>
      <c r="G31" s="274">
        <f t="shared" si="6"/>
        <v>0</v>
      </c>
      <c r="H31" s="274">
        <f t="shared" si="6"/>
        <v>0</v>
      </c>
      <c r="I31" s="274">
        <f t="shared" si="6"/>
        <v>0</v>
      </c>
    </row>
    <row r="32" spans="2:34" x14ac:dyDescent="0.25">
      <c r="B32" s="352" t="s">
        <v>1080</v>
      </c>
      <c r="C32" s="353"/>
      <c r="D32" s="274">
        <f>(AVERAGE('Unit costs'!$L$18:$L$22)*D27)/1000</f>
        <v>0</v>
      </c>
      <c r="E32" s="274">
        <f>(AVERAGE('Unit costs'!$L$18:$L$22)*E27)/1000</f>
        <v>0</v>
      </c>
      <c r="F32" s="274">
        <f>(AVERAGE('Unit costs'!$L$18:$L$22)*F27)/1000</f>
        <v>0</v>
      </c>
      <c r="G32" s="274">
        <f>(AVERAGE('Unit costs'!$L$18:$L$22)*G27)/1000</f>
        <v>0</v>
      </c>
      <c r="H32" s="274">
        <f>(AVERAGE('Unit costs'!$L$18:$L$22)*H27)/1000</f>
        <v>0</v>
      </c>
      <c r="I32" s="274">
        <f>(AVERAGE('Unit costs'!$L$18:$L$22)*I27)/1000</f>
        <v>0</v>
      </c>
    </row>
    <row r="33" spans="2:9" x14ac:dyDescent="0.25">
      <c r="B33" s="277" t="s">
        <v>1097</v>
      </c>
      <c r="C33" s="696"/>
      <c r="D33" s="187">
        <f>SUM(D31:D32)</f>
        <v>0</v>
      </c>
      <c r="E33" s="187">
        <f t="shared" ref="E33:I33" si="7">SUM(E31:E32)</f>
        <v>0</v>
      </c>
      <c r="F33" s="187">
        <f t="shared" si="7"/>
        <v>0</v>
      </c>
      <c r="G33" s="187">
        <f t="shared" si="7"/>
        <v>0</v>
      </c>
      <c r="H33" s="187">
        <f t="shared" si="7"/>
        <v>0</v>
      </c>
      <c r="I33" s="187">
        <f t="shared" si="7"/>
        <v>0</v>
      </c>
    </row>
    <row r="34" spans="2:9" x14ac:dyDescent="0.25">
      <c r="B34" s="278"/>
      <c r="C34" s="133"/>
      <c r="D34" s="133"/>
      <c r="E34" s="133"/>
      <c r="F34" s="133"/>
      <c r="G34" s="133"/>
      <c r="H34" s="133"/>
      <c r="I34" s="133"/>
    </row>
    <row r="35" spans="2:9" x14ac:dyDescent="0.25">
      <c r="B35" s="384"/>
      <c r="C35" s="275"/>
      <c r="D35" s="360" t="s">
        <v>1191</v>
      </c>
      <c r="E35" s="187">
        <f>E33-$D$33</f>
        <v>0</v>
      </c>
      <c r="F35" s="187">
        <f t="shared" ref="F35:G35" si="8">F33-$D$33</f>
        <v>0</v>
      </c>
      <c r="G35" s="187">
        <f t="shared" si="8"/>
        <v>0</v>
      </c>
      <c r="H35" s="187">
        <f>H33-$D$33</f>
        <v>0</v>
      </c>
      <c r="I35" s="187">
        <f>I33-$D$33</f>
        <v>0</v>
      </c>
    </row>
    <row r="36" spans="2:9" x14ac:dyDescent="0.25">
      <c r="B36" s="384"/>
      <c r="C36" s="275"/>
      <c r="D36" s="281" t="s">
        <v>1192</v>
      </c>
      <c r="E36" s="187">
        <f>E35</f>
        <v>0</v>
      </c>
      <c r="F36" s="189">
        <f>F35-E35</f>
        <v>0</v>
      </c>
      <c r="G36" s="189">
        <f>G35-F35</f>
        <v>0</v>
      </c>
      <c r="H36" s="189">
        <f t="shared" ref="H36" si="9">H35-G35</f>
        <v>0</v>
      </c>
      <c r="I36" s="187">
        <f>I35-H35</f>
        <v>0</v>
      </c>
    </row>
    <row r="38" spans="2:9" x14ac:dyDescent="0.25">
      <c r="B38" s="276" t="s">
        <v>1166</v>
      </c>
      <c r="C38" s="773"/>
      <c r="D38" s="183"/>
      <c r="E38" s="183"/>
      <c r="F38" s="183"/>
      <c r="G38" s="183"/>
      <c r="H38" s="183"/>
      <c r="I38" s="184"/>
    </row>
    <row r="39" spans="2:9" x14ac:dyDescent="0.25">
      <c r="B39" s="352" t="s">
        <v>1079</v>
      </c>
      <c r="C39" s="353"/>
      <c r="D39" s="272">
        <f>'Inputs and eligible population'!L88</f>
        <v>0</v>
      </c>
      <c r="E39" s="272">
        <f>'Inputs and eligible population'!M88</f>
        <v>0</v>
      </c>
      <c r="F39" s="272">
        <f>'Inputs and eligible population'!N88</f>
        <v>0</v>
      </c>
      <c r="G39" s="272">
        <f>'Inputs and eligible population'!O88</f>
        <v>0</v>
      </c>
      <c r="H39" s="272">
        <f>'Inputs and eligible population'!P88</f>
        <v>0</v>
      </c>
      <c r="I39" s="272">
        <f>'Inputs and eligible population'!Q88</f>
        <v>0</v>
      </c>
    </row>
    <row r="40" spans="2:9" x14ac:dyDescent="0.25">
      <c r="B40" s="352" t="s">
        <v>1080</v>
      </c>
      <c r="C40" s="353"/>
      <c r="D40" s="272">
        <f>'Inputs and eligible population'!L89</f>
        <v>0</v>
      </c>
      <c r="E40" s="272">
        <f>'Inputs and eligible population'!M89</f>
        <v>0</v>
      </c>
      <c r="F40" s="272">
        <f>'Inputs and eligible population'!N89</f>
        <v>0</v>
      </c>
      <c r="G40" s="272">
        <f>'Inputs and eligible population'!O89</f>
        <v>0</v>
      </c>
      <c r="H40" s="272">
        <f>'Inputs and eligible population'!P89</f>
        <v>0</v>
      </c>
      <c r="I40" s="272">
        <f>'Inputs and eligible population'!Q89</f>
        <v>0</v>
      </c>
    </row>
    <row r="41" spans="2:9" x14ac:dyDescent="0.25">
      <c r="B41" s="352" t="s">
        <v>1144</v>
      </c>
      <c r="C41" s="836"/>
      <c r="D41" s="272">
        <f>'Inputs and eligible population'!L90</f>
        <v>0</v>
      </c>
      <c r="E41" s="272">
        <f>'Inputs and eligible population'!M90</f>
        <v>0</v>
      </c>
      <c r="F41" s="272">
        <f>'Inputs and eligible population'!N90</f>
        <v>0</v>
      </c>
      <c r="G41" s="272">
        <f>'Inputs and eligible population'!O90</f>
        <v>0</v>
      </c>
      <c r="H41" s="272">
        <f>'Inputs and eligible population'!P90</f>
        <v>0</v>
      </c>
      <c r="I41" s="272">
        <f>'Inputs and eligible population'!Q90</f>
        <v>0</v>
      </c>
    </row>
    <row r="42" spans="2:9" x14ac:dyDescent="0.25">
      <c r="B42" s="352" t="s">
        <v>1145</v>
      </c>
      <c r="C42" s="836"/>
      <c r="D42" s="272">
        <f>'Inputs and eligible population'!L91</f>
        <v>0</v>
      </c>
      <c r="E42" s="272">
        <f>'Inputs and eligible population'!M91</f>
        <v>0</v>
      </c>
      <c r="F42" s="272">
        <f>'Inputs and eligible population'!N91</f>
        <v>0</v>
      </c>
      <c r="G42" s="272">
        <f>'Inputs and eligible population'!O91</f>
        <v>0</v>
      </c>
      <c r="H42" s="272">
        <f>'Inputs and eligible population'!P91</f>
        <v>0</v>
      </c>
      <c r="I42" s="272">
        <f>'Inputs and eligible population'!Q91</f>
        <v>0</v>
      </c>
    </row>
    <row r="43" spans="2:9" x14ac:dyDescent="0.25">
      <c r="B43" s="352" t="s">
        <v>1146</v>
      </c>
      <c r="C43" s="836"/>
      <c r="D43" s="272">
        <f>'Inputs and eligible population'!L92</f>
        <v>0</v>
      </c>
      <c r="E43" s="272">
        <f>'Inputs and eligible population'!M92</f>
        <v>0</v>
      </c>
      <c r="F43" s="272">
        <f>'Inputs and eligible population'!N92</f>
        <v>0</v>
      </c>
      <c r="G43" s="272">
        <f>'Inputs and eligible population'!O92</f>
        <v>0</v>
      </c>
      <c r="H43" s="272">
        <f>'Inputs and eligible population'!P92</f>
        <v>0</v>
      </c>
      <c r="I43" s="272">
        <f>'Inputs and eligible population'!Q92</f>
        <v>0</v>
      </c>
    </row>
    <row r="44" spans="2:9" x14ac:dyDescent="0.25">
      <c r="B44" s="352" t="s">
        <v>1147</v>
      </c>
      <c r="C44" s="836"/>
      <c r="D44" s="272">
        <f>'Inputs and eligible population'!L93</f>
        <v>0</v>
      </c>
      <c r="E44" s="272">
        <f>'Inputs and eligible population'!M93</f>
        <v>0</v>
      </c>
      <c r="F44" s="272">
        <f>'Inputs and eligible population'!N93</f>
        <v>0</v>
      </c>
      <c r="G44" s="272">
        <f>'Inputs and eligible population'!O93</f>
        <v>0</v>
      </c>
      <c r="H44" s="272">
        <f>'Inputs and eligible population'!P93</f>
        <v>0</v>
      </c>
      <c r="I44" s="272">
        <f>'Inputs and eligible population'!Q93</f>
        <v>0</v>
      </c>
    </row>
    <row r="45" spans="2:9" x14ac:dyDescent="0.25">
      <c r="B45" s="277"/>
      <c r="C45" s="185"/>
      <c r="D45" s="186">
        <f>SUM(D39:D44)</f>
        <v>0</v>
      </c>
      <c r="E45" s="186">
        <f t="shared" ref="E45:I45" si="10">SUM(E39:E44)</f>
        <v>0</v>
      </c>
      <c r="F45" s="186">
        <f t="shared" si="10"/>
        <v>0</v>
      </c>
      <c r="G45" s="186">
        <f t="shared" si="10"/>
        <v>0</v>
      </c>
      <c r="H45" s="186">
        <f t="shared" si="10"/>
        <v>0</v>
      </c>
      <c r="I45" s="186">
        <f t="shared" si="10"/>
        <v>0</v>
      </c>
    </row>
    <row r="46" spans="2:9" x14ac:dyDescent="0.25">
      <c r="B46" s="278"/>
      <c r="C46" s="133"/>
      <c r="D46" s="133"/>
      <c r="E46" s="133"/>
      <c r="F46" s="133"/>
      <c r="G46" s="133"/>
      <c r="H46" s="133"/>
      <c r="I46" s="133"/>
    </row>
    <row r="47" spans="2:9" x14ac:dyDescent="0.25">
      <c r="B47" s="276" t="s">
        <v>1151</v>
      </c>
      <c r="C47" s="773"/>
      <c r="D47" s="723" t="s">
        <v>782</v>
      </c>
      <c r="E47" s="723" t="s">
        <v>782</v>
      </c>
      <c r="F47" s="723" t="s">
        <v>782</v>
      </c>
      <c r="G47" s="723" t="s">
        <v>782</v>
      </c>
      <c r="H47" s="723" t="s">
        <v>782</v>
      </c>
      <c r="I47" s="723" t="s">
        <v>782</v>
      </c>
    </row>
    <row r="48" spans="2:9" x14ac:dyDescent="0.25">
      <c r="B48" s="352" t="s">
        <v>1079</v>
      </c>
      <c r="C48" s="353"/>
      <c r="D48" s="274">
        <f>(D39*$C$48)/1000</f>
        <v>0</v>
      </c>
      <c r="E48" s="274">
        <f>(E39*$C$48)/1000</f>
        <v>0</v>
      </c>
      <c r="F48" s="274">
        <f t="shared" ref="F48:H48" si="11">(F39*$C$48)/1000</f>
        <v>0</v>
      </c>
      <c r="G48" s="274">
        <f>(G39*$C$48)/1000</f>
        <v>0</v>
      </c>
      <c r="H48" s="274">
        <f t="shared" si="11"/>
        <v>0</v>
      </c>
      <c r="I48" s="274">
        <f>(I39*$C$48)/1000</f>
        <v>0</v>
      </c>
    </row>
    <row r="49" spans="2:9" x14ac:dyDescent="0.25">
      <c r="B49" s="352" t="s">
        <v>1080</v>
      </c>
      <c r="C49" s="353"/>
      <c r="D49" s="274">
        <f>(AVERAGE('Unit costs'!$L$18:$L$22)*D40)/1000</f>
        <v>0</v>
      </c>
      <c r="E49" s="274">
        <f>(AVERAGE('Unit costs'!$L$18:$L$22)*E40)/1000</f>
        <v>0</v>
      </c>
      <c r="F49" s="274">
        <f>(AVERAGE('Unit costs'!$L$18:$L$22)*F40)/1000</f>
        <v>0</v>
      </c>
      <c r="G49" s="274">
        <f>(AVERAGE('Unit costs'!$L$18:$L$22)*G40)/1000</f>
        <v>0</v>
      </c>
      <c r="H49" s="274">
        <f>(AVERAGE('Unit costs'!$L$18:$L$22)*H40)/1000</f>
        <v>0</v>
      </c>
      <c r="I49" s="274">
        <f>(AVERAGE('Unit costs'!$L$18:$L$22)*I40)/1000</f>
        <v>0</v>
      </c>
    </row>
    <row r="50" spans="2:9" x14ac:dyDescent="0.25">
      <c r="B50" s="352" t="s">
        <v>1144</v>
      </c>
      <c r="C50" s="353"/>
      <c r="D50" s="274">
        <f>D41*'Unit costs'!J29/1000</f>
        <v>0</v>
      </c>
      <c r="E50" s="274">
        <f>E41*'Unit costs'!J30/1000</f>
        <v>0</v>
      </c>
      <c r="F50" s="274">
        <f>(((F41-E41)*'Unit costs'!J31)+(E41*'Unit costs'!J30))/1000</f>
        <v>0</v>
      </c>
      <c r="G50" s="274">
        <f>(((G41-F41)*'Unit costs'!J30)+((F41-E41)*'Unit costs'!J31)+(E41*'Unit costs'!J32))/1000</f>
        <v>0</v>
      </c>
      <c r="H50" s="274">
        <f>(((G41-F41)*'Unit costs'!J31)+((F41-E41)*'Unit costs'!J32)+((H41-G41)*'Unit costs'!J30)+(E41*'Unit costs'!J33))/1000</f>
        <v>0</v>
      </c>
      <c r="I50" s="274">
        <f>(((G41-F41)*'Unit costs'!J32)+((F41-E41)*'Unit costs'!J33)+((H41-G41)*'Unit costs'!J31)+(E41*'Unit costs'!J34))/1000+((I41-H41)*'Unit costs'!J30)/1000</f>
        <v>0</v>
      </c>
    </row>
    <row r="51" spans="2:9" x14ac:dyDescent="0.25">
      <c r="B51" s="352" t="s">
        <v>1145</v>
      </c>
      <c r="C51" s="353"/>
      <c r="D51" s="274">
        <f>D42*'Unit costs'!J52/1000</f>
        <v>0</v>
      </c>
      <c r="E51" s="274">
        <f>E42*'Unit costs'!J53/1000</f>
        <v>0</v>
      </c>
      <c r="F51" s="274">
        <f>(((F42-E42)*'Unit costs'!J53)+(E42*'Unit costs'!J54))/1000</f>
        <v>0</v>
      </c>
      <c r="G51" s="274">
        <f>(((G42-F42)*'Unit costs'!J53)+((F42-E42)*'Unit costs'!J54)+(E42*'Unit costs'!J55))/1000</f>
        <v>0</v>
      </c>
      <c r="H51" s="274">
        <f>(((G42-F42)*'Unit costs'!J54)+((F42-E42)*'Unit costs'!J55)+((H42-G42)*'Unit costs'!J53)+(E42*'Unit costs'!J56))/1000</f>
        <v>0</v>
      </c>
      <c r="I51" s="274">
        <f>(((G42-F42)*'Unit costs'!J55)+((F42-E42)*'Unit costs'!J56)+((H42-G42)*'Unit costs'!J54)+(E42*'Unit costs'!J57))/1000+((I42-H42)*'Unit costs'!J53)/1000</f>
        <v>0</v>
      </c>
    </row>
    <row r="52" spans="2:9" x14ac:dyDescent="0.25">
      <c r="B52" s="352" t="s">
        <v>1146</v>
      </c>
      <c r="C52" s="353"/>
      <c r="D52" s="274">
        <f>D43*'Unit costs'!J75/1000</f>
        <v>0</v>
      </c>
      <c r="E52" s="274">
        <f>E43*'Unit costs'!J76/1000</f>
        <v>0</v>
      </c>
      <c r="F52" s="274">
        <f>(((F43-E43)*'Unit costs'!J76)+(E43*'Unit costs'!J77))/1000</f>
        <v>0</v>
      </c>
      <c r="G52" s="274">
        <f>(((G43-F43)*'Unit costs'!J76)+((F43-E43)*'Unit costs'!J77)+(E43*'Unit costs'!J78))/1000</f>
        <v>0</v>
      </c>
      <c r="H52" s="274">
        <f>(((G43-F43)*'Unit costs'!J77)+((F43-E43)*'Unit costs'!J78)+((H43-G43)*'Unit costs'!J76)+(E43*'Unit costs'!J79))/1000</f>
        <v>0</v>
      </c>
      <c r="I52" s="274">
        <f>(((G43-F43)*'Unit costs'!J78)+((F43-E43)*'Unit costs'!J79)+((H43-G43)*'Unit costs'!J77)+(E43*'Unit costs'!J80))/1000+((I43-H43)*'Unit costs'!J76)/1000</f>
        <v>0</v>
      </c>
    </row>
    <row r="53" spans="2:9" x14ac:dyDescent="0.25">
      <c r="B53" s="352" t="s">
        <v>1147</v>
      </c>
      <c r="C53" s="353"/>
      <c r="D53" s="274">
        <f>D44*'Unit costs'!J98/1000</f>
        <v>0</v>
      </c>
      <c r="E53" s="274">
        <f>E44*'Unit costs'!J99/1000</f>
        <v>0</v>
      </c>
      <c r="F53" s="274">
        <f>(((F44-E44)*'Unit costs'!J99)+(E44*'Unit costs'!J100))/1000</f>
        <v>0</v>
      </c>
      <c r="G53" s="274">
        <f>(((G44-F44)*'Unit costs'!J99)+((F44-E44)*'Unit costs'!J100)+(E44*'Unit costs'!J101))/1000</f>
        <v>0</v>
      </c>
      <c r="H53" s="274">
        <f>(((G44-F44)*'Unit costs'!J100)+((F44-E44)*'Unit costs'!J101)+((H44-G44)*'Unit costs'!J99)+(E44*'Unit costs'!J102))/1000</f>
        <v>0</v>
      </c>
      <c r="I53" s="274">
        <f>(((G44-F44)*'Unit costs'!J101)+((F44-E44)*'Unit costs'!J102)+((H44-G44)*'Unit costs'!J100)+(E44*'Unit costs'!J103))/1000+((I44-H44)*'Unit costs'!J99)/1000</f>
        <v>0</v>
      </c>
    </row>
    <row r="54" spans="2:9" x14ac:dyDescent="0.25">
      <c r="B54" s="277" t="s">
        <v>1167</v>
      </c>
      <c r="C54" s="696"/>
      <c r="D54" s="187">
        <f>SUM(D48:D53)</f>
        <v>0</v>
      </c>
      <c r="E54" s="187">
        <f t="shared" ref="E54:H54" si="12">SUM(E48:E53)</f>
        <v>0</v>
      </c>
      <c r="F54" s="187">
        <f t="shared" si="12"/>
        <v>0</v>
      </c>
      <c r="G54" s="187">
        <f t="shared" si="12"/>
        <v>0</v>
      </c>
      <c r="H54" s="187">
        <f t="shared" si="12"/>
        <v>0</v>
      </c>
      <c r="I54" s="187">
        <f>SUM(I48:I53)</f>
        <v>0</v>
      </c>
    </row>
    <row r="55" spans="2:9" x14ac:dyDescent="0.25">
      <c r="B55" s="278"/>
      <c r="C55" s="133"/>
      <c r="D55" s="133"/>
      <c r="E55" s="133"/>
      <c r="F55" s="133"/>
      <c r="G55" s="133"/>
      <c r="H55" s="133"/>
      <c r="I55" s="133"/>
    </row>
    <row r="56" spans="2:9" x14ac:dyDescent="0.25">
      <c r="B56" s="384"/>
      <c r="C56" s="275"/>
      <c r="D56" s="360" t="s">
        <v>1193</v>
      </c>
      <c r="E56" s="187">
        <f>E54-$D$54</f>
        <v>0</v>
      </c>
      <c r="F56" s="187">
        <f>F54-$D$54</f>
        <v>0</v>
      </c>
      <c r="G56" s="187">
        <f>G54-$D$54</f>
        <v>0</v>
      </c>
      <c r="H56" s="187">
        <f>H54-$D$54</f>
        <v>0</v>
      </c>
      <c r="I56" s="187">
        <f>I54-$D$54</f>
        <v>0</v>
      </c>
    </row>
    <row r="57" spans="2:9" x14ac:dyDescent="0.25">
      <c r="B57" s="384"/>
      <c r="C57" s="275"/>
      <c r="D57" s="281" t="s">
        <v>1194</v>
      </c>
      <c r="E57" s="187">
        <f>E56</f>
        <v>0</v>
      </c>
      <c r="F57" s="189">
        <f>F56-E56</f>
        <v>0</v>
      </c>
      <c r="G57" s="189">
        <f>G56-F56</f>
        <v>0</v>
      </c>
      <c r="H57" s="189">
        <f>H56-G56</f>
        <v>0</v>
      </c>
      <c r="I57" s="187">
        <f>I56-H56</f>
        <v>0</v>
      </c>
    </row>
  </sheetData>
  <sheetProtection algorithmName="SHA-512" hashValue="G7TeYOGZBU3EWtCoVPaFwFXM/rQANR8hk2HM0b6FtFrQ1zGPcz7nLA93SzR1AA8watvH4jxhb0FZRjdlMs6Uqg==" saltValue="8wAkgs+E8zTp+90hD52qJg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52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64"/>
  <sheetViews>
    <sheetView showGridLines="0" zoomScale="80" zoomScaleNormal="80" zoomScaleSheetLayoutView="30" workbookViewId="0">
      <selection activeCell="E2" sqref="E2"/>
    </sheetView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76" t="str">
        <f>'Inputs and eligible population'!B1</f>
        <v>Diabetic retinopathy: management and monitoring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3" t="s">
        <v>822</v>
      </c>
      <c r="C2" s="127" t="s">
        <v>734</v>
      </c>
      <c r="D2" s="127" t="s">
        <v>734</v>
      </c>
      <c r="E2" s="522"/>
      <c r="F2" s="127" t="s">
        <v>734</v>
      </c>
      <c r="G2" s="127" t="s">
        <v>734</v>
      </c>
      <c r="H2" s="127" t="s">
        <v>734</v>
      </c>
      <c r="I2" s="127" t="s">
        <v>734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734</v>
      </c>
      <c r="C3" s="133" t="s">
        <v>734</v>
      </c>
      <c r="D3" s="133" t="s">
        <v>734</v>
      </c>
      <c r="F3" s="133" t="s">
        <v>734</v>
      </c>
      <c r="G3" s="133" t="s">
        <v>734</v>
      </c>
      <c r="H3" s="133" t="s">
        <v>734</v>
      </c>
      <c r="I3" s="133" t="s">
        <v>734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5" customHeight="1" x14ac:dyDescent="0.25">
      <c r="B4" t="s">
        <v>823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5" x14ac:dyDescent="0.25">
      <c r="B6" s="258" t="s">
        <v>780</v>
      </c>
      <c r="C6" s="208"/>
      <c r="D6" s="428" t="s">
        <v>820</v>
      </c>
      <c r="E6" s="256" t="s">
        <v>666</v>
      </c>
      <c r="F6" s="256" t="s">
        <v>667</v>
      </c>
      <c r="G6" s="165" t="s">
        <v>777</v>
      </c>
      <c r="H6" s="165" t="s">
        <v>778</v>
      </c>
      <c r="I6" s="256" t="s">
        <v>779</v>
      </c>
      <c r="L6" s="428" t="s">
        <v>820</v>
      </c>
      <c r="M6" s="256" t="s">
        <v>666</v>
      </c>
      <c r="N6" s="256" t="s">
        <v>667</v>
      </c>
      <c r="O6" s="165" t="s">
        <v>777</v>
      </c>
      <c r="P6" s="165" t="s">
        <v>778</v>
      </c>
      <c r="Q6" s="256" t="s">
        <v>779</v>
      </c>
      <c r="R6" s="133"/>
      <c r="S6" s="133"/>
      <c r="T6" s="133"/>
      <c r="U6" s="133"/>
      <c r="V6" s="133"/>
      <c r="W6" s="133"/>
      <c r="X6" s="133"/>
      <c r="Y6" s="133"/>
      <c r="Z6" s="133"/>
      <c r="AJ6" s="283"/>
      <c r="AK6" s="283"/>
      <c r="AL6" s="283"/>
      <c r="AM6" s="283"/>
      <c r="AN6" s="283"/>
    </row>
    <row r="7" spans="1:40" x14ac:dyDescent="0.25">
      <c r="B7" s="225" t="s">
        <v>1090</v>
      </c>
      <c r="C7" s="168"/>
      <c r="D7" s="385">
        <f>'Inputs and eligible population'!F50</f>
        <v>1033561.4780304381</v>
      </c>
      <c r="E7" s="385">
        <f>'Inputs and eligible population'!G50</f>
        <v>1056049.2013493862</v>
      </c>
      <c r="F7" s="385">
        <f>'Inputs and eligible population'!H50</f>
        <v>1079026.2015142876</v>
      </c>
      <c r="G7" s="385">
        <f>'Inputs and eligible population'!I50</f>
        <v>1102503.1239705968</v>
      </c>
      <c r="H7" s="385">
        <f>'Inputs and eligible population'!J50</f>
        <v>1126490.8457821449</v>
      </c>
      <c r="I7" s="385">
        <f>'Inputs and eligible population'!K50</f>
        <v>1151000.4806705792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3"/>
      <c r="AK7" s="283"/>
      <c r="AL7" s="283"/>
      <c r="AM7" s="283"/>
      <c r="AN7" s="283"/>
    </row>
    <row r="8" spans="1:40" x14ac:dyDescent="0.25">
      <c r="B8" s="225" t="s">
        <v>1091</v>
      </c>
      <c r="C8" s="168"/>
      <c r="D8" s="385">
        <f>'Inputs and eligible population'!F51</f>
        <v>132540.29962918357</v>
      </c>
      <c r="E8" s="385">
        <f>'Inputs and eligible population'!G51</f>
        <v>135424.04641157264</v>
      </c>
      <c r="F8" s="385">
        <f>'Inputs and eligible population'!H51</f>
        <v>138370.5363409759</v>
      </c>
      <c r="G8" s="385">
        <f>'Inputs and eligible population'!I51</f>
        <v>141381.13455198886</v>
      </c>
      <c r="H8" s="385">
        <f>'Inputs and eligible population'!J51</f>
        <v>144457.23588113539</v>
      </c>
      <c r="I8" s="385">
        <f>'Inputs and eligible population'!K51</f>
        <v>147600.26551310791</v>
      </c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83"/>
      <c r="AK8" s="283"/>
      <c r="AL8" s="283"/>
      <c r="AM8" s="283"/>
      <c r="AN8" s="283"/>
    </row>
    <row r="9" spans="1:40" x14ac:dyDescent="0.25">
      <c r="B9" s="225" t="s">
        <v>1165</v>
      </c>
      <c r="C9" s="168"/>
      <c r="D9" s="385">
        <f>'Inputs and eligible population'!F52</f>
        <v>75002.216613690936</v>
      </c>
      <c r="E9" s="385">
        <f>'Inputs and eligible population'!G52</f>
        <v>76634.078028195814</v>
      </c>
      <c r="F9" s="385">
        <f>'Inputs and eligible population'!H52</f>
        <v>78301.444682364003</v>
      </c>
      <c r="G9" s="385">
        <f>'Inputs and eligible population'!I52</f>
        <v>80005.089081772516</v>
      </c>
      <c r="H9" s="385">
        <f>'Inputs and eligible population'!J52</f>
        <v>81745.80053979544</v>
      </c>
      <c r="I9" s="385">
        <f>'Inputs and eligible population'!K52</f>
        <v>83524.385543299883</v>
      </c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J9" s="283"/>
      <c r="AK9" s="283"/>
      <c r="AL9" s="283"/>
      <c r="AM9" s="283"/>
      <c r="AN9" s="283"/>
    </row>
    <row r="10" spans="1:40" x14ac:dyDescent="0.25">
      <c r="B10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J10" s="283"/>
      <c r="AK10" s="283"/>
      <c r="AL10" s="283"/>
      <c r="AM10" s="283"/>
      <c r="AN10" s="283"/>
    </row>
    <row r="11" spans="1:40" x14ac:dyDescent="0.25">
      <c r="B11" s="276" t="s">
        <v>824</v>
      </c>
      <c r="C11" s="447"/>
      <c r="D11" s="447"/>
      <c r="E11" s="448"/>
      <c r="F11" s="447"/>
      <c r="G11" s="449"/>
      <c r="H11" s="450"/>
      <c r="I11" s="602"/>
      <c r="L11" s="723" t="s">
        <v>782</v>
      </c>
      <c r="M11" s="723" t="s">
        <v>782</v>
      </c>
      <c r="N11" s="723" t="s">
        <v>782</v>
      </c>
      <c r="O11" s="723" t="s">
        <v>782</v>
      </c>
      <c r="P11" s="723" t="s">
        <v>782</v>
      </c>
      <c r="Q11" s="723" t="s">
        <v>782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3"/>
      <c r="AK11" s="283"/>
      <c r="AL11" s="283"/>
      <c r="AM11" s="283"/>
      <c r="AN11" s="283"/>
    </row>
    <row r="12" spans="1:40" x14ac:dyDescent="0.25">
      <c r="A12" s="285"/>
      <c r="B12" s="596" t="str">
        <f>'Capacity (national prices)'!B12</f>
        <v>GP appointments - number of appointments</v>
      </c>
      <c r="C12" s="390"/>
      <c r="D12" s="430">
        <f>'Capacity (national prices)'!D12</f>
        <v>0</v>
      </c>
      <c r="E12" s="430">
        <f>'Capacity (national prices)'!E12</f>
        <v>0</v>
      </c>
      <c r="F12" s="430">
        <f>'Capacity (national prices)'!F12</f>
        <v>0</v>
      </c>
      <c r="G12" s="430">
        <f>'Capacity (national prices)'!G12</f>
        <v>0</v>
      </c>
      <c r="H12" s="430">
        <f>'Capacity (national prices)'!H12</f>
        <v>0</v>
      </c>
      <c r="I12" s="430">
        <f>'Capacity (national prices)'!I12</f>
        <v>0</v>
      </c>
      <c r="L12" s="252"/>
      <c r="M12" s="252"/>
      <c r="N12" s="252"/>
      <c r="O12" s="252"/>
      <c r="P12" s="252"/>
      <c r="Q12" s="252"/>
      <c r="R12" s="133"/>
      <c r="S12" s="133"/>
      <c r="T12" s="133"/>
      <c r="U12" s="133"/>
      <c r="V12" s="133"/>
      <c r="W12" s="133"/>
      <c r="X12" s="133"/>
      <c r="Y12" s="133"/>
      <c r="Z12" s="133"/>
      <c r="AJ12" s="283"/>
      <c r="AK12" s="283"/>
      <c r="AL12" s="283"/>
      <c r="AM12" s="283"/>
      <c r="AN12" s="283"/>
    </row>
    <row r="13" spans="1:40" x14ac:dyDescent="0.25">
      <c r="A13" s="285"/>
      <c r="B13" s="596" t="str">
        <f>'Capacity (national prices)'!B13</f>
        <v>Follow up attendances - number of appointments</v>
      </c>
      <c r="C13" s="390"/>
      <c r="D13" s="430">
        <f>'Capacity (national prices)'!D13</f>
        <v>0</v>
      </c>
      <c r="E13" s="430">
        <f>'Capacity (national prices)'!E13</f>
        <v>0</v>
      </c>
      <c r="F13" s="430">
        <f>'Capacity (national prices)'!F13</f>
        <v>0</v>
      </c>
      <c r="G13" s="430">
        <f>'Capacity (national prices)'!G13</f>
        <v>0</v>
      </c>
      <c r="H13" s="430">
        <f>'Capacity (national prices)'!H13</f>
        <v>0</v>
      </c>
      <c r="I13" s="430">
        <f>'Capacity (national prices)'!I13</f>
        <v>0</v>
      </c>
      <c r="L13" s="252"/>
      <c r="M13" s="252"/>
      <c r="N13" s="252"/>
      <c r="O13" s="252"/>
      <c r="P13" s="252"/>
      <c r="Q13" s="252"/>
      <c r="R13" s="133"/>
      <c r="S13" s="133"/>
      <c r="T13" s="133"/>
      <c r="U13" s="133"/>
      <c r="V13" s="133"/>
      <c r="W13" s="133"/>
      <c r="X13" s="133"/>
      <c r="Y13" s="133"/>
      <c r="Z13" s="133"/>
      <c r="AJ13" s="283"/>
      <c r="AK13" s="283"/>
      <c r="AL13" s="283"/>
      <c r="AM13" s="283"/>
      <c r="AN13" s="283"/>
    </row>
    <row r="14" spans="1:40" x14ac:dyDescent="0.25">
      <c r="A14" s="285"/>
      <c r="B14" s="596" t="str">
        <f>B31</f>
        <v>GP appointments - hours and cost</v>
      </c>
      <c r="C14" s="390"/>
      <c r="D14" s="430">
        <f>D34</f>
        <v>0</v>
      </c>
      <c r="E14" s="430">
        <f t="shared" ref="E14:I14" si="0">E34</f>
        <v>0</v>
      </c>
      <c r="F14" s="430">
        <f t="shared" si="0"/>
        <v>0</v>
      </c>
      <c r="G14" s="430">
        <f t="shared" si="0"/>
        <v>0</v>
      </c>
      <c r="H14" s="430">
        <f t="shared" si="0"/>
        <v>0</v>
      </c>
      <c r="I14" s="430">
        <f t="shared" si="0"/>
        <v>0</v>
      </c>
      <c r="L14" s="289">
        <f>L34</f>
        <v>0</v>
      </c>
      <c r="M14" s="289">
        <f t="shared" ref="M14:P14" si="1">M34</f>
        <v>0</v>
      </c>
      <c r="N14" s="289">
        <f t="shared" si="1"/>
        <v>0</v>
      </c>
      <c r="O14" s="289">
        <f t="shared" si="1"/>
        <v>0</v>
      </c>
      <c r="P14" s="289">
        <f t="shared" si="1"/>
        <v>0</v>
      </c>
      <c r="Q14" s="289">
        <f>Q34</f>
        <v>0</v>
      </c>
      <c r="R14" s="133"/>
      <c r="S14" s="133"/>
      <c r="T14" s="133"/>
      <c r="U14" s="133"/>
      <c r="V14" s="133"/>
      <c r="W14" s="133"/>
      <c r="X14" s="133"/>
      <c r="Y14" s="133"/>
      <c r="Z14" s="133"/>
      <c r="AJ14" s="283"/>
      <c r="AK14" s="283"/>
      <c r="AL14" s="283"/>
      <c r="AM14" s="283"/>
      <c r="AN14" s="283"/>
    </row>
    <row r="15" spans="1:40" x14ac:dyDescent="0.25">
      <c r="A15" s="285"/>
      <c r="B15" s="596" t="str">
        <f>B37</f>
        <v>Follow up attendances hours and cost</v>
      </c>
      <c r="C15" s="390"/>
      <c r="D15" s="430">
        <f>D48</f>
        <v>0</v>
      </c>
      <c r="E15" s="430">
        <f t="shared" ref="E15:I15" si="2">E48</f>
        <v>0</v>
      </c>
      <c r="F15" s="430">
        <f t="shared" si="2"/>
        <v>0</v>
      </c>
      <c r="G15" s="430">
        <f t="shared" si="2"/>
        <v>0</v>
      </c>
      <c r="H15" s="430">
        <f t="shared" si="2"/>
        <v>0</v>
      </c>
      <c r="I15" s="430">
        <f t="shared" si="2"/>
        <v>0</v>
      </c>
      <c r="L15" s="289">
        <f>L48</f>
        <v>0</v>
      </c>
      <c r="M15" s="289">
        <f t="shared" ref="M15:P15" si="3">M48</f>
        <v>0</v>
      </c>
      <c r="N15" s="289">
        <f t="shared" si="3"/>
        <v>0</v>
      </c>
      <c r="O15" s="289">
        <f t="shared" si="3"/>
        <v>0</v>
      </c>
      <c r="P15" s="289">
        <f t="shared" si="3"/>
        <v>0</v>
      </c>
      <c r="Q15" s="289">
        <f>Q48</f>
        <v>0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83"/>
      <c r="AK15" s="283"/>
      <c r="AL15" s="283"/>
      <c r="AM15" s="283"/>
      <c r="AN15" s="283"/>
    </row>
    <row r="16" spans="1:40" x14ac:dyDescent="0.25">
      <c r="A16" s="292"/>
      <c r="B16" s="453" t="str">
        <f>B52</f>
        <v>Number of administrations</v>
      </c>
      <c r="C16" s="424"/>
      <c r="D16" s="423">
        <f>D55</f>
        <v>0</v>
      </c>
      <c r="E16" s="423">
        <f t="shared" ref="E16:I16" si="4">E55</f>
        <v>0</v>
      </c>
      <c r="F16" s="423">
        <f t="shared" si="4"/>
        <v>0</v>
      </c>
      <c r="G16" s="423">
        <f t="shared" si="4"/>
        <v>0</v>
      </c>
      <c r="H16" s="423">
        <f t="shared" si="4"/>
        <v>0</v>
      </c>
      <c r="I16" s="423">
        <f t="shared" si="4"/>
        <v>0</v>
      </c>
      <c r="L16" s="206"/>
      <c r="M16" s="206"/>
      <c r="N16" s="206"/>
      <c r="O16" s="206"/>
      <c r="P16" s="422"/>
      <c r="Q16" s="422"/>
      <c r="R16" s="133"/>
      <c r="S16" s="133"/>
      <c r="T16" s="133"/>
      <c r="U16" s="133"/>
      <c r="V16" s="133"/>
      <c r="W16" s="133"/>
      <c r="X16" s="133"/>
      <c r="Y16" s="133"/>
      <c r="Z16" s="133"/>
      <c r="AJ16" s="283"/>
      <c r="AK16" s="283"/>
      <c r="AL16" s="283"/>
      <c r="AM16" s="283"/>
      <c r="AN16" s="283"/>
    </row>
    <row r="17" spans="1:40" x14ac:dyDescent="0.25">
      <c r="A17" s="284"/>
      <c r="B17" s="454" t="str">
        <f>B68</f>
        <v>Administrations - duration of administrations (hours)</v>
      </c>
      <c r="C17" s="461"/>
      <c r="D17" s="425">
        <f>D74</f>
        <v>0</v>
      </c>
      <c r="E17" s="425">
        <f t="shared" ref="E17:I17" si="5">E74</f>
        <v>0</v>
      </c>
      <c r="F17" s="425">
        <f t="shared" si="5"/>
        <v>0</v>
      </c>
      <c r="G17" s="425">
        <f t="shared" si="5"/>
        <v>0</v>
      </c>
      <c r="H17" s="425">
        <f t="shared" si="5"/>
        <v>0</v>
      </c>
      <c r="I17" s="425">
        <f t="shared" si="5"/>
        <v>0</v>
      </c>
      <c r="L17" s="289">
        <f>L74</f>
        <v>0</v>
      </c>
      <c r="M17" s="289">
        <f t="shared" ref="M17:Q17" si="6">M74</f>
        <v>0</v>
      </c>
      <c r="N17" s="289">
        <f t="shared" si="6"/>
        <v>0</v>
      </c>
      <c r="O17" s="289">
        <f t="shared" si="6"/>
        <v>0</v>
      </c>
      <c r="P17" s="289">
        <f t="shared" si="6"/>
        <v>0</v>
      </c>
      <c r="Q17" s="289">
        <f t="shared" si="6"/>
        <v>0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3"/>
      <c r="AK17" s="283"/>
      <c r="AL17" s="283"/>
      <c r="AM17" s="283"/>
      <c r="AN17" s="283"/>
    </row>
    <row r="18" spans="1:40" x14ac:dyDescent="0.25">
      <c r="A18" s="284"/>
      <c r="B18" s="454" t="str">
        <f>B77</f>
        <v>Preparation time before administration (hours)</v>
      </c>
      <c r="C18" s="461"/>
      <c r="D18" s="425">
        <f>D83</f>
        <v>0</v>
      </c>
      <c r="E18" s="425">
        <f t="shared" ref="E18:I18" si="7">E83</f>
        <v>0</v>
      </c>
      <c r="F18" s="425">
        <f t="shared" si="7"/>
        <v>0</v>
      </c>
      <c r="G18" s="425">
        <f t="shared" si="7"/>
        <v>0</v>
      </c>
      <c r="H18" s="425">
        <f t="shared" si="7"/>
        <v>0</v>
      </c>
      <c r="I18" s="425">
        <f t="shared" si="7"/>
        <v>0</v>
      </c>
      <c r="L18" s="289">
        <f>L83</f>
        <v>0</v>
      </c>
      <c r="M18" s="289">
        <f t="shared" ref="M18:Q18" si="8">M83</f>
        <v>0</v>
      </c>
      <c r="N18" s="289">
        <f t="shared" si="8"/>
        <v>0</v>
      </c>
      <c r="O18" s="289">
        <f t="shared" si="8"/>
        <v>0</v>
      </c>
      <c r="P18" s="289">
        <f t="shared" si="8"/>
        <v>0</v>
      </c>
      <c r="Q18" s="289">
        <f t="shared" si="8"/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3"/>
      <c r="AK18" s="283"/>
      <c r="AL18" s="283"/>
      <c r="AM18" s="283"/>
      <c r="AN18" s="283"/>
    </row>
    <row r="19" spans="1:40" x14ac:dyDescent="0.25">
      <c r="A19" s="284"/>
      <c r="B19" s="454" t="str">
        <f>B86</f>
        <v>Post administration nursing time (hours)</v>
      </c>
      <c r="C19" s="461"/>
      <c r="D19" s="425">
        <f>D92</f>
        <v>0</v>
      </c>
      <c r="E19" s="426">
        <f t="shared" ref="E19:I19" si="9">E92</f>
        <v>0</v>
      </c>
      <c r="F19" s="425">
        <f t="shared" si="9"/>
        <v>0</v>
      </c>
      <c r="G19" s="425">
        <f t="shared" si="9"/>
        <v>0</v>
      </c>
      <c r="H19" s="425">
        <f t="shared" si="9"/>
        <v>0</v>
      </c>
      <c r="I19" s="425">
        <f t="shared" si="9"/>
        <v>0</v>
      </c>
      <c r="L19" s="289">
        <f>L92</f>
        <v>0</v>
      </c>
      <c r="M19" s="289">
        <f t="shared" ref="M19:Q19" si="10">M92</f>
        <v>0</v>
      </c>
      <c r="N19" s="289">
        <f t="shared" si="10"/>
        <v>0</v>
      </c>
      <c r="O19" s="289">
        <f t="shared" si="10"/>
        <v>0</v>
      </c>
      <c r="P19" s="289">
        <f t="shared" si="10"/>
        <v>0</v>
      </c>
      <c r="Q19" s="289">
        <f t="shared" si="10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3"/>
      <c r="AK19" s="283"/>
      <c r="AL19" s="283"/>
      <c r="AM19" s="283"/>
      <c r="AN19" s="283"/>
    </row>
    <row r="20" spans="1:40" x14ac:dyDescent="0.25">
      <c r="A20" s="286"/>
      <c r="B20" s="455" t="str">
        <f>B96</f>
        <v>Drug regimen prep (hours)</v>
      </c>
      <c r="C20" s="462"/>
      <c r="D20" s="427">
        <f>D102</f>
        <v>0</v>
      </c>
      <c r="E20" s="427">
        <f t="shared" ref="E20:I20" si="11">E102</f>
        <v>0</v>
      </c>
      <c r="F20" s="427">
        <f t="shared" si="11"/>
        <v>0</v>
      </c>
      <c r="G20" s="427">
        <f t="shared" si="11"/>
        <v>0</v>
      </c>
      <c r="H20" s="427">
        <f t="shared" si="11"/>
        <v>0</v>
      </c>
      <c r="I20" s="427">
        <f t="shared" si="11"/>
        <v>0</v>
      </c>
      <c r="L20" s="289">
        <f>L102</f>
        <v>0</v>
      </c>
      <c r="M20" s="289">
        <f t="shared" ref="M20:Q20" si="12">M102</f>
        <v>0</v>
      </c>
      <c r="N20" s="289">
        <f t="shared" si="12"/>
        <v>0</v>
      </c>
      <c r="O20" s="289">
        <f t="shared" si="12"/>
        <v>0</v>
      </c>
      <c r="P20" s="289">
        <f t="shared" si="12"/>
        <v>0</v>
      </c>
      <c r="Q20" s="289">
        <f t="shared" si="12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3"/>
      <c r="AK20" s="283"/>
      <c r="AL20" s="283"/>
      <c r="AM20" s="283"/>
      <c r="AN20" s="283"/>
    </row>
    <row r="21" spans="1:40" hidden="1" x14ac:dyDescent="0.25">
      <c r="A21" s="332"/>
      <c r="B21" s="457" t="str">
        <f>B106</f>
        <v>Appointments with supporting specialty x</v>
      </c>
      <c r="C21" s="463"/>
      <c r="D21" s="431">
        <f>D111</f>
        <v>0</v>
      </c>
      <c r="E21" s="431">
        <f t="shared" ref="E21:I21" si="13">E111</f>
        <v>0</v>
      </c>
      <c r="F21" s="431">
        <f t="shared" si="13"/>
        <v>0</v>
      </c>
      <c r="G21" s="431">
        <f t="shared" si="13"/>
        <v>0</v>
      </c>
      <c r="H21" s="431">
        <f t="shared" si="13"/>
        <v>0</v>
      </c>
      <c r="I21" s="431">
        <f t="shared" si="13"/>
        <v>0</v>
      </c>
      <c r="L21" s="289">
        <f>L111</f>
        <v>0</v>
      </c>
      <c r="M21" s="289">
        <f t="shared" ref="M21:Q21" si="14">M111</f>
        <v>0</v>
      </c>
      <c r="N21" s="289">
        <f t="shared" si="14"/>
        <v>0</v>
      </c>
      <c r="O21" s="289">
        <f t="shared" si="14"/>
        <v>0</v>
      </c>
      <c r="P21" s="289">
        <f t="shared" si="14"/>
        <v>0</v>
      </c>
      <c r="Q21" s="289">
        <f t="shared" si="14"/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3"/>
      <c r="AK21" s="283"/>
      <c r="AL21" s="283"/>
      <c r="AM21" s="283"/>
      <c r="AN21" s="283"/>
    </row>
    <row r="22" spans="1:40" hidden="1" x14ac:dyDescent="0.25">
      <c r="A22" s="287"/>
      <c r="B22" s="458" t="str">
        <f>B115</f>
        <v>Imaging MRI scans</v>
      </c>
      <c r="C22" s="464"/>
      <c r="D22" s="432">
        <f>D120</f>
        <v>0</v>
      </c>
      <c r="E22" s="432">
        <f t="shared" ref="E22:I22" si="15">E120</f>
        <v>0</v>
      </c>
      <c r="F22" s="432">
        <f t="shared" si="15"/>
        <v>0</v>
      </c>
      <c r="G22" s="432">
        <f t="shared" si="15"/>
        <v>0</v>
      </c>
      <c r="H22" s="432">
        <f t="shared" si="15"/>
        <v>0</v>
      </c>
      <c r="I22" s="432">
        <f t="shared" si="15"/>
        <v>0</v>
      </c>
      <c r="L22" s="289">
        <f>L120</f>
        <v>0</v>
      </c>
      <c r="M22" s="289">
        <f t="shared" ref="M22:Q22" si="16">M120</f>
        <v>0</v>
      </c>
      <c r="N22" s="289">
        <f t="shared" si="16"/>
        <v>0</v>
      </c>
      <c r="O22" s="289">
        <f t="shared" si="16"/>
        <v>0</v>
      </c>
      <c r="P22" s="289">
        <f t="shared" si="16"/>
        <v>0</v>
      </c>
      <c r="Q22" s="289">
        <f t="shared" si="16"/>
        <v>0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83"/>
      <c r="AK22" s="283"/>
      <c r="AL22" s="283"/>
      <c r="AM22" s="283"/>
      <c r="AN22" s="283"/>
    </row>
    <row r="23" spans="1:40" hidden="1" x14ac:dyDescent="0.25">
      <c r="A23" s="287"/>
      <c r="B23" s="458" t="str">
        <f>B123</f>
        <v>Liver function tests per person</v>
      </c>
      <c r="C23" s="464"/>
      <c r="D23" s="432">
        <f>D128</f>
        <v>0</v>
      </c>
      <c r="E23" s="432">
        <f t="shared" ref="E23:I23" si="17">E128</f>
        <v>0</v>
      </c>
      <c r="F23" s="432">
        <f t="shared" si="17"/>
        <v>0</v>
      </c>
      <c r="G23" s="432">
        <f t="shared" si="17"/>
        <v>0</v>
      </c>
      <c r="H23" s="432">
        <f t="shared" si="17"/>
        <v>0</v>
      </c>
      <c r="I23" s="432">
        <f t="shared" si="17"/>
        <v>0</v>
      </c>
      <c r="L23" s="289">
        <f>L128</f>
        <v>0</v>
      </c>
      <c r="M23" s="289">
        <f t="shared" ref="M23:Q23" si="18">M128</f>
        <v>0</v>
      </c>
      <c r="N23" s="289">
        <f t="shared" si="18"/>
        <v>0</v>
      </c>
      <c r="O23" s="289">
        <f t="shared" si="18"/>
        <v>0</v>
      </c>
      <c r="P23" s="289">
        <f t="shared" si="18"/>
        <v>0</v>
      </c>
      <c r="Q23" s="289">
        <f t="shared" si="18"/>
        <v>0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83"/>
      <c r="AK23" s="283"/>
      <c r="AL23" s="283"/>
      <c r="AM23" s="283"/>
      <c r="AN23" s="283"/>
    </row>
    <row r="24" spans="1:40" hidden="1" x14ac:dyDescent="0.25">
      <c r="A24" s="287"/>
      <c r="B24" s="458" t="str">
        <f>B131</f>
        <v>Genomic tests</v>
      </c>
      <c r="C24" s="464"/>
      <c r="D24" s="432">
        <f>D136</f>
        <v>0</v>
      </c>
      <c r="E24" s="432">
        <f t="shared" ref="E24:I24" si="19">E136</f>
        <v>0</v>
      </c>
      <c r="F24" s="432">
        <f t="shared" si="19"/>
        <v>0</v>
      </c>
      <c r="G24" s="432">
        <f t="shared" si="19"/>
        <v>0</v>
      </c>
      <c r="H24" s="432">
        <f t="shared" si="19"/>
        <v>0</v>
      </c>
      <c r="I24" s="432">
        <f t="shared" si="19"/>
        <v>0</v>
      </c>
      <c r="L24" s="206"/>
      <c r="M24" s="206"/>
      <c r="N24" s="206"/>
      <c r="O24" s="206"/>
      <c r="P24" s="422"/>
      <c r="Q24" s="422"/>
      <c r="R24" s="133"/>
      <c r="S24" s="133"/>
      <c r="T24" s="133"/>
      <c r="U24" s="133"/>
      <c r="V24" s="133"/>
      <c r="W24" s="133"/>
      <c r="X24" s="133"/>
      <c r="Y24" s="133"/>
      <c r="Z24" s="133"/>
      <c r="AJ24" s="283"/>
      <c r="AK24" s="283"/>
      <c r="AL24" s="283"/>
      <c r="AM24" s="283"/>
      <c r="AN24" s="283"/>
    </row>
    <row r="25" spans="1:40" hidden="1" x14ac:dyDescent="0.25">
      <c r="A25" s="287"/>
      <c r="B25" s="459" t="str">
        <f>B139</f>
        <v>Genomics staffing impact (hours)</v>
      </c>
      <c r="C25" s="443"/>
      <c r="D25" s="432">
        <f>D144</f>
        <v>0</v>
      </c>
      <c r="E25" s="432">
        <f t="shared" ref="E25:I25" si="20">E144</f>
        <v>0</v>
      </c>
      <c r="F25" s="432">
        <f t="shared" si="20"/>
        <v>0</v>
      </c>
      <c r="G25" s="432">
        <f t="shared" si="20"/>
        <v>0</v>
      </c>
      <c r="H25" s="432">
        <f t="shared" si="20"/>
        <v>0</v>
      </c>
      <c r="I25" s="432">
        <f t="shared" si="20"/>
        <v>0</v>
      </c>
      <c r="J25" s="133"/>
      <c r="K25" s="133"/>
      <c r="L25" s="289">
        <f>L144</f>
        <v>0</v>
      </c>
      <c r="M25" s="289">
        <f t="shared" ref="M25:Q25" si="21">M144</f>
        <v>0</v>
      </c>
      <c r="N25" s="289">
        <f t="shared" si="21"/>
        <v>0</v>
      </c>
      <c r="O25" s="289">
        <f t="shared" si="21"/>
        <v>0</v>
      </c>
      <c r="P25" s="289">
        <f t="shared" si="21"/>
        <v>0</v>
      </c>
      <c r="Q25" s="289">
        <f t="shared" si="21"/>
        <v>0</v>
      </c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40" hidden="1" x14ac:dyDescent="0.25">
      <c r="A26" s="288"/>
      <c r="B26" s="460" t="str">
        <f>B148</f>
        <v>Adverse events, various (cases)</v>
      </c>
      <c r="C26" s="438"/>
      <c r="D26" s="433">
        <f>D157</f>
        <v>0</v>
      </c>
      <c r="E26" s="433">
        <f t="shared" ref="E26:I26" si="22">E157</f>
        <v>0</v>
      </c>
      <c r="F26" s="433">
        <f t="shared" si="22"/>
        <v>0</v>
      </c>
      <c r="G26" s="433">
        <f t="shared" si="22"/>
        <v>0</v>
      </c>
      <c r="H26" s="433">
        <f t="shared" si="22"/>
        <v>0</v>
      </c>
      <c r="I26" s="433">
        <f t="shared" si="22"/>
        <v>0</v>
      </c>
      <c r="J26" s="133"/>
      <c r="K26" s="133"/>
      <c r="L26" s="289">
        <f>L157</f>
        <v>0</v>
      </c>
      <c r="M26" s="289">
        <f>M157</f>
        <v>0</v>
      </c>
      <c r="N26" s="289">
        <f t="shared" ref="N26:Q26" si="23">N157</f>
        <v>0</v>
      </c>
      <c r="O26" s="289">
        <f t="shared" si="23"/>
        <v>0</v>
      </c>
      <c r="P26" s="289">
        <f t="shared" si="23"/>
        <v>0</v>
      </c>
      <c r="Q26" s="289">
        <f t="shared" si="23"/>
        <v>0</v>
      </c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40" x14ac:dyDescent="0.25">
      <c r="B27" s="247"/>
      <c r="D27" s="283"/>
      <c r="F27" s="133"/>
      <c r="G27" s="133"/>
      <c r="H27" s="133"/>
      <c r="I27" s="133"/>
      <c r="J27" s="133"/>
      <c r="K27" s="133"/>
      <c r="L27" s="290">
        <f t="shared" ref="L27:Q27" si="24">SUM(L14:L26)</f>
        <v>0</v>
      </c>
      <c r="M27" s="290">
        <f t="shared" si="24"/>
        <v>0</v>
      </c>
      <c r="N27" s="290">
        <f t="shared" si="24"/>
        <v>0</v>
      </c>
      <c r="O27" s="290">
        <f t="shared" si="24"/>
        <v>0</v>
      </c>
      <c r="P27" s="290">
        <f t="shared" si="24"/>
        <v>0</v>
      </c>
      <c r="Q27" s="290">
        <f t="shared" si="24"/>
        <v>0</v>
      </c>
      <c r="R27" s="133"/>
      <c r="S27" s="133"/>
      <c r="T27" s="133"/>
      <c r="U27" s="133"/>
      <c r="V27" s="133"/>
      <c r="W27" s="133"/>
      <c r="X27" s="133"/>
      <c r="Y27" s="133"/>
      <c r="Z27" s="133"/>
    </row>
    <row r="28" spans="1:40" x14ac:dyDescent="0.25">
      <c r="B28" s="320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P28" s="133"/>
      <c r="Q28" s="133"/>
      <c r="R28" s="133"/>
      <c r="S28" s="133"/>
      <c r="V28" s="133"/>
      <c r="W28" s="133"/>
      <c r="X28" s="133"/>
      <c r="Y28" s="133"/>
      <c r="Z28" s="133"/>
      <c r="AJ28" s="283"/>
      <c r="AK28" s="283"/>
      <c r="AL28" s="283"/>
      <c r="AM28" s="283"/>
      <c r="AN28" s="283"/>
    </row>
    <row r="29" spans="1:40" x14ac:dyDescent="0.25">
      <c r="B29" s="377" t="s">
        <v>825</v>
      </c>
      <c r="C29" s="378"/>
      <c r="D29" s="378"/>
      <c r="E29" s="379"/>
      <c r="F29" s="378"/>
      <c r="G29" s="380"/>
      <c r="H29" s="381"/>
      <c r="I29" s="381"/>
      <c r="J29" s="381"/>
      <c r="K29" s="381"/>
      <c r="L29" s="381"/>
      <c r="M29" s="381"/>
      <c r="N29" s="381"/>
      <c r="O29" s="381"/>
      <c r="P29" s="381"/>
      <c r="Q29" s="382"/>
      <c r="R29" s="133"/>
      <c r="S29" s="133"/>
      <c r="T29" s="133"/>
      <c r="U29" s="133"/>
      <c r="V29" s="133"/>
      <c r="W29" s="133"/>
      <c r="X29" s="133"/>
      <c r="Y29" s="133"/>
      <c r="Z29" s="133"/>
      <c r="AJ29" s="283"/>
      <c r="AK29" s="283"/>
      <c r="AL29" s="283"/>
      <c r="AM29" s="283"/>
      <c r="AN29" s="283"/>
    </row>
    <row r="30" spans="1:40" x14ac:dyDescent="0.25">
      <c r="A30" s="285"/>
      <c r="B30" s="593" t="s">
        <v>699</v>
      </c>
      <c r="C30" s="586"/>
      <c r="D30" s="587"/>
      <c r="E30" s="588"/>
      <c r="F30" s="285"/>
      <c r="G30" s="285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133"/>
      <c r="S30" s="133"/>
      <c r="T30" s="133"/>
      <c r="U30" s="133"/>
      <c r="V30" s="133"/>
      <c r="W30" s="133"/>
      <c r="X30" s="133"/>
      <c r="Y30" s="133"/>
      <c r="Z30" s="133"/>
      <c r="AJ30" s="283"/>
      <c r="AK30" s="283"/>
      <c r="AL30" s="283"/>
      <c r="AM30" s="283"/>
      <c r="AN30" s="283"/>
    </row>
    <row r="31" spans="1:40" x14ac:dyDescent="0.25">
      <c r="A31" s="584"/>
      <c r="B31" s="589" t="s">
        <v>1072</v>
      </c>
      <c r="C31" s="400"/>
      <c r="D31" s="400"/>
      <c r="E31" s="400"/>
      <c r="F31" s="400"/>
      <c r="G31" s="400"/>
      <c r="H31" s="400"/>
      <c r="I31" s="217"/>
      <c r="J31" s="218"/>
      <c r="K31" s="218"/>
      <c r="L31" s="218"/>
      <c r="M31" s="218"/>
      <c r="N31" s="218"/>
      <c r="O31" s="218"/>
      <c r="P31" s="218"/>
      <c r="Q31" s="218"/>
      <c r="R31" s="133"/>
      <c r="S31" s="133"/>
      <c r="T31" s="133"/>
      <c r="U31" s="133"/>
      <c r="V31" s="133"/>
      <c r="W31" s="133"/>
      <c r="X31" s="133"/>
      <c r="Y31" s="133"/>
      <c r="Z31" s="133"/>
      <c r="AJ31" s="283"/>
      <c r="AK31" s="283"/>
      <c r="AL31" s="283"/>
      <c r="AM31" s="283"/>
      <c r="AN31" s="283"/>
    </row>
    <row r="32" spans="1:40" ht="45" x14ac:dyDescent="0.25">
      <c r="A32" s="584"/>
      <c r="B32" s="319" t="s">
        <v>758</v>
      </c>
      <c r="C32" s="166" t="s">
        <v>826</v>
      </c>
      <c r="D32" s="428" t="s">
        <v>820</v>
      </c>
      <c r="E32" s="256" t="s">
        <v>666</v>
      </c>
      <c r="F32" s="256" t="s">
        <v>667</v>
      </c>
      <c r="G32" s="165" t="s">
        <v>777</v>
      </c>
      <c r="H32" s="165" t="s">
        <v>778</v>
      </c>
      <c r="I32" s="256" t="s">
        <v>779</v>
      </c>
      <c r="J32" s="592"/>
      <c r="K32" s="583" t="s">
        <v>827</v>
      </c>
      <c r="L32" s="428" t="s">
        <v>820</v>
      </c>
      <c r="M32" s="563" t="s">
        <v>666</v>
      </c>
      <c r="N32" s="563" t="s">
        <v>667</v>
      </c>
      <c r="O32" s="429" t="s">
        <v>777</v>
      </c>
      <c r="P32" s="429" t="s">
        <v>778</v>
      </c>
      <c r="Q32" s="563" t="s">
        <v>779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3"/>
      <c r="AK32" s="283"/>
      <c r="AL32" s="283"/>
      <c r="AM32" s="283"/>
      <c r="AN32" s="283"/>
    </row>
    <row r="33" spans="1:40" x14ac:dyDescent="0.25">
      <c r="A33" s="584"/>
      <c r="B33" s="352" t="s">
        <v>1051</v>
      </c>
      <c r="C33" s="149">
        <f>'Inputs and eligible population'!F103</f>
        <v>2</v>
      </c>
      <c r="D33" s="128">
        <f>'Financial impact (cash)'!D15*$C$33*'Inputs and eligible population'!$F$104/60</f>
        <v>0</v>
      </c>
      <c r="E33" s="128">
        <f>'Financial impact (cash)'!E15*$C$33*'Inputs and eligible population'!$F$104/60</f>
        <v>0</v>
      </c>
      <c r="F33" s="128">
        <f>'Financial impact (cash)'!F15*$C$33*'Inputs and eligible population'!$F$104/60</f>
        <v>0</v>
      </c>
      <c r="G33" s="128">
        <f>'Financial impact (cash)'!G15*$C$33*'Inputs and eligible population'!$F$104/60</f>
        <v>0</v>
      </c>
      <c r="H33" s="128">
        <f>'Financial impact (cash)'!H15*$C$33*'Inputs and eligible population'!$F$104/60</f>
        <v>0</v>
      </c>
      <c r="I33" s="128">
        <f>'Financial impact (cash)'!I15*$C$33*'Inputs and eligible population'!$F$104/60</f>
        <v>0</v>
      </c>
      <c r="J33" s="592"/>
      <c r="K33" s="595">
        <f>'Inputs and eligible population'!Q104</f>
        <v>89.44</v>
      </c>
      <c r="L33" s="597">
        <f>$K33/1000*D33</f>
        <v>0</v>
      </c>
      <c r="M33" s="597">
        <f t="shared" ref="M33:P33" si="25">$K33/1000*E33</f>
        <v>0</v>
      </c>
      <c r="N33" s="597">
        <f t="shared" si="25"/>
        <v>0</v>
      </c>
      <c r="O33" s="597">
        <f t="shared" si="25"/>
        <v>0</v>
      </c>
      <c r="P33" s="597">
        <f t="shared" si="25"/>
        <v>0</v>
      </c>
      <c r="Q33" s="597">
        <f>$K33/1000*I33</f>
        <v>0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3"/>
      <c r="AK33" s="283"/>
      <c r="AL33" s="283"/>
      <c r="AM33" s="283"/>
      <c r="AN33" s="283"/>
    </row>
    <row r="34" spans="1:40" x14ac:dyDescent="0.25">
      <c r="A34" s="584"/>
      <c r="B34" s="545"/>
      <c r="C34" s="280"/>
      <c r="D34" s="186">
        <f t="shared" ref="D34:I34" si="26">SUM(D33:D33)</f>
        <v>0</v>
      </c>
      <c r="E34" s="186">
        <f t="shared" si="26"/>
        <v>0</v>
      </c>
      <c r="F34" s="186">
        <f t="shared" si="26"/>
        <v>0</v>
      </c>
      <c r="G34" s="186">
        <f t="shared" si="26"/>
        <v>0</v>
      </c>
      <c r="H34" s="186">
        <f t="shared" si="26"/>
        <v>0</v>
      </c>
      <c r="I34" s="186">
        <f t="shared" si="26"/>
        <v>0</v>
      </c>
      <c r="J34" s="592"/>
      <c r="K34" s="218"/>
      <c r="L34" s="290">
        <f t="shared" ref="L34:Q34" si="27">SUM(L33:L33)</f>
        <v>0</v>
      </c>
      <c r="M34" s="290">
        <f t="shared" si="27"/>
        <v>0</v>
      </c>
      <c r="N34" s="290">
        <f t="shared" si="27"/>
        <v>0</v>
      </c>
      <c r="O34" s="290">
        <f t="shared" si="27"/>
        <v>0</v>
      </c>
      <c r="P34" s="290">
        <f t="shared" si="27"/>
        <v>0</v>
      </c>
      <c r="Q34" s="290">
        <f t="shared" si="27"/>
        <v>0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3"/>
      <c r="AK34" s="283"/>
      <c r="AL34" s="283"/>
      <c r="AM34" s="283"/>
      <c r="AN34" s="283"/>
    </row>
    <row r="35" spans="1:40" x14ac:dyDescent="0.25">
      <c r="A35" s="584"/>
      <c r="B35" s="257"/>
      <c r="C35" s="257"/>
      <c r="D35" s="282" t="s">
        <v>1070</v>
      </c>
      <c r="E35" s="186">
        <f>E34-$D$34</f>
        <v>0</v>
      </c>
      <c r="F35" s="186">
        <f>F34-$D$34</f>
        <v>0</v>
      </c>
      <c r="G35" s="186">
        <f>G34-$D$34</f>
        <v>0</v>
      </c>
      <c r="H35" s="186">
        <f>H34-$D$34</f>
        <v>0</v>
      </c>
      <c r="I35" s="186">
        <f>I34-$D$34</f>
        <v>0</v>
      </c>
      <c r="J35" s="592"/>
      <c r="K35" s="218"/>
      <c r="L35" s="218"/>
      <c r="M35" s="290">
        <f>M34-$L34</f>
        <v>0</v>
      </c>
      <c r="N35" s="290">
        <f t="shared" ref="N35:P35" si="28">N34-$L34</f>
        <v>0</v>
      </c>
      <c r="O35" s="290">
        <f t="shared" si="28"/>
        <v>0</v>
      </c>
      <c r="P35" s="290">
        <f t="shared" si="28"/>
        <v>0</v>
      </c>
      <c r="Q35" s="290">
        <f>Q34-$L34</f>
        <v>0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3"/>
      <c r="AK35" s="283"/>
      <c r="AL35" s="283"/>
      <c r="AM35" s="283"/>
      <c r="AN35" s="283"/>
    </row>
    <row r="36" spans="1:40" x14ac:dyDescent="0.25">
      <c r="A36" s="285"/>
      <c r="B36" s="585"/>
      <c r="C36" s="586"/>
      <c r="D36" s="587"/>
      <c r="E36" s="588"/>
      <c r="F36" s="285"/>
      <c r="G36" s="285"/>
      <c r="H36" s="285"/>
      <c r="I36" s="306"/>
      <c r="J36" s="218"/>
      <c r="K36" s="218"/>
      <c r="L36" s="218"/>
      <c r="M36" s="218"/>
      <c r="N36" s="218"/>
      <c r="O36" s="218"/>
      <c r="P36" s="218"/>
      <c r="Q36" s="218"/>
      <c r="R36" s="133"/>
      <c r="S36" s="133"/>
      <c r="T36" s="133"/>
      <c r="U36" s="133"/>
      <c r="V36" s="133"/>
      <c r="W36" s="133"/>
      <c r="X36" s="133"/>
      <c r="Y36" s="133"/>
      <c r="Z36" s="133"/>
      <c r="AJ36" s="283"/>
      <c r="AK36" s="283"/>
      <c r="AL36" s="283"/>
      <c r="AM36" s="283"/>
      <c r="AN36" s="283"/>
    </row>
    <row r="37" spans="1:40" x14ac:dyDescent="0.25">
      <c r="A37" s="285"/>
      <c r="B37" s="399" t="s">
        <v>829</v>
      </c>
      <c r="C37" s="400"/>
      <c r="D37" s="400"/>
      <c r="E37" s="400"/>
      <c r="F37" s="400"/>
      <c r="G37" s="400"/>
      <c r="H37" s="400"/>
      <c r="I37" s="217"/>
      <c r="J37" s="218"/>
      <c r="K37" s="218"/>
      <c r="L37" s="218"/>
      <c r="M37" s="218"/>
      <c r="N37" s="218"/>
      <c r="O37" s="218"/>
      <c r="P37" s="218"/>
      <c r="Q37" s="218"/>
      <c r="R37" s="133"/>
      <c r="S37" s="133"/>
      <c r="T37" s="133"/>
      <c r="U37" s="133"/>
      <c r="V37" s="133"/>
      <c r="W37" s="133"/>
      <c r="X37" s="133"/>
      <c r="Y37" s="133"/>
      <c r="Z37" s="133"/>
      <c r="AJ37" s="283"/>
      <c r="AK37" s="283"/>
      <c r="AL37" s="283"/>
      <c r="AM37" s="283"/>
      <c r="AN37" s="283"/>
    </row>
    <row r="38" spans="1:40" ht="45" x14ac:dyDescent="0.25">
      <c r="A38" s="285"/>
      <c r="B38" s="279" t="s">
        <v>758</v>
      </c>
      <c r="C38" s="166" t="s">
        <v>826</v>
      </c>
      <c r="D38" s="428" t="s">
        <v>820</v>
      </c>
      <c r="E38" s="256" t="s">
        <v>666</v>
      </c>
      <c r="F38" s="256" t="s">
        <v>667</v>
      </c>
      <c r="G38" s="165" t="s">
        <v>777</v>
      </c>
      <c r="H38" s="165" t="s">
        <v>778</v>
      </c>
      <c r="I38" s="256" t="s">
        <v>779</v>
      </c>
      <c r="J38" s="218"/>
      <c r="K38" s="583" t="s">
        <v>827</v>
      </c>
      <c r="L38" s="428" t="s">
        <v>820</v>
      </c>
      <c r="M38" s="563" t="s">
        <v>666</v>
      </c>
      <c r="N38" s="563" t="s">
        <v>667</v>
      </c>
      <c r="O38" s="429" t="s">
        <v>777</v>
      </c>
      <c r="P38" s="429" t="s">
        <v>778</v>
      </c>
      <c r="Q38" s="563" t="s">
        <v>779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3"/>
      <c r="AK38" s="283"/>
      <c r="AL38" s="283"/>
      <c r="AM38" s="283"/>
      <c r="AN38" s="283"/>
    </row>
    <row r="39" spans="1:40" x14ac:dyDescent="0.25">
      <c r="A39" s="285"/>
      <c r="B39" s="352" t="s">
        <v>1051</v>
      </c>
      <c r="C39" s="149">
        <f>'Inputs and eligible population'!F105</f>
        <v>0</v>
      </c>
      <c r="D39" s="128">
        <f>'Financial impact (cash)'!D15*$C$39*'Inputs and eligible population'!$F$106/60</f>
        <v>0</v>
      </c>
      <c r="E39" s="128">
        <f>'Financial impact (cash)'!E15*$C$39*'Inputs and eligible population'!$F$106/60</f>
        <v>0</v>
      </c>
      <c r="F39" s="128">
        <f>'Financial impact (cash)'!F15*$C$39*'Inputs and eligible population'!$F$106/60</f>
        <v>0</v>
      </c>
      <c r="G39" s="128">
        <f>'Financial impact (cash)'!G15*$C$39*'Inputs and eligible population'!$F$106/60</f>
        <v>0</v>
      </c>
      <c r="H39" s="128">
        <f>'Financial impact (cash)'!H15*$C$39*'Inputs and eligible population'!$F$106/60</f>
        <v>0</v>
      </c>
      <c r="I39" s="128">
        <f>'Financial impact (cash)'!I15*$C$39*'Inputs and eligible population'!$F$106/60</f>
        <v>0</v>
      </c>
      <c r="J39" s="218"/>
      <c r="K39" s="595">
        <f>'Inputs and eligible population'!$Q$106</f>
        <v>103.07</v>
      </c>
      <c r="L39" s="597">
        <f>$K39/1000*D39</f>
        <v>0</v>
      </c>
      <c r="M39" s="597">
        <f t="shared" ref="M39" si="29">$K39/1000*E39</f>
        <v>0</v>
      </c>
      <c r="N39" s="597">
        <f t="shared" ref="N39" si="30">$K39/1000*F39</f>
        <v>0</v>
      </c>
      <c r="O39" s="597">
        <f t="shared" ref="O39" si="31">$K39/1000*G39</f>
        <v>0</v>
      </c>
      <c r="P39" s="597">
        <f t="shared" ref="P39" si="32">$K39/1000*H39</f>
        <v>0</v>
      </c>
      <c r="Q39" s="597">
        <f t="shared" ref="Q39" si="33">$K39/1000*I39</f>
        <v>0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3"/>
      <c r="AK39" s="283"/>
      <c r="AL39" s="283"/>
      <c r="AM39" s="283"/>
      <c r="AN39" s="283"/>
    </row>
    <row r="40" spans="1:40" x14ac:dyDescent="0.25">
      <c r="A40" s="285"/>
      <c r="B40" s="352" t="s">
        <v>1079</v>
      </c>
      <c r="C40" s="149">
        <f>'Inputs and eligible population'!G105</f>
        <v>3</v>
      </c>
      <c r="D40" s="128">
        <f>'Financial impact (cash)'!D26*$C$40*'Inputs and eligible population'!$G$106/60</f>
        <v>0</v>
      </c>
      <c r="E40" s="128">
        <f>'Financial impact (cash)'!E26*$C$40*'Inputs and eligible population'!$G$106/60</f>
        <v>0</v>
      </c>
      <c r="F40" s="128">
        <f>'Financial impact (cash)'!F26*$C$40*'Inputs and eligible population'!$G$106/60</f>
        <v>0</v>
      </c>
      <c r="G40" s="128">
        <f>'Financial impact (cash)'!G26*$C$40*'Inputs and eligible population'!$G$106/60</f>
        <v>0</v>
      </c>
      <c r="H40" s="128">
        <f>'Financial impact (cash)'!H26*$C$40*'Inputs and eligible population'!$G$106/60</f>
        <v>0</v>
      </c>
      <c r="I40" s="128">
        <f>'Financial impact (cash)'!I26*$C$40*'Inputs and eligible population'!$G$106/60</f>
        <v>0</v>
      </c>
      <c r="J40" s="218"/>
      <c r="K40" s="595">
        <f>'Inputs and eligible population'!$Q$106</f>
        <v>103.07</v>
      </c>
      <c r="L40" s="597">
        <f t="shared" ref="L40:L47" si="34">$K40/1000*D40</f>
        <v>0</v>
      </c>
      <c r="M40" s="597">
        <f t="shared" ref="M40:M47" si="35">$K40/1000*E40</f>
        <v>0</v>
      </c>
      <c r="N40" s="597">
        <f t="shared" ref="N40:N47" si="36">$K40/1000*F40</f>
        <v>0</v>
      </c>
      <c r="O40" s="597">
        <f t="shared" ref="O40:O47" si="37">$K40/1000*G40</f>
        <v>0</v>
      </c>
      <c r="P40" s="597">
        <f t="shared" ref="P40:P47" si="38">$K40/1000*H40</f>
        <v>0</v>
      </c>
      <c r="Q40" s="597">
        <f t="shared" ref="Q40:Q47" si="39">$K40/1000*I40</f>
        <v>0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3"/>
      <c r="AK40" s="283"/>
      <c r="AL40" s="283"/>
      <c r="AM40" s="283"/>
      <c r="AN40" s="283"/>
    </row>
    <row r="41" spans="1:40" x14ac:dyDescent="0.25">
      <c r="A41" s="285"/>
      <c r="B41" s="352" t="s">
        <v>1080</v>
      </c>
      <c r="C41" s="149">
        <f>'Inputs and eligible population'!H105</f>
        <v>3</v>
      </c>
      <c r="D41" s="128">
        <f>'Financial impact (cash)'!D27*$C$41*'Inputs and eligible population'!$H$106/60</f>
        <v>0</v>
      </c>
      <c r="E41" s="128">
        <f>'Financial impact (cash)'!E27*$C$41*'Inputs and eligible population'!$H$106/60</f>
        <v>0</v>
      </c>
      <c r="F41" s="128">
        <f>'Financial impact (cash)'!F27*$C$41*'Inputs and eligible population'!$H$106/60</f>
        <v>0</v>
      </c>
      <c r="G41" s="128">
        <f>'Financial impact (cash)'!G27*$C$41*'Inputs and eligible population'!$H$106/60</f>
        <v>0</v>
      </c>
      <c r="H41" s="128">
        <f>'Financial impact (cash)'!H27*$C$41*'Inputs and eligible population'!$H$106/60</f>
        <v>0</v>
      </c>
      <c r="I41" s="128">
        <f>'Financial impact (cash)'!I27*$C$41*'Inputs and eligible population'!$H$106/60</f>
        <v>0</v>
      </c>
      <c r="J41" s="218"/>
      <c r="K41" s="595">
        <f>'Inputs and eligible population'!$Q$106</f>
        <v>103.07</v>
      </c>
      <c r="L41" s="597">
        <f t="shared" si="34"/>
        <v>0</v>
      </c>
      <c r="M41" s="597">
        <f t="shared" si="35"/>
        <v>0</v>
      </c>
      <c r="N41" s="597">
        <f t="shared" si="36"/>
        <v>0</v>
      </c>
      <c r="O41" s="597">
        <f t="shared" si="37"/>
        <v>0</v>
      </c>
      <c r="P41" s="597">
        <f t="shared" si="38"/>
        <v>0</v>
      </c>
      <c r="Q41" s="597">
        <f t="shared" si="39"/>
        <v>0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3"/>
      <c r="AK41" s="283"/>
      <c r="AL41" s="283"/>
      <c r="AM41" s="283"/>
      <c r="AN41" s="283"/>
    </row>
    <row r="42" spans="1:40" x14ac:dyDescent="0.25">
      <c r="A42" s="285"/>
      <c r="B42" s="837" t="s">
        <v>1079</v>
      </c>
      <c r="C42" s="149">
        <f>'Inputs and eligible population'!I105</f>
        <v>3</v>
      </c>
      <c r="D42" s="128">
        <f>'Financial impact (cash)'!D39*$C$42*'Inputs and eligible population'!$I$106/60</f>
        <v>0</v>
      </c>
      <c r="E42" s="128">
        <f>'Financial impact (cash)'!E39*$C$42*'Inputs and eligible population'!$I$106/60</f>
        <v>0</v>
      </c>
      <c r="F42" s="128">
        <f>'Financial impact (cash)'!F39*$C$42*'Inputs and eligible population'!$I$106/60</f>
        <v>0</v>
      </c>
      <c r="G42" s="128">
        <f>'Financial impact (cash)'!G39*$C$42*'Inputs and eligible population'!$I$106/60</f>
        <v>0</v>
      </c>
      <c r="H42" s="128">
        <f>'Financial impact (cash)'!H39*$C$42*'Inputs and eligible population'!$I$106/60</f>
        <v>0</v>
      </c>
      <c r="I42" s="128">
        <f>'Financial impact (cash)'!I39*$C$42*'Inputs and eligible population'!$I$106/60</f>
        <v>0</v>
      </c>
      <c r="J42" s="218"/>
      <c r="K42" s="595">
        <f>'Inputs and eligible population'!$Q$106</f>
        <v>103.07</v>
      </c>
      <c r="L42" s="597">
        <f t="shared" si="34"/>
        <v>0</v>
      </c>
      <c r="M42" s="597">
        <f t="shared" si="35"/>
        <v>0</v>
      </c>
      <c r="N42" s="597">
        <f t="shared" si="36"/>
        <v>0</v>
      </c>
      <c r="O42" s="597">
        <f t="shared" si="37"/>
        <v>0</v>
      </c>
      <c r="P42" s="597">
        <f t="shared" si="38"/>
        <v>0</v>
      </c>
      <c r="Q42" s="597">
        <f t="shared" si="39"/>
        <v>0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3"/>
      <c r="AK42" s="283"/>
      <c r="AL42" s="283"/>
      <c r="AM42" s="283"/>
      <c r="AN42" s="283"/>
    </row>
    <row r="43" spans="1:40" x14ac:dyDescent="0.25">
      <c r="A43" s="285"/>
      <c r="B43" s="837" t="s">
        <v>1080</v>
      </c>
      <c r="C43" s="149">
        <f>'Inputs and eligible population'!J105</f>
        <v>3</v>
      </c>
      <c r="D43" s="128">
        <f>'Financial impact (cash)'!D40*$C$43*'Inputs and eligible population'!$J$106/60</f>
        <v>0</v>
      </c>
      <c r="E43" s="128">
        <f>'Financial impact (cash)'!E40*$C$43*'Inputs and eligible population'!$J$106/60</f>
        <v>0</v>
      </c>
      <c r="F43" s="128">
        <f>'Financial impact (cash)'!F40*$C$43*'Inputs and eligible population'!$J$106/60</f>
        <v>0</v>
      </c>
      <c r="G43" s="128">
        <f>'Financial impact (cash)'!G40*$C$43*'Inputs and eligible population'!$J$106/60</f>
        <v>0</v>
      </c>
      <c r="H43" s="128">
        <f>'Financial impact (cash)'!H40*$C$43*'Inputs and eligible population'!$J$106/60</f>
        <v>0</v>
      </c>
      <c r="I43" s="128">
        <f>'Financial impact (cash)'!I40*$C$43*'Inputs and eligible population'!$J$106/60</f>
        <v>0</v>
      </c>
      <c r="J43" s="218"/>
      <c r="K43" s="595">
        <f>'Inputs and eligible population'!$Q$106</f>
        <v>103.07</v>
      </c>
      <c r="L43" s="597">
        <f t="shared" si="34"/>
        <v>0</v>
      </c>
      <c r="M43" s="597">
        <f t="shared" si="35"/>
        <v>0</v>
      </c>
      <c r="N43" s="597">
        <f t="shared" si="36"/>
        <v>0</v>
      </c>
      <c r="O43" s="597">
        <f t="shared" si="37"/>
        <v>0</v>
      </c>
      <c r="P43" s="597">
        <f t="shared" si="38"/>
        <v>0</v>
      </c>
      <c r="Q43" s="597">
        <f t="shared" si="39"/>
        <v>0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3"/>
      <c r="AK43" s="283"/>
      <c r="AL43" s="283"/>
      <c r="AM43" s="283"/>
      <c r="AN43" s="283"/>
    </row>
    <row r="44" spans="1:40" x14ac:dyDescent="0.25">
      <c r="A44" s="285"/>
      <c r="B44" s="837" t="s">
        <v>1144</v>
      </c>
      <c r="C44" s="149">
        <f>'Inputs and eligible population'!K105</f>
        <v>1</v>
      </c>
      <c r="D44" s="128">
        <f>'Financial impact (cash)'!D41*$C$44*'Inputs and eligible population'!$K$106/60</f>
        <v>0</v>
      </c>
      <c r="E44" s="128">
        <f>'Financial impact (cash)'!E41*$C$44*'Inputs and eligible population'!$K$106/60</f>
        <v>0</v>
      </c>
      <c r="F44" s="128">
        <f>'Financial impact (cash)'!F41*$C$44*'Inputs and eligible population'!$K$106/60</f>
        <v>0</v>
      </c>
      <c r="G44" s="128">
        <f>'Financial impact (cash)'!G41*$C$44*'Inputs and eligible population'!$K$106/60</f>
        <v>0</v>
      </c>
      <c r="H44" s="128">
        <f>'Financial impact (cash)'!H41*$C$44*'Inputs and eligible population'!$K$106/60</f>
        <v>0</v>
      </c>
      <c r="I44" s="128">
        <f>'Financial impact (cash)'!I41*$C$44*'Inputs and eligible population'!$K$106/60</f>
        <v>0</v>
      </c>
      <c r="J44" s="218"/>
      <c r="K44" s="595">
        <f>'Inputs and eligible population'!$Q$106</f>
        <v>103.07</v>
      </c>
      <c r="L44" s="597">
        <f t="shared" si="34"/>
        <v>0</v>
      </c>
      <c r="M44" s="597">
        <f t="shared" si="35"/>
        <v>0</v>
      </c>
      <c r="N44" s="597">
        <f t="shared" si="36"/>
        <v>0</v>
      </c>
      <c r="O44" s="597">
        <f t="shared" si="37"/>
        <v>0</v>
      </c>
      <c r="P44" s="597">
        <f t="shared" si="38"/>
        <v>0</v>
      </c>
      <c r="Q44" s="597">
        <f t="shared" si="39"/>
        <v>0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3"/>
      <c r="AK44" s="283"/>
      <c r="AL44" s="283"/>
      <c r="AM44" s="283"/>
      <c r="AN44" s="283"/>
    </row>
    <row r="45" spans="1:40" x14ac:dyDescent="0.25">
      <c r="A45" s="285"/>
      <c r="B45" s="837" t="s">
        <v>1145</v>
      </c>
      <c r="C45" s="149">
        <f>'Inputs and eligible population'!L105</f>
        <v>1</v>
      </c>
      <c r="D45" s="128">
        <f>'Financial impact (cash)'!D42*$C$45*'Inputs and eligible population'!$L$106/60</f>
        <v>0</v>
      </c>
      <c r="E45" s="128">
        <f>'Financial impact (cash)'!E42*$C$45*'Inputs and eligible population'!$L$106/60</f>
        <v>0</v>
      </c>
      <c r="F45" s="128">
        <f>'Financial impact (cash)'!F42*$C$45*'Inputs and eligible population'!$L$106/60</f>
        <v>0</v>
      </c>
      <c r="G45" s="128">
        <f>'Financial impact (cash)'!G42*$C$45*'Inputs and eligible population'!$L$106/60</f>
        <v>0</v>
      </c>
      <c r="H45" s="128">
        <f>'Financial impact (cash)'!H42*$C$45*'Inputs and eligible population'!$L$106/60</f>
        <v>0</v>
      </c>
      <c r="I45" s="128">
        <f>'Financial impact (cash)'!I42*$C$45*'Inputs and eligible population'!$L$106/60</f>
        <v>0</v>
      </c>
      <c r="J45" s="218"/>
      <c r="K45" s="595">
        <f>'Inputs and eligible population'!$Q$106</f>
        <v>103.07</v>
      </c>
      <c r="L45" s="597">
        <f t="shared" si="34"/>
        <v>0</v>
      </c>
      <c r="M45" s="597">
        <f t="shared" si="35"/>
        <v>0</v>
      </c>
      <c r="N45" s="597">
        <f t="shared" si="36"/>
        <v>0</v>
      </c>
      <c r="O45" s="597">
        <f t="shared" si="37"/>
        <v>0</v>
      </c>
      <c r="P45" s="597">
        <f t="shared" si="38"/>
        <v>0</v>
      </c>
      <c r="Q45" s="597">
        <f t="shared" si="39"/>
        <v>0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3"/>
      <c r="AK45" s="283"/>
      <c r="AL45" s="283"/>
      <c r="AM45" s="283"/>
      <c r="AN45" s="283"/>
    </row>
    <row r="46" spans="1:40" x14ac:dyDescent="0.25">
      <c r="A46" s="285"/>
      <c r="B46" s="837" t="s">
        <v>1146</v>
      </c>
      <c r="C46" s="149">
        <f>'Inputs and eligible population'!M105</f>
        <v>3</v>
      </c>
      <c r="D46" s="128">
        <f>'Financial impact (cash)'!D43*$C$46*'Inputs and eligible population'!$M$106/60</f>
        <v>0</v>
      </c>
      <c r="E46" s="128">
        <f>'Financial impact (cash)'!E43*$C$46*'Inputs and eligible population'!$M$106/60</f>
        <v>0</v>
      </c>
      <c r="F46" s="128">
        <f>'Financial impact (cash)'!F43*$C$46*'Inputs and eligible population'!$M$106/60</f>
        <v>0</v>
      </c>
      <c r="G46" s="128">
        <f>'Financial impact (cash)'!G43*$C$46*'Inputs and eligible population'!$M$106/60</f>
        <v>0</v>
      </c>
      <c r="H46" s="128">
        <f>'Financial impact (cash)'!H43*$C$46*'Inputs and eligible population'!$M$106/60</f>
        <v>0</v>
      </c>
      <c r="I46" s="128">
        <f>'Financial impact (cash)'!I43*$C$46*'Inputs and eligible population'!$M$106/60</f>
        <v>0</v>
      </c>
      <c r="J46" s="218"/>
      <c r="K46" s="595">
        <f>'Inputs and eligible population'!$Q$106</f>
        <v>103.07</v>
      </c>
      <c r="L46" s="597">
        <f t="shared" si="34"/>
        <v>0</v>
      </c>
      <c r="M46" s="597">
        <f t="shared" si="35"/>
        <v>0</v>
      </c>
      <c r="N46" s="597">
        <f t="shared" si="36"/>
        <v>0</v>
      </c>
      <c r="O46" s="597">
        <f t="shared" si="37"/>
        <v>0</v>
      </c>
      <c r="P46" s="597">
        <f t="shared" si="38"/>
        <v>0</v>
      </c>
      <c r="Q46" s="597">
        <f t="shared" si="39"/>
        <v>0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3"/>
      <c r="AK46" s="283"/>
      <c r="AL46" s="283"/>
      <c r="AM46" s="283"/>
      <c r="AN46" s="283"/>
    </row>
    <row r="47" spans="1:40" x14ac:dyDescent="0.25">
      <c r="A47" s="285"/>
      <c r="B47" s="837" t="s">
        <v>1147</v>
      </c>
      <c r="C47" s="149">
        <f>'Inputs and eligible population'!N105</f>
        <v>3</v>
      </c>
      <c r="D47" s="128">
        <f>'Financial impact (cash)'!D44*$C$47*'Inputs and eligible population'!$N$106/60</f>
        <v>0</v>
      </c>
      <c r="E47" s="128">
        <f>'Financial impact (cash)'!E44*$C$47*'Inputs and eligible population'!$N$106/60</f>
        <v>0</v>
      </c>
      <c r="F47" s="128">
        <f>'Financial impact (cash)'!F44*$C$47*'Inputs and eligible population'!$N$106/60</f>
        <v>0</v>
      </c>
      <c r="G47" s="128">
        <f>'Financial impact (cash)'!G44*$C$47*'Inputs and eligible population'!$N$106/60</f>
        <v>0</v>
      </c>
      <c r="H47" s="128">
        <f>'Financial impact (cash)'!H44*$C$47*'Inputs and eligible population'!$N$106/60</f>
        <v>0</v>
      </c>
      <c r="I47" s="128">
        <f>'Financial impact (cash)'!I44*$C$47*'Inputs and eligible population'!$N$106/60</f>
        <v>0</v>
      </c>
      <c r="J47" s="218"/>
      <c r="K47" s="595">
        <f>'Inputs and eligible population'!$Q$106</f>
        <v>103.07</v>
      </c>
      <c r="L47" s="597">
        <f t="shared" si="34"/>
        <v>0</v>
      </c>
      <c r="M47" s="597">
        <f t="shared" si="35"/>
        <v>0</v>
      </c>
      <c r="N47" s="597">
        <f t="shared" si="36"/>
        <v>0</v>
      </c>
      <c r="O47" s="597">
        <f t="shared" si="37"/>
        <v>0</v>
      </c>
      <c r="P47" s="597">
        <f t="shared" si="38"/>
        <v>0</v>
      </c>
      <c r="Q47" s="597">
        <f t="shared" si="39"/>
        <v>0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3"/>
      <c r="AK47" s="283"/>
      <c r="AL47" s="283"/>
      <c r="AM47" s="283"/>
      <c r="AN47" s="283"/>
    </row>
    <row r="48" spans="1:40" x14ac:dyDescent="0.25">
      <c r="A48" s="584"/>
      <c r="B48" s="545"/>
      <c r="C48" s="280"/>
      <c r="D48" s="186">
        <f>SUM(D39:D47)</f>
        <v>0</v>
      </c>
      <c r="E48" s="186">
        <f t="shared" ref="E48:I48" si="40">SUM(E39:E47)</f>
        <v>0</v>
      </c>
      <c r="F48" s="186">
        <f t="shared" si="40"/>
        <v>0</v>
      </c>
      <c r="G48" s="186">
        <f t="shared" si="40"/>
        <v>0</v>
      </c>
      <c r="H48" s="186">
        <f t="shared" si="40"/>
        <v>0</v>
      </c>
      <c r="I48" s="186">
        <f t="shared" si="40"/>
        <v>0</v>
      </c>
      <c r="J48" s="592"/>
      <c r="K48" s="218"/>
      <c r="L48" s="290">
        <f>SUM(L39:L47)</f>
        <v>0</v>
      </c>
      <c r="M48" s="290">
        <f t="shared" ref="M48:Q48" si="41">SUM(M39:M47)</f>
        <v>0</v>
      </c>
      <c r="N48" s="290">
        <f t="shared" si="41"/>
        <v>0</v>
      </c>
      <c r="O48" s="290">
        <f t="shared" si="41"/>
        <v>0</v>
      </c>
      <c r="P48" s="290">
        <f t="shared" si="41"/>
        <v>0</v>
      </c>
      <c r="Q48" s="290">
        <f t="shared" si="41"/>
        <v>0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3"/>
      <c r="AK48" s="283"/>
      <c r="AL48" s="283"/>
      <c r="AM48" s="283"/>
      <c r="AN48" s="283"/>
    </row>
    <row r="49" spans="1:40" x14ac:dyDescent="0.25">
      <c r="A49" s="584"/>
      <c r="B49" s="257"/>
      <c r="C49" s="257"/>
      <c r="D49" s="282" t="s">
        <v>828</v>
      </c>
      <c r="E49" s="186">
        <f>E48-$D$48</f>
        <v>0</v>
      </c>
      <c r="F49" s="186">
        <f t="shared" ref="F49:I49" si="42">F48-$D$48</f>
        <v>0</v>
      </c>
      <c r="G49" s="186">
        <f t="shared" si="42"/>
        <v>0</v>
      </c>
      <c r="H49" s="186">
        <f t="shared" si="42"/>
        <v>0</v>
      </c>
      <c r="I49" s="186">
        <f t="shared" si="42"/>
        <v>0</v>
      </c>
      <c r="J49" s="592"/>
      <c r="K49" s="218"/>
      <c r="L49" s="218"/>
      <c r="M49" s="290">
        <f>M48-$L48</f>
        <v>0</v>
      </c>
      <c r="N49" s="290">
        <f t="shared" ref="N49:P49" si="43">N48-$L48</f>
        <v>0</v>
      </c>
      <c r="O49" s="290">
        <f t="shared" si="43"/>
        <v>0</v>
      </c>
      <c r="P49" s="290">
        <f t="shared" si="43"/>
        <v>0</v>
      </c>
      <c r="Q49" s="290">
        <f>Q48-$L48</f>
        <v>0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3"/>
      <c r="AK49" s="283"/>
      <c r="AL49" s="283"/>
      <c r="AM49" s="283"/>
      <c r="AN49" s="283"/>
    </row>
    <row r="50" spans="1:40" x14ac:dyDescent="0.25">
      <c r="A50" s="285"/>
      <c r="B50" s="585"/>
      <c r="C50" s="586"/>
      <c r="D50" s="587"/>
      <c r="E50" s="588"/>
      <c r="F50" s="285"/>
      <c r="G50" s="285"/>
      <c r="H50" s="285"/>
      <c r="I50" s="285"/>
      <c r="J50" s="218"/>
      <c r="K50" s="218"/>
      <c r="L50" s="218"/>
      <c r="M50" s="218"/>
      <c r="N50" s="218"/>
      <c r="O50" s="218"/>
      <c r="P50" s="218"/>
      <c r="Q50" s="218"/>
      <c r="R50" s="133"/>
      <c r="S50" s="133"/>
      <c r="T50" s="133"/>
      <c r="U50" s="133"/>
      <c r="V50" s="133"/>
      <c r="W50" s="133"/>
      <c r="X50" s="133"/>
      <c r="Y50" s="133"/>
      <c r="Z50" s="133"/>
      <c r="AJ50" s="283"/>
      <c r="AK50" s="283"/>
      <c r="AL50" s="283"/>
      <c r="AM50" s="283"/>
      <c r="AN50" s="283"/>
    </row>
    <row r="51" spans="1:40" x14ac:dyDescent="0.25">
      <c r="A51" s="292"/>
      <c r="B51" s="321" t="s">
        <v>830</v>
      </c>
      <c r="C51" s="293"/>
      <c r="D51" s="293"/>
      <c r="E51" s="294"/>
      <c r="F51" s="295"/>
      <c r="G51" s="296"/>
      <c r="H51" s="296"/>
      <c r="I51" s="439"/>
      <c r="J51" s="440"/>
      <c r="K51" s="292"/>
      <c r="L51" s="292"/>
      <c r="M51" s="292"/>
      <c r="N51" s="292"/>
      <c r="O51" s="292"/>
      <c r="P51" s="292"/>
      <c r="Q51" s="214"/>
      <c r="R51" s="133"/>
      <c r="S51" s="133"/>
      <c r="V51" s="133"/>
    </row>
    <row r="52" spans="1:40" x14ac:dyDescent="0.25">
      <c r="A52" s="300"/>
      <c r="B52" s="392" t="s">
        <v>831</v>
      </c>
      <c r="C52" s="393"/>
      <c r="D52" s="393"/>
      <c r="E52" s="393"/>
      <c r="F52" s="393"/>
      <c r="G52" s="393"/>
      <c r="H52" s="393"/>
      <c r="I52" s="393"/>
      <c r="J52" s="434"/>
      <c r="K52" s="214"/>
      <c r="L52" s="214"/>
      <c r="M52" s="214"/>
      <c r="N52" s="214"/>
      <c r="O52" s="214"/>
      <c r="P52" s="214"/>
      <c r="Q52" s="214"/>
      <c r="R52" s="133"/>
      <c r="S52" s="133"/>
      <c r="T52" s="133"/>
      <c r="U52" s="133"/>
      <c r="V52" s="133"/>
      <c r="W52" s="133"/>
      <c r="X52" s="133"/>
      <c r="Y52" s="133"/>
      <c r="Z52" s="133"/>
      <c r="AJ52" s="283"/>
      <c r="AK52" s="283"/>
      <c r="AL52" s="283"/>
      <c r="AM52" s="283"/>
      <c r="AN52" s="283"/>
    </row>
    <row r="53" spans="1:40" ht="45" x14ac:dyDescent="0.25">
      <c r="A53" s="300"/>
      <c r="B53" s="319" t="s">
        <v>758</v>
      </c>
      <c r="C53" s="547"/>
      <c r="D53" s="428" t="s">
        <v>820</v>
      </c>
      <c r="E53" s="256" t="s">
        <v>666</v>
      </c>
      <c r="F53" s="256" t="s">
        <v>667</v>
      </c>
      <c r="G53" s="165" t="s">
        <v>777</v>
      </c>
      <c r="H53" s="165" t="s">
        <v>778</v>
      </c>
      <c r="I53" s="256" t="s">
        <v>779</v>
      </c>
      <c r="J53" s="434"/>
      <c r="K53" s="214"/>
      <c r="L53" s="214"/>
      <c r="M53" s="214"/>
      <c r="N53" s="214"/>
      <c r="O53" s="214"/>
      <c r="P53" s="214"/>
      <c r="Q53" s="214"/>
      <c r="R53" s="133"/>
      <c r="S53" s="133"/>
      <c r="T53" s="133"/>
      <c r="U53" s="133"/>
      <c r="V53" s="133"/>
      <c r="W53" s="133"/>
      <c r="X53" s="133"/>
      <c r="Y53" s="133"/>
      <c r="Z53" s="133"/>
      <c r="AJ53" s="283"/>
      <c r="AK53" s="283"/>
      <c r="AL53" s="283"/>
      <c r="AM53" s="283"/>
      <c r="AN53" s="283"/>
    </row>
    <row r="54" spans="1:40" x14ac:dyDescent="0.25">
      <c r="A54" s="300"/>
      <c r="B54" s="546" t="s">
        <v>1149</v>
      </c>
      <c r="C54" s="531"/>
      <c r="D54" s="128">
        <f>D64</f>
        <v>0</v>
      </c>
      <c r="E54" s="128">
        <f>E64</f>
        <v>0</v>
      </c>
      <c r="F54" s="128">
        <f t="shared" ref="F54:I54" si="44">F64</f>
        <v>0</v>
      </c>
      <c r="G54" s="128">
        <f t="shared" si="44"/>
        <v>0</v>
      </c>
      <c r="H54" s="128">
        <f t="shared" si="44"/>
        <v>0</v>
      </c>
      <c r="I54" s="128">
        <f t="shared" si="44"/>
        <v>0</v>
      </c>
      <c r="J54" s="434"/>
      <c r="K54" s="214"/>
      <c r="L54" s="214"/>
      <c r="M54" s="214"/>
      <c r="N54" s="214"/>
      <c r="O54" s="214"/>
      <c r="P54" s="214"/>
      <c r="Q54" s="214"/>
      <c r="R54" s="133"/>
      <c r="S54" s="133"/>
      <c r="T54" s="133"/>
      <c r="U54" s="133"/>
      <c r="V54" s="133"/>
      <c r="W54" s="133"/>
      <c r="X54" s="133"/>
      <c r="Y54" s="133"/>
      <c r="Z54" s="133"/>
      <c r="AJ54" s="283"/>
      <c r="AK54" s="283"/>
      <c r="AL54" s="283"/>
      <c r="AM54" s="283"/>
      <c r="AN54" s="283"/>
    </row>
    <row r="55" spans="1:40" x14ac:dyDescent="0.25">
      <c r="A55" s="300"/>
      <c r="B55" s="545"/>
      <c r="C55" s="323"/>
      <c r="D55" s="186">
        <f t="shared" ref="D55:I55" si="45">SUM(D54:D54)</f>
        <v>0</v>
      </c>
      <c r="E55" s="186">
        <f t="shared" si="45"/>
        <v>0</v>
      </c>
      <c r="F55" s="186">
        <f t="shared" si="45"/>
        <v>0</v>
      </c>
      <c r="G55" s="186">
        <f t="shared" si="45"/>
        <v>0</v>
      </c>
      <c r="H55" s="186">
        <f t="shared" si="45"/>
        <v>0</v>
      </c>
      <c r="I55" s="186">
        <f t="shared" si="45"/>
        <v>0</v>
      </c>
      <c r="J55" s="434"/>
      <c r="K55" s="214"/>
      <c r="L55" s="214"/>
      <c r="M55" s="214"/>
      <c r="N55" s="214"/>
      <c r="O55" s="214"/>
      <c r="P55" s="214"/>
      <c r="Q55" s="214"/>
      <c r="R55" s="133"/>
      <c r="S55" s="133"/>
      <c r="T55" s="133"/>
      <c r="U55" s="133"/>
      <c r="V55" s="133"/>
      <c r="W55" s="133"/>
      <c r="X55" s="133"/>
      <c r="Y55" s="133"/>
      <c r="Z55" s="133"/>
      <c r="AJ55" s="283"/>
      <c r="AK55" s="283"/>
      <c r="AL55" s="283"/>
      <c r="AM55" s="283"/>
      <c r="AN55" s="283"/>
    </row>
    <row r="56" spans="1:40" x14ac:dyDescent="0.25">
      <c r="A56" s="300"/>
      <c r="B56" s="257"/>
      <c r="C56" s="257"/>
      <c r="D56" s="282" t="s">
        <v>832</v>
      </c>
      <c r="E56" s="186">
        <f>E55-D55</f>
        <v>0</v>
      </c>
      <c r="F56" s="186">
        <f>F55-$D$55</f>
        <v>0</v>
      </c>
      <c r="G56" s="186">
        <f t="shared" ref="G56:I56" si="46">G55-$D$55</f>
        <v>0</v>
      </c>
      <c r="H56" s="186">
        <f t="shared" si="46"/>
        <v>0</v>
      </c>
      <c r="I56" s="186">
        <f t="shared" si="46"/>
        <v>0</v>
      </c>
      <c r="J56" s="434"/>
      <c r="K56" s="214"/>
      <c r="L56" s="214"/>
      <c r="M56" s="214"/>
      <c r="N56" s="214"/>
      <c r="O56" s="214"/>
      <c r="P56" s="214"/>
      <c r="Q56" s="214"/>
      <c r="R56" s="133"/>
      <c r="S56" s="133"/>
      <c r="T56" s="133"/>
      <c r="U56" s="133"/>
      <c r="V56" s="133"/>
      <c r="W56" s="133"/>
      <c r="X56" s="133"/>
      <c r="Y56" s="133"/>
      <c r="Z56" s="133"/>
      <c r="AJ56" s="283"/>
      <c r="AK56" s="283"/>
      <c r="AL56" s="283"/>
      <c r="AM56" s="283"/>
      <c r="AN56" s="283"/>
    </row>
    <row r="57" spans="1:40" x14ac:dyDescent="0.25">
      <c r="A57" s="292"/>
      <c r="B57" s="322"/>
      <c r="C57" s="298"/>
      <c r="D57" s="297"/>
      <c r="E57" s="298"/>
      <c r="F57" s="299"/>
      <c r="G57" s="292"/>
      <c r="H57" s="292"/>
      <c r="I57" s="296"/>
      <c r="J57" s="214"/>
      <c r="K57" s="214"/>
      <c r="L57" s="214"/>
      <c r="M57" s="214"/>
      <c r="N57" s="214"/>
      <c r="O57" s="214"/>
      <c r="P57" s="214"/>
      <c r="Q57" s="214"/>
      <c r="R57" s="133"/>
      <c r="S57" s="133"/>
      <c r="T57" s="133"/>
      <c r="U57" s="133"/>
      <c r="V57" s="133"/>
      <c r="W57" s="133"/>
      <c r="X57" s="133"/>
      <c r="Y57" s="133"/>
      <c r="Z57" s="133"/>
      <c r="AJ57" s="283"/>
      <c r="AK57" s="283"/>
      <c r="AL57" s="283"/>
      <c r="AM57" s="283"/>
      <c r="AN57" s="283"/>
    </row>
    <row r="58" spans="1:40" x14ac:dyDescent="0.25">
      <c r="A58" s="300"/>
      <c r="B58" s="392" t="s">
        <v>833</v>
      </c>
      <c r="C58" s="393"/>
      <c r="D58" s="393"/>
      <c r="E58" s="393"/>
      <c r="F58" s="393"/>
      <c r="G58" s="393"/>
      <c r="H58" s="393"/>
      <c r="I58" s="393"/>
      <c r="J58" s="434"/>
      <c r="K58" s="214"/>
      <c r="L58" s="214"/>
      <c r="M58" s="214"/>
      <c r="N58" s="214"/>
      <c r="O58" s="214"/>
      <c r="P58" s="214"/>
      <c r="Q58" s="214"/>
      <c r="R58" s="133"/>
      <c r="S58" s="133"/>
      <c r="T58" s="133"/>
      <c r="U58" s="133"/>
      <c r="V58" s="133"/>
      <c r="W58" s="133"/>
      <c r="X58" s="133"/>
      <c r="Y58" s="133"/>
      <c r="Z58" s="133"/>
      <c r="AJ58" s="283"/>
      <c r="AK58" s="283"/>
      <c r="AL58" s="283"/>
      <c r="AM58" s="283"/>
      <c r="AN58" s="283"/>
    </row>
    <row r="59" spans="1:40" ht="45" x14ac:dyDescent="0.25">
      <c r="A59" s="300"/>
      <c r="B59" s="276" t="s">
        <v>758</v>
      </c>
      <c r="C59" s="547"/>
      <c r="D59" s="428" t="s">
        <v>820</v>
      </c>
      <c r="E59" s="256" t="s">
        <v>666</v>
      </c>
      <c r="F59" s="256" t="s">
        <v>667</v>
      </c>
      <c r="G59" s="165" t="s">
        <v>777</v>
      </c>
      <c r="H59" s="165" t="s">
        <v>778</v>
      </c>
      <c r="I59" s="256" t="s">
        <v>779</v>
      </c>
      <c r="J59" s="434"/>
      <c r="K59" s="214"/>
      <c r="L59" s="214"/>
      <c r="M59" s="214"/>
      <c r="N59" s="214"/>
      <c r="O59" s="214"/>
      <c r="P59" s="214"/>
      <c r="Q59" s="214"/>
      <c r="V59" s="133"/>
      <c r="AJ59" s="283"/>
      <c r="AK59" s="283"/>
      <c r="AL59" s="283"/>
      <c r="AM59" s="283"/>
      <c r="AN59" s="283"/>
    </row>
    <row r="60" spans="1:40" x14ac:dyDescent="0.25">
      <c r="A60" s="300"/>
      <c r="B60" s="352" t="s">
        <v>1168</v>
      </c>
      <c r="C60" s="835"/>
      <c r="D60" s="128">
        <f>'Financial impact (cash)'!D41*'Unit costs'!H38</f>
        <v>0</v>
      </c>
      <c r="E60" s="128">
        <f>'Financial impact (cash)'!E41*'Unit costs'!H39</f>
        <v>0</v>
      </c>
      <c r="F60" s="128">
        <f>('Financial impact (cash)'!E41*'Unit costs'!H40)+(('Financial impact (cash)'!F41-'Financial impact (cash)'!E41)*'Unit costs'!H39)</f>
        <v>0</v>
      </c>
      <c r="G60" s="128">
        <f>('Financial impact (cash)'!E41*'Unit costs'!H41)+(('Financial impact (cash)'!F41-'Financial impact (cash)'!E41)*'Unit costs'!H40)+(('Financial impact (cash)'!G41-'Financial impact (cash)'!F41)*'Unit costs'!H39)</f>
        <v>0</v>
      </c>
      <c r="H60" s="128">
        <f>('Financial impact (cash)'!E41*'Unit costs'!H42)+(('Financial impact (cash)'!F41-'Financial impact (cash)'!E41)*'Unit costs'!H41)+(('Financial impact (cash)'!G41-'Financial impact (cash)'!F41)*'Unit costs'!H40)+(('Financial impact (cash)'!H41-'Financial impact (cash)'!G41)*'Unit costs'!H39)</f>
        <v>0</v>
      </c>
      <c r="I60" s="128">
        <f>('Financial impact (cash)'!E41*'Unit costs'!H43)+(('Financial impact (cash)'!F41-'Financial impact (cash)'!E41)*'Unit costs'!H42)+(('Financial impact (cash)'!G41-'Financial impact (cash)'!F41)*'Unit costs'!H41)+(('Financial impact (cash)'!H41-'Financial impact (cash)'!G41)*'Unit costs'!H40)+(('Financial impact (cash)'!I41-'Financial impact (cash)'!H41)*'Unit costs'!H39)</f>
        <v>0</v>
      </c>
      <c r="J60" s="434"/>
      <c r="K60" s="214"/>
      <c r="L60" s="214"/>
      <c r="M60" s="214"/>
      <c r="N60" s="214"/>
      <c r="O60" s="214"/>
      <c r="P60" s="214"/>
      <c r="Q60" s="214"/>
      <c r="V60" s="133"/>
      <c r="AJ60" s="283"/>
      <c r="AK60" s="283"/>
      <c r="AL60" s="283"/>
      <c r="AM60" s="283"/>
      <c r="AN60" s="283"/>
    </row>
    <row r="61" spans="1:40" x14ac:dyDescent="0.25">
      <c r="A61" s="300"/>
      <c r="B61" s="352" t="s">
        <v>1169</v>
      </c>
      <c r="C61" s="835"/>
      <c r="D61" s="128">
        <f>'Financial impact (cash)'!D42*'Unit costs'!H61</f>
        <v>0</v>
      </c>
      <c r="E61" s="128">
        <f>'Financial impact (cash)'!E42*'Unit costs'!H62</f>
        <v>0</v>
      </c>
      <c r="F61" s="128">
        <f>('Financial impact (cash)'!E42*'Unit costs'!H63)+(('Financial impact (cash)'!F42-'Financial impact (cash)'!E42)*'Unit costs'!H62)</f>
        <v>0</v>
      </c>
      <c r="G61" s="128">
        <f>('Financial impact (cash)'!E42*'Unit costs'!H64)+(('Financial impact (cash)'!F42-'Financial impact (cash)'!E42)*'Unit costs'!H63)+(('Financial impact (cash)'!G42-'Financial impact (cash)'!F42)*'Unit costs'!H62)</f>
        <v>0</v>
      </c>
      <c r="H61" s="128">
        <f>('Financial impact (cash)'!E42*'Unit costs'!H65)+(('Financial impact (cash)'!F42-'Financial impact (cash)'!E42)*'Unit costs'!H64)+(('Financial impact (cash)'!G42-'Financial impact (cash)'!F42)*'Unit costs'!H63)+(('Financial impact (cash)'!H42-'Financial impact (cash)'!G42)*'Unit costs'!H62)</f>
        <v>0</v>
      </c>
      <c r="I61" s="128">
        <f>('Financial impact (cash)'!E42*'Unit costs'!H66)+(('Financial impact (cash)'!F42-'Financial impact (cash)'!E42)*'Unit costs'!H65)+(('Financial impact (cash)'!G42-'Financial impact (cash)'!F42)*'Unit costs'!H64)+(('Financial impact (cash)'!H42-'Financial impact (cash)'!G42)*'Unit costs'!H63)+(('Financial impact (cash)'!I42-'Financial impact (cash)'!H42)*'Unit costs'!H62)</f>
        <v>0</v>
      </c>
      <c r="J61" s="434"/>
      <c r="K61" s="214"/>
      <c r="L61" s="214"/>
      <c r="M61" s="214"/>
      <c r="N61" s="214"/>
      <c r="O61" s="214"/>
      <c r="P61" s="214"/>
      <c r="Q61" s="214"/>
      <c r="V61" s="133"/>
      <c r="AJ61" s="283"/>
      <c r="AK61" s="283"/>
      <c r="AL61" s="283"/>
      <c r="AM61" s="283"/>
      <c r="AN61" s="283"/>
    </row>
    <row r="62" spans="1:40" x14ac:dyDescent="0.25">
      <c r="A62" s="300"/>
      <c r="B62" s="352" t="s">
        <v>1170</v>
      </c>
      <c r="C62" s="835"/>
      <c r="D62" s="128">
        <f>'Financial impact (cash)'!D43*'Unit costs'!H84</f>
        <v>0</v>
      </c>
      <c r="E62" s="128">
        <f>'Financial impact (cash)'!E43*'Unit costs'!H85</f>
        <v>0</v>
      </c>
      <c r="F62" s="128">
        <f>('Financial impact (cash)'!E43*'Unit costs'!H86)+(('Financial impact (cash)'!F43-'Financial impact (cash)'!E43)*'Unit costs'!H85)</f>
        <v>0</v>
      </c>
      <c r="G62" s="128">
        <f>('Financial impact (cash)'!E43*'Unit costs'!H87)+(('Financial impact (cash)'!F43-'Financial impact (cash)'!E43)*'Unit costs'!H86)+(('Financial impact (cash)'!G43-'Financial impact (cash)'!F43)*'Unit costs'!H85)</f>
        <v>0</v>
      </c>
      <c r="H62" s="128">
        <f>('Financial impact (cash)'!E43*'Unit costs'!H88)+(('Financial impact (cash)'!F43-'Financial impact (cash)'!E43)*'Unit costs'!H87)+(('Financial impact (cash)'!G43-'Financial impact (cash)'!F43)*'Unit costs'!H86)+(('Financial impact (cash)'!H43-'Financial impact (cash)'!G43)*'Unit costs'!H85)</f>
        <v>0</v>
      </c>
      <c r="I62" s="128">
        <f>('Financial impact (cash)'!E43*'Unit costs'!H89)+(('Financial impact (cash)'!F43-'Financial impact (cash)'!E43)*'Unit costs'!H88)+(('Financial impact (cash)'!G43-'Financial impact (cash)'!F43)*'Unit costs'!H87)+(('Financial impact (cash)'!H43-'Financial impact (cash)'!G43)*'Unit costs'!H86)+(('Financial impact (cash)'!I43-'Financial impact (cash)'!H43)*'Unit costs'!H85)</f>
        <v>0</v>
      </c>
      <c r="J62" s="434"/>
      <c r="K62" s="214"/>
      <c r="L62" s="214"/>
      <c r="M62" s="214"/>
      <c r="N62" s="214"/>
      <c r="O62" s="214"/>
      <c r="P62" s="214"/>
      <c r="Q62" s="214"/>
      <c r="V62" s="133"/>
      <c r="AJ62" s="283"/>
      <c r="AK62" s="283"/>
      <c r="AL62" s="283"/>
      <c r="AM62" s="283"/>
      <c r="AN62" s="283"/>
    </row>
    <row r="63" spans="1:40" x14ac:dyDescent="0.25">
      <c r="A63" s="300"/>
      <c r="B63" s="834" t="s">
        <v>1171</v>
      </c>
      <c r="C63" s="835"/>
      <c r="D63" s="128">
        <f>'Financial impact (cash)'!D44*'Unit costs'!H107</f>
        <v>0</v>
      </c>
      <c r="E63" s="128">
        <f>'Financial impact (cash)'!E44*'Unit costs'!H108</f>
        <v>0</v>
      </c>
      <c r="F63" s="128">
        <f>('Financial impact (cash)'!E44*'Unit costs'!H109)+(('Financial impact (cash)'!F44-'Financial impact (cash)'!E44)*'Unit costs'!H108)</f>
        <v>0</v>
      </c>
      <c r="G63" s="128">
        <f>('Financial impact (cash)'!E44*'Unit costs'!H110)+(('Financial impact (cash)'!F44-'Financial impact (cash)'!E44)*'Unit costs'!H109)+(('Financial impact (cash)'!G44-'Financial impact (cash)'!F44)*'Unit costs'!H108)</f>
        <v>0</v>
      </c>
      <c r="H63" s="128">
        <f>('Financial impact (cash)'!E44*'Unit costs'!H111)+(('Financial impact (cash)'!F44-'Financial impact (cash)'!E44)*'Unit costs'!H110)+(('Financial impact (cash)'!G44-'Financial impact (cash)'!F44)*'Unit costs'!H109)+(('Financial impact (cash)'!H44-'Financial impact (cash)'!G44)*'Unit costs'!H108)</f>
        <v>0</v>
      </c>
      <c r="I63" s="128">
        <f>('Financial impact (cash)'!E44*'Unit costs'!H112)+(('Financial impact (cash)'!F44-'Financial impact (cash)'!E44)*'Unit costs'!H111)+(('Financial impact (cash)'!G44-'Financial impact (cash)'!F44)*'Unit costs'!H110)+(('Financial impact (cash)'!H44-'Financial impact (cash)'!G44)*'Unit costs'!H109)+(('Financial impact (cash)'!I44-'Financial impact (cash)'!H44)*'Unit costs'!H108)</f>
        <v>0</v>
      </c>
      <c r="J63" s="434"/>
      <c r="K63" s="214"/>
      <c r="L63" s="214"/>
      <c r="M63" s="214"/>
      <c r="N63" s="214"/>
      <c r="O63" s="214"/>
      <c r="P63" s="214"/>
      <c r="Q63" s="214"/>
      <c r="V63" s="133"/>
      <c r="AJ63" s="283"/>
      <c r="AK63" s="283"/>
      <c r="AL63" s="283"/>
      <c r="AM63" s="283"/>
      <c r="AN63" s="283"/>
    </row>
    <row r="64" spans="1:40" x14ac:dyDescent="0.25">
      <c r="A64" s="300"/>
      <c r="B64" s="277"/>
      <c r="C64" s="323"/>
      <c r="D64" s="186">
        <f t="shared" ref="D64:I64" si="47">SUM(D60:D63)</f>
        <v>0</v>
      </c>
      <c r="E64" s="186">
        <f t="shared" si="47"/>
        <v>0</v>
      </c>
      <c r="F64" s="186">
        <f t="shared" si="47"/>
        <v>0</v>
      </c>
      <c r="G64" s="186">
        <f t="shared" si="47"/>
        <v>0</v>
      </c>
      <c r="H64" s="186">
        <f t="shared" si="47"/>
        <v>0</v>
      </c>
      <c r="I64" s="186">
        <f t="shared" si="47"/>
        <v>0</v>
      </c>
      <c r="J64" s="292"/>
      <c r="K64" s="292"/>
      <c r="L64" s="292"/>
      <c r="M64" s="292"/>
      <c r="N64" s="292"/>
      <c r="O64" s="292"/>
      <c r="P64" s="292"/>
      <c r="Q64" s="292"/>
      <c r="V64" s="133"/>
      <c r="AJ64" s="283"/>
      <c r="AK64" s="283"/>
      <c r="AL64" s="283"/>
      <c r="AM64" s="283"/>
      <c r="AN64" s="283"/>
    </row>
    <row r="65" spans="1:40" x14ac:dyDescent="0.25">
      <c r="A65" s="300"/>
      <c r="B65" s="257"/>
      <c r="C65" s="257"/>
      <c r="D65" s="282" t="s">
        <v>834</v>
      </c>
      <c r="E65" s="186">
        <f>E64-$D$64</f>
        <v>0</v>
      </c>
      <c r="F65" s="186">
        <f>F64-$D$64</f>
        <v>0</v>
      </c>
      <c r="G65" s="186">
        <f>G64-$D$64</f>
        <v>0</v>
      </c>
      <c r="H65" s="186">
        <f>H64-$D$64</f>
        <v>0</v>
      </c>
      <c r="I65" s="186">
        <f>I64-$D$64</f>
        <v>0</v>
      </c>
      <c r="J65" s="292"/>
      <c r="K65" s="292"/>
      <c r="L65" s="292"/>
      <c r="M65" s="292"/>
      <c r="N65" s="292"/>
      <c r="O65" s="292"/>
      <c r="P65" s="292"/>
      <c r="Q65" s="292"/>
      <c r="S65" s="133"/>
      <c r="T65" s="133"/>
      <c r="U65" s="133"/>
      <c r="V65" s="133"/>
      <c r="W65" s="133"/>
      <c r="X65" s="133"/>
      <c r="Y65" s="133"/>
      <c r="Z65" s="133"/>
      <c r="AJ65" s="283"/>
      <c r="AK65" s="283"/>
      <c r="AL65" s="283"/>
      <c r="AM65" s="283"/>
      <c r="AN65" s="283"/>
    </row>
    <row r="66" spans="1:40" x14ac:dyDescent="0.25">
      <c r="A66" s="292"/>
      <c r="B66" s="322"/>
      <c r="C66" s="298"/>
      <c r="D66" s="298"/>
      <c r="E66" s="299"/>
      <c r="F66" s="292"/>
      <c r="G66" s="292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S66" s="133"/>
      <c r="T66" s="133"/>
      <c r="U66" s="133"/>
      <c r="V66" s="133"/>
      <c r="W66" s="133"/>
      <c r="X66" s="133"/>
      <c r="Y66" s="133"/>
      <c r="Z66" s="133"/>
      <c r="AJ66" s="283"/>
      <c r="AK66" s="283"/>
      <c r="AL66" s="283"/>
      <c r="AM66" s="283"/>
      <c r="AN66" s="283"/>
    </row>
    <row r="67" spans="1:40" x14ac:dyDescent="0.25">
      <c r="A67" s="284"/>
      <c r="B67" s="324" t="s">
        <v>835</v>
      </c>
      <c r="C67" s="301"/>
      <c r="D67" s="301"/>
      <c r="E67" s="302"/>
      <c r="F67" s="303"/>
      <c r="G67" s="304"/>
      <c r="H67" s="304"/>
      <c r="I67" s="304"/>
      <c r="J67" s="441"/>
      <c r="K67" s="284"/>
      <c r="L67" s="284"/>
      <c r="M67" s="284"/>
      <c r="N67" s="284"/>
      <c r="O67" s="284"/>
      <c r="P67" s="284"/>
      <c r="Q67" s="216"/>
      <c r="V67" s="133"/>
    </row>
    <row r="68" spans="1:40" x14ac:dyDescent="0.25">
      <c r="A68" s="284"/>
      <c r="B68" s="394" t="s">
        <v>836</v>
      </c>
      <c r="C68" s="395"/>
      <c r="D68" s="395"/>
      <c r="E68" s="395"/>
      <c r="F68" s="395"/>
      <c r="G68" s="395"/>
      <c r="H68" s="395"/>
      <c r="I68" s="215"/>
      <c r="J68" s="436"/>
      <c r="K68" s="216"/>
      <c r="L68" s="435"/>
      <c r="M68" s="435"/>
      <c r="N68" s="435"/>
      <c r="O68" s="435"/>
      <c r="P68" s="435"/>
      <c r="Q68" s="435"/>
      <c r="V68" s="133"/>
    </row>
    <row r="69" spans="1:40" ht="74.45" customHeight="1" x14ac:dyDescent="0.25">
      <c r="A69" s="284"/>
      <c r="B69" s="279" t="s">
        <v>758</v>
      </c>
      <c r="C69" s="166" t="s">
        <v>837</v>
      </c>
      <c r="D69" s="428" t="s">
        <v>820</v>
      </c>
      <c r="E69" s="256" t="s">
        <v>666</v>
      </c>
      <c r="F69" s="256" t="s">
        <v>667</v>
      </c>
      <c r="G69" s="165" t="s">
        <v>777</v>
      </c>
      <c r="H69" s="165" t="s">
        <v>778</v>
      </c>
      <c r="I69" s="256" t="s">
        <v>779</v>
      </c>
      <c r="J69" s="284"/>
      <c r="K69" s="583" t="s">
        <v>827</v>
      </c>
      <c r="L69" s="428" t="s">
        <v>820</v>
      </c>
      <c r="M69" s="563" t="s">
        <v>666</v>
      </c>
      <c r="N69" s="563" t="s">
        <v>667</v>
      </c>
      <c r="O69" s="429" t="s">
        <v>777</v>
      </c>
      <c r="P69" s="429" t="s">
        <v>778</v>
      </c>
      <c r="Q69" s="563" t="s">
        <v>779</v>
      </c>
      <c r="V69" s="133"/>
    </row>
    <row r="70" spans="1:40" x14ac:dyDescent="0.25">
      <c r="A70" s="284"/>
      <c r="B70" s="352" t="s">
        <v>1168</v>
      </c>
      <c r="C70" s="149">
        <f>'Inputs and eligible population'!K107</f>
        <v>0</v>
      </c>
      <c r="D70" s="128">
        <f>D60*$C70/60</f>
        <v>0</v>
      </c>
      <c r="E70" s="128">
        <f>E60*$C70/60</f>
        <v>0</v>
      </c>
      <c r="F70" s="128">
        <f t="shared" ref="F70:I70" si="48">F60*$C70/60</f>
        <v>0</v>
      </c>
      <c r="G70" s="128">
        <f t="shared" si="48"/>
        <v>0</v>
      </c>
      <c r="H70" s="128">
        <f t="shared" si="48"/>
        <v>0</v>
      </c>
      <c r="I70" s="128">
        <f t="shared" si="48"/>
        <v>0</v>
      </c>
      <c r="J70" s="284"/>
      <c r="K70" s="598">
        <f>'Inputs and eligible population'!Q107</f>
        <v>38.99</v>
      </c>
      <c r="L70" s="289">
        <f>(D70*$K70)/1000</f>
        <v>0</v>
      </c>
      <c r="M70" s="289">
        <f t="shared" ref="M70:Q72" si="49">(E70*$K70)/1000</f>
        <v>0</v>
      </c>
      <c r="N70" s="289">
        <f t="shared" si="49"/>
        <v>0</v>
      </c>
      <c r="O70" s="289">
        <f t="shared" si="49"/>
        <v>0</v>
      </c>
      <c r="P70" s="289">
        <f t="shared" si="49"/>
        <v>0</v>
      </c>
      <c r="Q70" s="289">
        <f t="shared" si="49"/>
        <v>0</v>
      </c>
      <c r="S70" s="133"/>
      <c r="T70" s="133"/>
      <c r="U70" s="133"/>
      <c r="V70" s="133"/>
      <c r="W70" s="133"/>
      <c r="X70" s="133"/>
      <c r="Y70" s="133"/>
      <c r="Z70" s="133"/>
      <c r="AJ70" s="283"/>
      <c r="AK70" s="283"/>
      <c r="AL70" s="283"/>
      <c r="AM70" s="283"/>
      <c r="AN70" s="283"/>
    </row>
    <row r="71" spans="1:40" x14ac:dyDescent="0.25">
      <c r="A71" s="284"/>
      <c r="B71" s="352" t="s">
        <v>1169</v>
      </c>
      <c r="C71" s="149">
        <f>'Inputs and eligible population'!L107</f>
        <v>0</v>
      </c>
      <c r="D71" s="128">
        <f t="shared" ref="D71:I71" si="50">D61*$C71/60</f>
        <v>0</v>
      </c>
      <c r="E71" s="128">
        <f t="shared" si="50"/>
        <v>0</v>
      </c>
      <c r="F71" s="128">
        <f t="shared" si="50"/>
        <v>0</v>
      </c>
      <c r="G71" s="128">
        <f t="shared" si="50"/>
        <v>0</v>
      </c>
      <c r="H71" s="128">
        <f t="shared" si="50"/>
        <v>0</v>
      </c>
      <c r="I71" s="128">
        <f t="shared" si="50"/>
        <v>0</v>
      </c>
      <c r="J71" s="284"/>
      <c r="K71" s="598">
        <f>'Inputs and eligible population'!Q107</f>
        <v>38.99</v>
      </c>
      <c r="L71" s="289">
        <f t="shared" ref="L71:L72" si="51">(D71*$K71)/1000</f>
        <v>0</v>
      </c>
      <c r="M71" s="289">
        <f t="shared" si="49"/>
        <v>0</v>
      </c>
      <c r="N71" s="289">
        <f t="shared" si="49"/>
        <v>0</v>
      </c>
      <c r="O71" s="289">
        <f t="shared" si="49"/>
        <v>0</v>
      </c>
      <c r="P71" s="289">
        <f t="shared" si="49"/>
        <v>0</v>
      </c>
      <c r="Q71" s="289">
        <f t="shared" si="49"/>
        <v>0</v>
      </c>
      <c r="S71" s="133"/>
      <c r="T71" s="133"/>
      <c r="U71" s="133"/>
      <c r="V71" s="133"/>
      <c r="W71" s="133"/>
      <c r="X71" s="133"/>
      <c r="Y71" s="133"/>
      <c r="Z71" s="133"/>
      <c r="AJ71" s="283"/>
      <c r="AK71" s="283"/>
      <c r="AL71" s="283"/>
      <c r="AM71" s="283"/>
      <c r="AN71" s="283"/>
    </row>
    <row r="72" spans="1:40" x14ac:dyDescent="0.25">
      <c r="A72" s="284"/>
      <c r="B72" s="352" t="s">
        <v>1170</v>
      </c>
      <c r="C72" s="149">
        <f>'Inputs and eligible population'!M107</f>
        <v>0</v>
      </c>
      <c r="D72" s="128">
        <f t="shared" ref="D72:I72" si="52">D62*$C72/60</f>
        <v>0</v>
      </c>
      <c r="E72" s="128">
        <f t="shared" si="52"/>
        <v>0</v>
      </c>
      <c r="F72" s="128">
        <f t="shared" si="52"/>
        <v>0</v>
      </c>
      <c r="G72" s="128">
        <f t="shared" si="52"/>
        <v>0</v>
      </c>
      <c r="H72" s="128">
        <f t="shared" si="52"/>
        <v>0</v>
      </c>
      <c r="I72" s="128">
        <f t="shared" si="52"/>
        <v>0</v>
      </c>
      <c r="J72" s="284"/>
      <c r="K72" s="598">
        <f>'Inputs and eligible population'!Q107</f>
        <v>38.99</v>
      </c>
      <c r="L72" s="289">
        <f t="shared" si="51"/>
        <v>0</v>
      </c>
      <c r="M72" s="289">
        <f t="shared" si="49"/>
        <v>0</v>
      </c>
      <c r="N72" s="289">
        <f t="shared" si="49"/>
        <v>0</v>
      </c>
      <c r="O72" s="289">
        <f t="shared" si="49"/>
        <v>0</v>
      </c>
      <c r="P72" s="289">
        <f t="shared" si="49"/>
        <v>0</v>
      </c>
      <c r="Q72" s="289">
        <f t="shared" si="49"/>
        <v>0</v>
      </c>
      <c r="S72" s="133"/>
      <c r="T72" s="133"/>
      <c r="U72" s="133"/>
      <c r="V72" s="133"/>
      <c r="W72" s="133"/>
      <c r="X72" s="133"/>
      <c r="Y72" s="133"/>
      <c r="Z72" s="133"/>
      <c r="AJ72" s="283"/>
      <c r="AK72" s="283"/>
      <c r="AL72" s="283"/>
      <c r="AM72" s="283"/>
      <c r="AN72" s="283"/>
    </row>
    <row r="73" spans="1:40" x14ac:dyDescent="0.25">
      <c r="A73" s="284"/>
      <c r="B73" s="352" t="s">
        <v>1171</v>
      </c>
      <c r="C73" s="149">
        <f>'Inputs and eligible population'!N107</f>
        <v>0</v>
      </c>
      <c r="D73" s="128">
        <f t="shared" ref="D73:I73" si="53">D63*$C73/60</f>
        <v>0</v>
      </c>
      <c r="E73" s="128">
        <f t="shared" si="53"/>
        <v>0</v>
      </c>
      <c r="F73" s="128">
        <f t="shared" si="53"/>
        <v>0</v>
      </c>
      <c r="G73" s="128">
        <f t="shared" si="53"/>
        <v>0</v>
      </c>
      <c r="H73" s="128">
        <f t="shared" si="53"/>
        <v>0</v>
      </c>
      <c r="I73" s="128">
        <f t="shared" si="53"/>
        <v>0</v>
      </c>
      <c r="J73" s="284"/>
      <c r="K73" s="598">
        <f>'Inputs and eligible population'!Q108</f>
        <v>38.99</v>
      </c>
      <c r="L73" s="289">
        <f t="shared" ref="L73" si="54">(D73*$K73)/1000</f>
        <v>0</v>
      </c>
      <c r="M73" s="289">
        <f t="shared" ref="M73" si="55">(E73*$K73)/1000</f>
        <v>0</v>
      </c>
      <c r="N73" s="289">
        <f t="shared" ref="N73" si="56">(F73*$K73)/1000</f>
        <v>0</v>
      </c>
      <c r="O73" s="289">
        <f t="shared" ref="O73" si="57">(G73*$K73)/1000</f>
        <v>0</v>
      </c>
      <c r="P73" s="289">
        <f t="shared" ref="P73" si="58">(H73*$K73)/1000</f>
        <v>0</v>
      </c>
      <c r="Q73" s="289">
        <f t="shared" ref="Q73" si="59">(I73*$K73)/1000</f>
        <v>0</v>
      </c>
      <c r="S73" s="133"/>
      <c r="T73" s="133"/>
      <c r="U73" s="133"/>
      <c r="V73" s="133"/>
      <c r="W73" s="133"/>
      <c r="X73" s="133"/>
      <c r="Y73" s="133"/>
      <c r="Z73" s="133"/>
      <c r="AJ73" s="283"/>
      <c r="AK73" s="283"/>
      <c r="AL73" s="283"/>
      <c r="AM73" s="283"/>
      <c r="AN73" s="283"/>
    </row>
    <row r="74" spans="1:40" x14ac:dyDescent="0.25">
      <c r="A74" s="284"/>
      <c r="B74" s="280" t="s">
        <v>838</v>
      </c>
      <c r="C74" s="323"/>
      <c r="D74" s="186">
        <f>SUM(D70:D73)</f>
        <v>0</v>
      </c>
      <c r="E74" s="186">
        <f t="shared" ref="E74:I74" si="60">SUM(E70:E73)</f>
        <v>0</v>
      </c>
      <c r="F74" s="186">
        <f t="shared" si="60"/>
        <v>0</v>
      </c>
      <c r="G74" s="186">
        <f t="shared" si="60"/>
        <v>0</v>
      </c>
      <c r="H74" s="186">
        <f t="shared" si="60"/>
        <v>0</v>
      </c>
      <c r="I74" s="186">
        <f t="shared" si="60"/>
        <v>0</v>
      </c>
      <c r="J74" s="284"/>
      <c r="K74" s="284"/>
      <c r="L74" s="290">
        <f>SUM(L70:L73)</f>
        <v>0</v>
      </c>
      <c r="M74" s="290">
        <f t="shared" ref="M74:Q74" si="61">SUM(M70:M73)</f>
        <v>0</v>
      </c>
      <c r="N74" s="290">
        <f t="shared" si="61"/>
        <v>0</v>
      </c>
      <c r="O74" s="290">
        <f t="shared" si="61"/>
        <v>0</v>
      </c>
      <c r="P74" s="290">
        <f t="shared" si="61"/>
        <v>0</v>
      </c>
      <c r="Q74" s="290">
        <f t="shared" si="61"/>
        <v>0</v>
      </c>
      <c r="S74" s="133"/>
      <c r="T74" s="133"/>
      <c r="U74" s="133"/>
      <c r="V74" s="133"/>
      <c r="W74" s="133"/>
      <c r="X74" s="133"/>
      <c r="Y74" s="133"/>
      <c r="Z74" s="133"/>
      <c r="AJ74" s="283"/>
      <c r="AK74" s="283"/>
      <c r="AL74" s="283"/>
      <c r="AM74" s="283"/>
      <c r="AN74" s="283"/>
    </row>
    <row r="75" spans="1:40" x14ac:dyDescent="0.25">
      <c r="A75" s="284"/>
      <c r="B75" s="305"/>
      <c r="C75" s="257"/>
      <c r="D75" s="282" t="s">
        <v>839</v>
      </c>
      <c r="E75" s="186">
        <f>E74-$D$74</f>
        <v>0</v>
      </c>
      <c r="F75" s="186">
        <f>F74-$D$74</f>
        <v>0</v>
      </c>
      <c r="G75" s="186">
        <f>G74-$D$74</f>
        <v>0</v>
      </c>
      <c r="H75" s="186">
        <f>H74-$D$74</f>
        <v>0</v>
      </c>
      <c r="I75" s="186">
        <f>I74-$D$74</f>
        <v>0</v>
      </c>
      <c r="J75" s="284"/>
      <c r="K75" s="284"/>
      <c r="L75" s="564"/>
      <c r="M75" s="290">
        <f>M74-$L$74</f>
        <v>0</v>
      </c>
      <c r="N75" s="290">
        <f t="shared" ref="N75:Q75" si="62">N74-$L$74</f>
        <v>0</v>
      </c>
      <c r="O75" s="290">
        <f t="shared" si="62"/>
        <v>0</v>
      </c>
      <c r="P75" s="290">
        <f t="shared" si="62"/>
        <v>0</v>
      </c>
      <c r="Q75" s="290">
        <f t="shared" si="62"/>
        <v>0</v>
      </c>
      <c r="S75" s="133"/>
      <c r="T75" s="133"/>
      <c r="U75" s="133"/>
      <c r="V75" s="133"/>
      <c r="W75" s="133"/>
      <c r="X75" s="133"/>
      <c r="Y75" s="133"/>
      <c r="Z75" s="133"/>
      <c r="AJ75" s="283"/>
      <c r="AK75" s="283"/>
      <c r="AL75" s="283"/>
      <c r="AM75" s="283"/>
      <c r="AN75" s="283"/>
    </row>
    <row r="76" spans="1:40" x14ac:dyDescent="0.25">
      <c r="A76" s="284"/>
      <c r="B76" s="325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S76" s="133"/>
      <c r="T76" s="133"/>
      <c r="U76" s="133"/>
      <c r="V76" s="133"/>
      <c r="W76" s="133"/>
      <c r="X76" s="133"/>
      <c r="Y76" s="133"/>
      <c r="Z76" s="133"/>
      <c r="AJ76" s="283"/>
      <c r="AK76" s="283"/>
      <c r="AL76" s="283"/>
      <c r="AM76" s="283"/>
      <c r="AN76" s="283"/>
    </row>
    <row r="77" spans="1:40" x14ac:dyDescent="0.25">
      <c r="A77" s="284"/>
      <c r="B77" s="396" t="s">
        <v>840</v>
      </c>
      <c r="C77" s="395"/>
      <c r="D77" s="395"/>
      <c r="E77" s="395"/>
      <c r="F77" s="395"/>
      <c r="G77" s="395"/>
      <c r="H77" s="395"/>
      <c r="I77" s="215"/>
      <c r="J77" s="436"/>
      <c r="K77" s="216"/>
      <c r="L77" s="435"/>
      <c r="M77" s="435"/>
      <c r="N77" s="435"/>
      <c r="O77" s="435"/>
      <c r="P77" s="435"/>
      <c r="Q77" s="435"/>
      <c r="S77" s="133"/>
      <c r="T77" s="133"/>
      <c r="U77" s="133"/>
      <c r="V77" s="133"/>
      <c r="W77" s="133"/>
      <c r="X77" s="133"/>
      <c r="Y77" s="133"/>
      <c r="Z77" s="133"/>
      <c r="AJ77" s="283"/>
      <c r="AK77" s="283"/>
      <c r="AL77" s="283"/>
      <c r="AM77" s="283"/>
      <c r="AN77" s="283"/>
    </row>
    <row r="78" spans="1:40" ht="75" x14ac:dyDescent="0.25">
      <c r="A78" s="284"/>
      <c r="B78" s="279" t="s">
        <v>758</v>
      </c>
      <c r="C78" s="166" t="s">
        <v>707</v>
      </c>
      <c r="D78" s="428" t="s">
        <v>820</v>
      </c>
      <c r="E78" s="256" t="s">
        <v>666</v>
      </c>
      <c r="F78" s="256" t="s">
        <v>667</v>
      </c>
      <c r="G78" s="165" t="s">
        <v>777</v>
      </c>
      <c r="H78" s="165" t="s">
        <v>778</v>
      </c>
      <c r="I78" s="256" t="s">
        <v>779</v>
      </c>
      <c r="J78" s="284"/>
      <c r="K78" s="583" t="s">
        <v>827</v>
      </c>
      <c r="L78" s="428" t="s">
        <v>820</v>
      </c>
      <c r="M78" s="256" t="s">
        <v>666</v>
      </c>
      <c r="N78" s="256" t="s">
        <v>667</v>
      </c>
      <c r="O78" s="165" t="s">
        <v>777</v>
      </c>
      <c r="P78" s="165" t="s">
        <v>778</v>
      </c>
      <c r="Q78" s="256" t="s">
        <v>779</v>
      </c>
      <c r="S78" s="133"/>
      <c r="T78" s="133"/>
      <c r="U78" s="133"/>
      <c r="V78" s="133"/>
      <c r="W78" s="133"/>
      <c r="X78" s="133"/>
      <c r="Y78" s="133"/>
      <c r="Z78" s="133"/>
      <c r="AJ78" s="283"/>
      <c r="AK78" s="283"/>
      <c r="AL78" s="283"/>
      <c r="AM78" s="283"/>
      <c r="AN78" s="283"/>
    </row>
    <row r="79" spans="1:40" x14ac:dyDescent="0.25">
      <c r="A79" s="284"/>
      <c r="B79" s="352" t="s">
        <v>1168</v>
      </c>
      <c r="C79" s="149">
        <f>'Inputs and eligible population'!K108</f>
        <v>0</v>
      </c>
      <c r="D79" s="128">
        <f>(D60*$C79/60)</f>
        <v>0</v>
      </c>
      <c r="E79" s="128">
        <f>(E60*$C79/60)</f>
        <v>0</v>
      </c>
      <c r="F79" s="128">
        <f t="shared" ref="F79:I79" si="63">(F60*$C79/60)</f>
        <v>0</v>
      </c>
      <c r="G79" s="128">
        <f t="shared" si="63"/>
        <v>0</v>
      </c>
      <c r="H79" s="128">
        <f t="shared" si="63"/>
        <v>0</v>
      </c>
      <c r="I79" s="128">
        <f t="shared" si="63"/>
        <v>0</v>
      </c>
      <c r="J79" s="284"/>
      <c r="K79" s="598">
        <f>'Inputs and eligible population'!Q108</f>
        <v>38.99</v>
      </c>
      <c r="L79" s="289">
        <f>(D79*$K79)/1000</f>
        <v>0</v>
      </c>
      <c r="M79" s="289">
        <f t="shared" ref="M79:Q79" si="64">(E79*$K79)/1000</f>
        <v>0</v>
      </c>
      <c r="N79" s="289">
        <f t="shared" si="64"/>
        <v>0</v>
      </c>
      <c r="O79" s="289">
        <f t="shared" si="64"/>
        <v>0</v>
      </c>
      <c r="P79" s="289">
        <f t="shared" si="64"/>
        <v>0</v>
      </c>
      <c r="Q79" s="289">
        <f t="shared" si="64"/>
        <v>0</v>
      </c>
      <c r="S79" s="133"/>
      <c r="T79" s="133"/>
      <c r="U79" s="133"/>
      <c r="V79" s="133"/>
      <c r="W79" s="133"/>
      <c r="X79" s="133"/>
      <c r="Y79" s="133"/>
      <c r="Z79" s="133"/>
      <c r="AJ79" s="283"/>
      <c r="AK79" s="283"/>
      <c r="AL79" s="283"/>
      <c r="AM79" s="283"/>
      <c r="AN79" s="283"/>
    </row>
    <row r="80" spans="1:40" x14ac:dyDescent="0.25">
      <c r="A80" s="284"/>
      <c r="B80" s="352" t="s">
        <v>1169</v>
      </c>
      <c r="C80" s="149">
        <f>'Inputs and eligible population'!L108</f>
        <v>0</v>
      </c>
      <c r="D80" s="128">
        <f t="shared" ref="D80:I80" si="65">(D61*$C80/60)</f>
        <v>0</v>
      </c>
      <c r="E80" s="128">
        <f t="shared" si="65"/>
        <v>0</v>
      </c>
      <c r="F80" s="128">
        <f t="shared" si="65"/>
        <v>0</v>
      </c>
      <c r="G80" s="128">
        <f t="shared" si="65"/>
        <v>0</v>
      </c>
      <c r="H80" s="128">
        <f t="shared" si="65"/>
        <v>0</v>
      </c>
      <c r="I80" s="128">
        <f t="shared" si="65"/>
        <v>0</v>
      </c>
      <c r="J80" s="284"/>
      <c r="K80" s="598">
        <f>'Inputs and eligible population'!Q108</f>
        <v>38.99</v>
      </c>
      <c r="L80" s="289">
        <f t="shared" ref="L80:L82" si="66">(D80*$K80)/1000</f>
        <v>0</v>
      </c>
      <c r="M80" s="289">
        <f t="shared" ref="M80:M82" si="67">(E80*$K80)/1000</f>
        <v>0</v>
      </c>
      <c r="N80" s="289">
        <f t="shared" ref="N80:N82" si="68">(F80*$K80)/1000</f>
        <v>0</v>
      </c>
      <c r="O80" s="289">
        <f t="shared" ref="O80:O82" si="69">(G80*$K80)/1000</f>
        <v>0</v>
      </c>
      <c r="P80" s="289">
        <f t="shared" ref="P80:P82" si="70">(H80*$K80)/1000</f>
        <v>0</v>
      </c>
      <c r="Q80" s="289">
        <f t="shared" ref="Q80:Q82" si="71">(I80*$K80)/1000</f>
        <v>0</v>
      </c>
      <c r="S80" s="133"/>
      <c r="T80" s="133"/>
      <c r="U80" s="133"/>
      <c r="V80" s="133"/>
      <c r="W80" s="133"/>
      <c r="X80" s="133"/>
      <c r="Y80" s="133"/>
      <c r="Z80" s="133"/>
      <c r="AJ80" s="283"/>
      <c r="AK80" s="283"/>
      <c r="AL80" s="283"/>
      <c r="AM80" s="283"/>
      <c r="AN80" s="283"/>
    </row>
    <row r="81" spans="1:40" x14ac:dyDescent="0.25">
      <c r="A81" s="284"/>
      <c r="B81" s="352" t="s">
        <v>1170</v>
      </c>
      <c r="C81" s="149">
        <f>'Inputs and eligible population'!M108</f>
        <v>0</v>
      </c>
      <c r="D81" s="128">
        <f t="shared" ref="D81:I81" si="72">(D62*$C81/60)</f>
        <v>0</v>
      </c>
      <c r="E81" s="128">
        <f t="shared" si="72"/>
        <v>0</v>
      </c>
      <c r="F81" s="128">
        <f t="shared" si="72"/>
        <v>0</v>
      </c>
      <c r="G81" s="128">
        <f t="shared" si="72"/>
        <v>0</v>
      </c>
      <c r="H81" s="128">
        <f t="shared" si="72"/>
        <v>0</v>
      </c>
      <c r="I81" s="128">
        <f t="shared" si="72"/>
        <v>0</v>
      </c>
      <c r="J81" s="284"/>
      <c r="K81" s="598">
        <f>'Inputs and eligible population'!Q108</f>
        <v>38.99</v>
      </c>
      <c r="L81" s="289">
        <f t="shared" si="66"/>
        <v>0</v>
      </c>
      <c r="M81" s="289">
        <f t="shared" si="67"/>
        <v>0</v>
      </c>
      <c r="N81" s="289">
        <f t="shared" si="68"/>
        <v>0</v>
      </c>
      <c r="O81" s="289">
        <f t="shared" si="69"/>
        <v>0</v>
      </c>
      <c r="P81" s="289">
        <f t="shared" si="70"/>
        <v>0</v>
      </c>
      <c r="Q81" s="289">
        <f t="shared" si="71"/>
        <v>0</v>
      </c>
      <c r="S81" s="133"/>
      <c r="T81" s="133"/>
      <c r="U81" s="133"/>
      <c r="V81" s="133"/>
      <c r="W81" s="133"/>
      <c r="X81" s="133"/>
      <c r="Y81" s="133"/>
      <c r="Z81" s="133"/>
      <c r="AJ81" s="283"/>
      <c r="AK81" s="283"/>
      <c r="AL81" s="283"/>
      <c r="AM81" s="283"/>
      <c r="AN81" s="283"/>
    </row>
    <row r="82" spans="1:40" x14ac:dyDescent="0.25">
      <c r="A82" s="284"/>
      <c r="B82" s="352" t="s">
        <v>1171</v>
      </c>
      <c r="C82" s="149">
        <f>'Inputs and eligible population'!N108</f>
        <v>0</v>
      </c>
      <c r="D82" s="128">
        <f t="shared" ref="D82:I82" si="73">(D63*$C82/60)</f>
        <v>0</v>
      </c>
      <c r="E82" s="128">
        <f t="shared" si="73"/>
        <v>0</v>
      </c>
      <c r="F82" s="128">
        <f t="shared" si="73"/>
        <v>0</v>
      </c>
      <c r="G82" s="128">
        <f t="shared" si="73"/>
        <v>0</v>
      </c>
      <c r="H82" s="128">
        <f t="shared" si="73"/>
        <v>0</v>
      </c>
      <c r="I82" s="128">
        <f t="shared" si="73"/>
        <v>0</v>
      </c>
      <c r="J82" s="284"/>
      <c r="K82" s="598">
        <f>'Inputs and eligible population'!Q109</f>
        <v>38.99</v>
      </c>
      <c r="L82" s="289">
        <f t="shared" si="66"/>
        <v>0</v>
      </c>
      <c r="M82" s="289">
        <f t="shared" si="67"/>
        <v>0</v>
      </c>
      <c r="N82" s="289">
        <f t="shared" si="68"/>
        <v>0</v>
      </c>
      <c r="O82" s="289">
        <f t="shared" si="69"/>
        <v>0</v>
      </c>
      <c r="P82" s="289">
        <f t="shared" si="70"/>
        <v>0</v>
      </c>
      <c r="Q82" s="289">
        <f t="shared" si="71"/>
        <v>0</v>
      </c>
      <c r="S82" s="133"/>
      <c r="T82" s="133"/>
      <c r="U82" s="133"/>
      <c r="V82" s="133"/>
      <c r="W82" s="133"/>
      <c r="X82" s="133"/>
      <c r="Y82" s="133"/>
      <c r="Z82" s="133"/>
      <c r="AJ82" s="283"/>
      <c r="AK82" s="283"/>
      <c r="AL82" s="283"/>
      <c r="AM82" s="283"/>
      <c r="AN82" s="283"/>
    </row>
    <row r="83" spans="1:40" x14ac:dyDescent="0.25">
      <c r="A83" s="284"/>
      <c r="B83" s="280"/>
      <c r="C83" s="280"/>
      <c r="D83" s="186">
        <f>SUM(D79:D82)</f>
        <v>0</v>
      </c>
      <c r="E83" s="186">
        <f t="shared" ref="E83:I83" si="74">SUM(E79:E82)</f>
        <v>0</v>
      </c>
      <c r="F83" s="186">
        <f t="shared" si="74"/>
        <v>0</v>
      </c>
      <c r="G83" s="186">
        <f t="shared" si="74"/>
        <v>0</v>
      </c>
      <c r="H83" s="186">
        <f t="shared" si="74"/>
        <v>0</v>
      </c>
      <c r="I83" s="186">
        <f t="shared" si="74"/>
        <v>0</v>
      </c>
      <c r="J83" s="284"/>
      <c r="K83" s="284"/>
      <c r="L83" s="290">
        <f>SUM(L79:L82)</f>
        <v>0</v>
      </c>
      <c r="M83" s="290">
        <f t="shared" ref="M83:P83" si="75">SUM(M79:M82)</f>
        <v>0</v>
      </c>
      <c r="N83" s="290">
        <f t="shared" si="75"/>
        <v>0</v>
      </c>
      <c r="O83" s="290">
        <f t="shared" si="75"/>
        <v>0</v>
      </c>
      <c r="P83" s="290">
        <f t="shared" si="75"/>
        <v>0</v>
      </c>
      <c r="Q83" s="290">
        <f>SUM(Q79:Q82)</f>
        <v>0</v>
      </c>
      <c r="S83" s="133"/>
      <c r="T83" s="133"/>
      <c r="U83" s="133"/>
      <c r="V83" s="133"/>
      <c r="W83" s="133"/>
      <c r="X83" s="133"/>
      <c r="Y83" s="133"/>
      <c r="Z83" s="133"/>
      <c r="AJ83" s="283"/>
      <c r="AK83" s="283"/>
      <c r="AL83" s="283"/>
      <c r="AM83" s="283"/>
      <c r="AN83" s="283"/>
    </row>
    <row r="84" spans="1:40" x14ac:dyDescent="0.25">
      <c r="A84" s="284"/>
      <c r="B84" s="280"/>
      <c r="C84" s="280"/>
      <c r="D84" s="282" t="s">
        <v>841</v>
      </c>
      <c r="E84" s="186">
        <f>E83-$D$83</f>
        <v>0</v>
      </c>
      <c r="F84" s="186">
        <f>F83-$D$83</f>
        <v>0</v>
      </c>
      <c r="G84" s="186">
        <f>G83-$D$83</f>
        <v>0</v>
      </c>
      <c r="H84" s="186">
        <f>H83-$D$83</f>
        <v>0</v>
      </c>
      <c r="I84" s="186">
        <f>I83-$D$83</f>
        <v>0</v>
      </c>
      <c r="J84" s="284"/>
      <c r="K84" s="284"/>
      <c r="L84" s="564"/>
      <c r="M84" s="290">
        <f>M83-$L$83</f>
        <v>0</v>
      </c>
      <c r="N84" s="290">
        <f t="shared" ref="N84:P84" si="76">N83-$L$83</f>
        <v>0</v>
      </c>
      <c r="O84" s="290">
        <f t="shared" si="76"/>
        <v>0</v>
      </c>
      <c r="P84" s="290">
        <f t="shared" si="76"/>
        <v>0</v>
      </c>
      <c r="Q84" s="290">
        <f>Q83-$L$83</f>
        <v>0</v>
      </c>
      <c r="S84" s="133"/>
      <c r="T84" s="133"/>
      <c r="U84" s="133"/>
      <c r="V84" s="133"/>
      <c r="W84" s="133"/>
      <c r="X84" s="133"/>
      <c r="Y84" s="133"/>
      <c r="Z84" s="133"/>
      <c r="AJ84" s="283"/>
      <c r="AK84" s="283"/>
      <c r="AL84" s="283"/>
      <c r="AM84" s="283"/>
      <c r="AN84" s="283"/>
    </row>
    <row r="85" spans="1:40" x14ac:dyDescent="0.25">
      <c r="A85" s="284"/>
      <c r="B85" s="32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S85" s="133"/>
      <c r="T85" s="133"/>
      <c r="U85" s="133"/>
      <c r="V85" s="133"/>
      <c r="W85" s="133"/>
      <c r="X85" s="133"/>
      <c r="Y85" s="133"/>
      <c r="Z85" s="133"/>
      <c r="AJ85" s="283"/>
      <c r="AK85" s="283"/>
      <c r="AL85" s="283"/>
      <c r="AM85" s="283"/>
      <c r="AN85" s="283"/>
    </row>
    <row r="86" spans="1:40" x14ac:dyDescent="0.25">
      <c r="A86" s="284"/>
      <c r="B86" s="396" t="s">
        <v>801</v>
      </c>
      <c r="C86" s="395"/>
      <c r="D86" s="395"/>
      <c r="E86" s="395"/>
      <c r="F86" s="395"/>
      <c r="G86" s="395"/>
      <c r="H86" s="395"/>
      <c r="I86" s="215"/>
      <c r="J86" s="436"/>
      <c r="K86" s="216"/>
      <c r="L86" s="435"/>
      <c r="M86" s="435"/>
      <c r="N86" s="435"/>
      <c r="O86" s="435"/>
      <c r="P86" s="435"/>
      <c r="Q86" s="435"/>
      <c r="V86" s="133"/>
      <c r="AJ86" s="283"/>
      <c r="AK86" s="283"/>
      <c r="AL86" s="283"/>
      <c r="AM86" s="283"/>
      <c r="AN86" s="283"/>
    </row>
    <row r="87" spans="1:40" ht="60" x14ac:dyDescent="0.25">
      <c r="A87" s="284"/>
      <c r="B87" s="279" t="s">
        <v>758</v>
      </c>
      <c r="C87" s="166" t="s">
        <v>708</v>
      </c>
      <c r="D87" s="428" t="s">
        <v>820</v>
      </c>
      <c r="E87" s="256" t="s">
        <v>666</v>
      </c>
      <c r="F87" s="256" t="s">
        <v>667</v>
      </c>
      <c r="G87" s="165" t="s">
        <v>777</v>
      </c>
      <c r="H87" s="165" t="s">
        <v>778</v>
      </c>
      <c r="I87" s="256" t="s">
        <v>779</v>
      </c>
      <c r="J87" s="284"/>
      <c r="K87" s="583" t="s">
        <v>827</v>
      </c>
      <c r="L87" s="428" t="s">
        <v>820</v>
      </c>
      <c r="M87" s="256" t="s">
        <v>666</v>
      </c>
      <c r="N87" s="256" t="s">
        <v>667</v>
      </c>
      <c r="O87" s="165" t="s">
        <v>777</v>
      </c>
      <c r="P87" s="165" t="s">
        <v>778</v>
      </c>
      <c r="Q87" s="256" t="s">
        <v>779</v>
      </c>
      <c r="V87" s="133"/>
      <c r="AJ87" s="283"/>
      <c r="AK87" s="283"/>
      <c r="AL87" s="283"/>
      <c r="AM87" s="283"/>
      <c r="AN87" s="283"/>
    </row>
    <row r="88" spans="1:40" x14ac:dyDescent="0.25">
      <c r="A88" s="284"/>
      <c r="B88" s="352" t="s">
        <v>1168</v>
      </c>
      <c r="C88" s="149">
        <f>'Inputs and eligible population'!K109</f>
        <v>0</v>
      </c>
      <c r="D88" s="128">
        <f>(D60*$C88/60)</f>
        <v>0</v>
      </c>
      <c r="E88" s="128">
        <f t="shared" ref="E88:I88" si="77">(E60*$C88/60)</f>
        <v>0</v>
      </c>
      <c r="F88" s="128">
        <f t="shared" si="77"/>
        <v>0</v>
      </c>
      <c r="G88" s="128">
        <f t="shared" si="77"/>
        <v>0</v>
      </c>
      <c r="H88" s="128">
        <f t="shared" si="77"/>
        <v>0</v>
      </c>
      <c r="I88" s="128">
        <f t="shared" si="77"/>
        <v>0</v>
      </c>
      <c r="J88" s="284"/>
      <c r="K88" s="598">
        <f>'Inputs and eligible population'!Q109</f>
        <v>38.99</v>
      </c>
      <c r="L88" s="289">
        <f>(D88*$K88)/1000</f>
        <v>0</v>
      </c>
      <c r="M88" s="289">
        <f t="shared" ref="M88:Q88" si="78">(E88*$K88)/1000</f>
        <v>0</v>
      </c>
      <c r="N88" s="289">
        <f t="shared" si="78"/>
        <v>0</v>
      </c>
      <c r="O88" s="289">
        <f t="shared" si="78"/>
        <v>0</v>
      </c>
      <c r="P88" s="289">
        <f t="shared" si="78"/>
        <v>0</v>
      </c>
      <c r="Q88" s="289">
        <f t="shared" si="78"/>
        <v>0</v>
      </c>
      <c r="V88" s="133"/>
      <c r="AJ88" s="283"/>
      <c r="AK88" s="283"/>
      <c r="AL88" s="283"/>
      <c r="AM88" s="283"/>
      <c r="AN88" s="283"/>
    </row>
    <row r="89" spans="1:40" x14ac:dyDescent="0.25">
      <c r="A89" s="284"/>
      <c r="B89" s="352" t="s">
        <v>1169</v>
      </c>
      <c r="C89" s="149">
        <f>'Inputs and eligible population'!L109</f>
        <v>0</v>
      </c>
      <c r="D89" s="128">
        <f>(D61*$C89/60)</f>
        <v>0</v>
      </c>
      <c r="E89" s="128">
        <f t="shared" ref="E89:I89" si="79">(E61*$C89/60)</f>
        <v>0</v>
      </c>
      <c r="F89" s="128">
        <f t="shared" si="79"/>
        <v>0</v>
      </c>
      <c r="G89" s="128">
        <f t="shared" si="79"/>
        <v>0</v>
      </c>
      <c r="H89" s="128">
        <f t="shared" si="79"/>
        <v>0</v>
      </c>
      <c r="I89" s="128">
        <f t="shared" si="79"/>
        <v>0</v>
      </c>
      <c r="J89" s="284"/>
      <c r="K89" s="598">
        <f>'Inputs and eligible population'!Q109</f>
        <v>38.99</v>
      </c>
      <c r="L89" s="289">
        <f t="shared" ref="L89:L91" si="80">(D89*$K89)/1000</f>
        <v>0</v>
      </c>
      <c r="M89" s="289">
        <f t="shared" ref="M89:M91" si="81">(E89*$K89)/1000</f>
        <v>0</v>
      </c>
      <c r="N89" s="289">
        <f t="shared" ref="N89:N91" si="82">(F89*$K89)/1000</f>
        <v>0</v>
      </c>
      <c r="O89" s="289">
        <f t="shared" ref="O89:O91" si="83">(G89*$K89)/1000</f>
        <v>0</v>
      </c>
      <c r="P89" s="289">
        <f t="shared" ref="P89:P91" si="84">(H89*$K89)/1000</f>
        <v>0</v>
      </c>
      <c r="Q89" s="289">
        <f t="shared" ref="Q89:Q91" si="85">(I89*$K89)/1000</f>
        <v>0</v>
      </c>
      <c r="V89" s="133"/>
      <c r="AJ89" s="283"/>
      <c r="AK89" s="283"/>
      <c r="AL89" s="283"/>
      <c r="AM89" s="283"/>
      <c r="AN89" s="283"/>
    </row>
    <row r="90" spans="1:40" x14ac:dyDescent="0.25">
      <c r="A90" s="284"/>
      <c r="B90" s="352" t="s">
        <v>1170</v>
      </c>
      <c r="C90" s="149">
        <f>'Inputs and eligible population'!M109</f>
        <v>0</v>
      </c>
      <c r="D90" s="128">
        <f t="shared" ref="D90:H91" si="86">(D62*$C90/60)</f>
        <v>0</v>
      </c>
      <c r="E90" s="128">
        <f t="shared" si="86"/>
        <v>0</v>
      </c>
      <c r="F90" s="128">
        <f t="shared" si="86"/>
        <v>0</v>
      </c>
      <c r="G90" s="128">
        <f>(G62*$C90/60)</f>
        <v>0</v>
      </c>
      <c r="H90" s="128">
        <f t="shared" si="86"/>
        <v>0</v>
      </c>
      <c r="I90" s="128">
        <f>(I62*$C90/60)</f>
        <v>0</v>
      </c>
      <c r="J90" s="284"/>
      <c r="K90" s="598">
        <f>'Inputs and eligible population'!Q109</f>
        <v>38.99</v>
      </c>
      <c r="L90" s="289">
        <f t="shared" si="80"/>
        <v>0</v>
      </c>
      <c r="M90" s="289">
        <f t="shared" si="81"/>
        <v>0</v>
      </c>
      <c r="N90" s="289">
        <f t="shared" si="82"/>
        <v>0</v>
      </c>
      <c r="O90" s="289">
        <f t="shared" si="83"/>
        <v>0</v>
      </c>
      <c r="P90" s="289">
        <f t="shared" si="84"/>
        <v>0</v>
      </c>
      <c r="Q90" s="289">
        <f t="shared" si="85"/>
        <v>0</v>
      </c>
      <c r="V90" s="133"/>
      <c r="AJ90" s="283"/>
      <c r="AK90" s="283"/>
      <c r="AL90" s="283"/>
      <c r="AM90" s="283"/>
      <c r="AN90" s="283"/>
    </row>
    <row r="91" spans="1:40" x14ac:dyDescent="0.25">
      <c r="A91" s="284"/>
      <c r="B91" s="352" t="s">
        <v>1171</v>
      </c>
      <c r="C91" s="149">
        <f>'Inputs and eligible population'!N109</f>
        <v>0</v>
      </c>
      <c r="D91" s="128">
        <f t="shared" si="86"/>
        <v>0</v>
      </c>
      <c r="E91" s="128">
        <f t="shared" si="86"/>
        <v>0</v>
      </c>
      <c r="F91" s="128">
        <f t="shared" si="86"/>
        <v>0</v>
      </c>
      <c r="G91" s="128">
        <f t="shared" si="86"/>
        <v>0</v>
      </c>
      <c r="H91" s="128">
        <f t="shared" si="86"/>
        <v>0</v>
      </c>
      <c r="I91" s="128">
        <f>(I63*$C91/60)</f>
        <v>0</v>
      </c>
      <c r="J91" s="284"/>
      <c r="K91" s="598">
        <f>'Inputs and eligible population'!Q109</f>
        <v>38.99</v>
      </c>
      <c r="L91" s="289">
        <f t="shared" si="80"/>
        <v>0</v>
      </c>
      <c r="M91" s="289">
        <f t="shared" si="81"/>
        <v>0</v>
      </c>
      <c r="N91" s="289">
        <f t="shared" si="82"/>
        <v>0</v>
      </c>
      <c r="O91" s="289">
        <f t="shared" si="83"/>
        <v>0</v>
      </c>
      <c r="P91" s="289">
        <f t="shared" si="84"/>
        <v>0</v>
      </c>
      <c r="Q91" s="289">
        <f t="shared" si="85"/>
        <v>0</v>
      </c>
      <c r="V91" s="133"/>
      <c r="AJ91" s="283"/>
      <c r="AK91" s="283"/>
      <c r="AL91" s="283"/>
      <c r="AM91" s="283"/>
      <c r="AN91" s="283"/>
    </row>
    <row r="92" spans="1:40" x14ac:dyDescent="0.25">
      <c r="A92" s="284"/>
      <c r="B92" s="280"/>
      <c r="C92" s="280"/>
      <c r="D92" s="186">
        <f>SUM(D88:D91)</f>
        <v>0</v>
      </c>
      <c r="E92" s="186">
        <f t="shared" ref="E92:I92" si="87">SUM(E88:E91)</f>
        <v>0</v>
      </c>
      <c r="F92" s="186">
        <f t="shared" si="87"/>
        <v>0</v>
      </c>
      <c r="G92" s="186">
        <f>SUM(G88:G91)</f>
        <v>0</v>
      </c>
      <c r="H92" s="186">
        <f t="shared" si="87"/>
        <v>0</v>
      </c>
      <c r="I92" s="186">
        <f t="shared" si="87"/>
        <v>0</v>
      </c>
      <c r="J92" s="284"/>
      <c r="K92" s="284"/>
      <c r="L92" s="290">
        <f>SUM(L88:L91)</f>
        <v>0</v>
      </c>
      <c r="M92" s="290">
        <f t="shared" ref="M92:P92" si="88">SUM(M88:M91)</f>
        <v>0</v>
      </c>
      <c r="N92" s="290">
        <f t="shared" si="88"/>
        <v>0</v>
      </c>
      <c r="O92" s="290">
        <f t="shared" si="88"/>
        <v>0</v>
      </c>
      <c r="P92" s="290">
        <f t="shared" si="88"/>
        <v>0</v>
      </c>
      <c r="Q92" s="290">
        <f>SUM(Q88:Q91)</f>
        <v>0</v>
      </c>
      <c r="R92" s="133"/>
      <c r="S92" s="133"/>
      <c r="T92" s="133"/>
      <c r="U92" s="133"/>
      <c r="V92" s="133"/>
      <c r="W92" s="133"/>
      <c r="X92" s="133"/>
      <c r="Y92" s="133"/>
      <c r="Z92" s="133"/>
      <c r="AJ92" s="283"/>
      <c r="AK92" s="283"/>
      <c r="AL92" s="283"/>
      <c r="AM92" s="283"/>
      <c r="AN92" s="283"/>
    </row>
    <row r="93" spans="1:40" x14ac:dyDescent="0.25">
      <c r="A93" s="284"/>
      <c r="B93" s="305"/>
      <c r="C93" s="280"/>
      <c r="D93" s="282" t="s">
        <v>842</v>
      </c>
      <c r="E93" s="186">
        <f>E92-$D$92</f>
        <v>0</v>
      </c>
      <c r="F93" s="186">
        <f>F92-$D$92</f>
        <v>0</v>
      </c>
      <c r="G93" s="186">
        <f>G92-$D$92</f>
        <v>0</v>
      </c>
      <c r="H93" s="186">
        <f>H92-$D$92</f>
        <v>0</v>
      </c>
      <c r="I93" s="186">
        <f>I92-$D$92</f>
        <v>0</v>
      </c>
      <c r="J93" s="284"/>
      <c r="K93" s="284"/>
      <c r="L93" s="564"/>
      <c r="M93" s="290">
        <f>M92-$L$92</f>
        <v>0</v>
      </c>
      <c r="N93" s="290">
        <f t="shared" ref="N93:P93" si="89">N92-$L$92</f>
        <v>0</v>
      </c>
      <c r="O93" s="290">
        <f t="shared" si="89"/>
        <v>0</v>
      </c>
      <c r="P93" s="290">
        <f t="shared" si="89"/>
        <v>0</v>
      </c>
      <c r="Q93" s="290">
        <f>Q92-$L$92</f>
        <v>0</v>
      </c>
      <c r="R93" s="133"/>
      <c r="S93" s="133"/>
      <c r="T93" s="133"/>
      <c r="U93" s="133"/>
      <c r="V93" s="133"/>
      <c r="W93" s="133"/>
      <c r="X93" s="133"/>
      <c r="Y93" s="133"/>
      <c r="Z93" s="133"/>
      <c r="AJ93" s="283"/>
      <c r="AK93" s="283"/>
      <c r="AL93" s="283"/>
      <c r="AM93" s="283"/>
      <c r="AN93" s="283"/>
    </row>
    <row r="94" spans="1:40" x14ac:dyDescent="0.25">
      <c r="A94" s="284"/>
      <c r="B94" s="325"/>
      <c r="C94" s="216"/>
      <c r="D94" s="216"/>
      <c r="E94" s="216"/>
      <c r="F94" s="216"/>
      <c r="G94" s="216"/>
      <c r="H94" s="216"/>
      <c r="I94" s="216"/>
      <c r="J94" s="284"/>
      <c r="K94" s="284"/>
      <c r="L94" s="216"/>
      <c r="M94" s="216"/>
      <c r="N94" s="216"/>
      <c r="O94" s="216"/>
      <c r="P94" s="216"/>
      <c r="Q94" s="216"/>
      <c r="R94" s="133"/>
      <c r="S94" s="133"/>
      <c r="T94" s="133"/>
      <c r="U94" s="133"/>
      <c r="V94" s="133"/>
      <c r="W94" s="133"/>
      <c r="X94" s="133"/>
      <c r="Y94" s="133"/>
      <c r="Z94" s="133"/>
      <c r="AJ94" s="283"/>
      <c r="AK94" s="283"/>
      <c r="AL94" s="283"/>
      <c r="AM94" s="283"/>
      <c r="AN94" s="283"/>
    </row>
    <row r="95" spans="1:40" x14ac:dyDescent="0.25">
      <c r="A95" s="286"/>
      <c r="B95" s="326" t="s">
        <v>843</v>
      </c>
      <c r="C95" s="308"/>
      <c r="D95" s="307"/>
      <c r="E95" s="308"/>
      <c r="F95" s="309"/>
      <c r="G95" s="310"/>
      <c r="H95" s="310"/>
      <c r="I95" s="367"/>
      <c r="J95" s="286"/>
      <c r="K95" s="286"/>
      <c r="L95" s="286"/>
      <c r="M95" s="286"/>
      <c r="N95" s="286"/>
      <c r="O95" s="286"/>
      <c r="P95" s="286"/>
      <c r="Q95" s="286"/>
      <c r="R95" s="133"/>
      <c r="S95" s="133"/>
      <c r="T95" s="133"/>
      <c r="U95" s="133"/>
      <c r="V95" s="133"/>
      <c r="W95" s="133"/>
      <c r="X95" s="133"/>
      <c r="Y95" s="133"/>
      <c r="Z95" s="133"/>
      <c r="AJ95" s="283"/>
      <c r="AK95" s="283"/>
      <c r="AL95" s="283"/>
      <c r="AM95" s="283"/>
      <c r="AN95" s="283"/>
    </row>
    <row r="96" spans="1:40" x14ac:dyDescent="0.25">
      <c r="A96" s="286"/>
      <c r="B96" s="397" t="s">
        <v>844</v>
      </c>
      <c r="C96" s="398"/>
      <c r="D96" s="398"/>
      <c r="E96" s="398"/>
      <c r="F96" s="398"/>
      <c r="G96" s="398"/>
      <c r="H96" s="398"/>
      <c r="I96" s="219"/>
      <c r="J96" s="286"/>
      <c r="K96" s="286"/>
      <c r="L96" s="286"/>
      <c r="M96" s="286"/>
      <c r="N96" s="286"/>
      <c r="O96" s="286"/>
      <c r="P96" s="286"/>
      <c r="Q96" s="286"/>
      <c r="V96" s="133"/>
    </row>
    <row r="97" spans="1:40" ht="45" x14ac:dyDescent="0.25">
      <c r="A97" s="286"/>
      <c r="B97" s="276" t="s">
        <v>758</v>
      </c>
      <c r="C97" s="166" t="s">
        <v>710</v>
      </c>
      <c r="D97" s="428" t="s">
        <v>820</v>
      </c>
      <c r="E97" s="256" t="s">
        <v>666</v>
      </c>
      <c r="F97" s="256" t="s">
        <v>667</v>
      </c>
      <c r="G97" s="165" t="s">
        <v>777</v>
      </c>
      <c r="H97" s="165" t="s">
        <v>778</v>
      </c>
      <c r="I97" s="256" t="s">
        <v>779</v>
      </c>
      <c r="J97" s="286"/>
      <c r="K97" s="583" t="s">
        <v>827</v>
      </c>
      <c r="L97" s="428" t="s">
        <v>820</v>
      </c>
      <c r="M97" s="256" t="s">
        <v>666</v>
      </c>
      <c r="N97" s="256" t="s">
        <v>667</v>
      </c>
      <c r="O97" s="165" t="s">
        <v>777</v>
      </c>
      <c r="P97" s="165" t="s">
        <v>778</v>
      </c>
      <c r="Q97" s="256" t="s">
        <v>779</v>
      </c>
      <c r="V97" s="133"/>
    </row>
    <row r="98" spans="1:40" x14ac:dyDescent="0.25">
      <c r="A98" s="286"/>
      <c r="B98" s="352" t="s">
        <v>1168</v>
      </c>
      <c r="C98" s="149">
        <f>'Inputs and eligible population'!K110</f>
        <v>0</v>
      </c>
      <c r="D98" s="128">
        <f>D60*$C98/60</f>
        <v>0</v>
      </c>
      <c r="E98" s="128">
        <f t="shared" ref="E98:I98" si="90">E60*$C98/60</f>
        <v>0</v>
      </c>
      <c r="F98" s="128">
        <f t="shared" si="90"/>
        <v>0</v>
      </c>
      <c r="G98" s="128">
        <f t="shared" si="90"/>
        <v>0</v>
      </c>
      <c r="H98" s="128">
        <f t="shared" si="90"/>
        <v>0</v>
      </c>
      <c r="I98" s="128">
        <f t="shared" si="90"/>
        <v>0</v>
      </c>
      <c r="J98" s="286"/>
      <c r="K98" s="598">
        <f>'Inputs and eligible population'!Q110</f>
        <v>43.28</v>
      </c>
      <c r="L98" s="289">
        <f>(D98*$K98)/1000</f>
        <v>0</v>
      </c>
      <c r="M98" s="289">
        <f t="shared" ref="M98:Q98" si="91">(E98*$K98)/1000</f>
        <v>0</v>
      </c>
      <c r="N98" s="289">
        <f t="shared" si="91"/>
        <v>0</v>
      </c>
      <c r="O98" s="289">
        <f t="shared" si="91"/>
        <v>0</v>
      </c>
      <c r="P98" s="289">
        <f t="shared" si="91"/>
        <v>0</v>
      </c>
      <c r="Q98" s="289">
        <f t="shared" si="91"/>
        <v>0</v>
      </c>
      <c r="V98" s="133"/>
    </row>
    <row r="99" spans="1:40" x14ac:dyDescent="0.25">
      <c r="A99" s="286"/>
      <c r="B99" s="352" t="s">
        <v>1169</v>
      </c>
      <c r="C99" s="149">
        <f>'Inputs and eligible population'!L110</f>
        <v>0</v>
      </c>
      <c r="D99" s="128">
        <f t="shared" ref="D99:I99" si="92">D61*$C99/60</f>
        <v>0</v>
      </c>
      <c r="E99" s="128">
        <f t="shared" si="92"/>
        <v>0</v>
      </c>
      <c r="F99" s="128">
        <f t="shared" si="92"/>
        <v>0</v>
      </c>
      <c r="G99" s="128">
        <f t="shared" si="92"/>
        <v>0</v>
      </c>
      <c r="H99" s="128">
        <f t="shared" si="92"/>
        <v>0</v>
      </c>
      <c r="I99" s="128">
        <f t="shared" si="92"/>
        <v>0</v>
      </c>
      <c r="J99" s="286"/>
      <c r="K99" s="598">
        <f>'Inputs and eligible population'!Q110</f>
        <v>43.28</v>
      </c>
      <c r="L99" s="289">
        <f t="shared" ref="L99:L101" si="93">(D99*$K99)/1000</f>
        <v>0</v>
      </c>
      <c r="M99" s="289">
        <f t="shared" ref="M99:M101" si="94">(E99*$K99)/1000</f>
        <v>0</v>
      </c>
      <c r="N99" s="289">
        <f t="shared" ref="N99:N101" si="95">(F99*$K99)/1000</f>
        <v>0</v>
      </c>
      <c r="O99" s="289">
        <f t="shared" ref="O99:O101" si="96">(G99*$K99)/1000</f>
        <v>0</v>
      </c>
      <c r="P99" s="289">
        <f t="shared" ref="P99:P101" si="97">(H99*$K99)/1000</f>
        <v>0</v>
      </c>
      <c r="Q99" s="289">
        <f t="shared" ref="Q99:Q100" si="98">(I99*$K99)/1000</f>
        <v>0</v>
      </c>
      <c r="V99" s="133"/>
    </row>
    <row r="100" spans="1:40" x14ac:dyDescent="0.25">
      <c r="A100" s="286"/>
      <c r="B100" s="352" t="s">
        <v>1170</v>
      </c>
      <c r="C100" s="149">
        <f>'Inputs and eligible population'!M110</f>
        <v>0</v>
      </c>
      <c r="D100" s="128">
        <f t="shared" ref="D100:I100" si="99">D62*$C100/60</f>
        <v>0</v>
      </c>
      <c r="E100" s="128">
        <f t="shared" si="99"/>
        <v>0</v>
      </c>
      <c r="F100" s="128">
        <f t="shared" si="99"/>
        <v>0</v>
      </c>
      <c r="G100" s="128">
        <f t="shared" si="99"/>
        <v>0</v>
      </c>
      <c r="H100" s="128">
        <f t="shared" si="99"/>
        <v>0</v>
      </c>
      <c r="I100" s="128">
        <f t="shared" si="99"/>
        <v>0</v>
      </c>
      <c r="J100" s="286"/>
      <c r="K100" s="598">
        <f>'Inputs and eligible population'!Q110</f>
        <v>43.28</v>
      </c>
      <c r="L100" s="289">
        <f t="shared" si="93"/>
        <v>0</v>
      </c>
      <c r="M100" s="289">
        <f t="shared" si="94"/>
        <v>0</v>
      </c>
      <c r="N100" s="289">
        <f t="shared" si="95"/>
        <v>0</v>
      </c>
      <c r="O100" s="289">
        <f t="shared" si="96"/>
        <v>0</v>
      </c>
      <c r="P100" s="289">
        <f t="shared" si="97"/>
        <v>0</v>
      </c>
      <c r="Q100" s="289">
        <f t="shared" si="98"/>
        <v>0</v>
      </c>
      <c r="V100" s="133"/>
    </row>
    <row r="101" spans="1:40" x14ac:dyDescent="0.25">
      <c r="A101" s="286"/>
      <c r="B101" s="352" t="s">
        <v>1171</v>
      </c>
      <c r="C101" s="149">
        <f>'Inputs and eligible population'!N110</f>
        <v>0</v>
      </c>
      <c r="D101" s="128">
        <f t="shared" ref="D101:I101" si="100">D63*$C101/60</f>
        <v>0</v>
      </c>
      <c r="E101" s="128">
        <f t="shared" si="100"/>
        <v>0</v>
      </c>
      <c r="F101" s="128">
        <f t="shared" si="100"/>
        <v>0</v>
      </c>
      <c r="G101" s="128">
        <f t="shared" si="100"/>
        <v>0</v>
      </c>
      <c r="H101" s="128">
        <f t="shared" si="100"/>
        <v>0</v>
      </c>
      <c r="I101" s="128">
        <f t="shared" si="100"/>
        <v>0</v>
      </c>
      <c r="J101" s="286"/>
      <c r="K101" s="598">
        <f>'Inputs and eligible population'!Q110</f>
        <v>43.28</v>
      </c>
      <c r="L101" s="289">
        <f t="shared" si="93"/>
        <v>0</v>
      </c>
      <c r="M101" s="289">
        <f t="shared" si="94"/>
        <v>0</v>
      </c>
      <c r="N101" s="289">
        <f t="shared" si="95"/>
        <v>0</v>
      </c>
      <c r="O101" s="289">
        <f t="shared" si="96"/>
        <v>0</v>
      </c>
      <c r="P101" s="289">
        <f t="shared" si="97"/>
        <v>0</v>
      </c>
      <c r="Q101" s="289">
        <f>(I101*$K101)/1000</f>
        <v>0</v>
      </c>
      <c r="V101" s="133"/>
    </row>
    <row r="102" spans="1:40" x14ac:dyDescent="0.25">
      <c r="A102" s="286"/>
      <c r="B102" s="280"/>
      <c r="C102" s="206"/>
      <c r="D102" s="186">
        <f>SUM(D98:D101)</f>
        <v>0</v>
      </c>
      <c r="E102" s="186">
        <f t="shared" ref="E102:I102" si="101">SUM(E98:E101)</f>
        <v>0</v>
      </c>
      <c r="F102" s="186">
        <f t="shared" si="101"/>
        <v>0</v>
      </c>
      <c r="G102" s="186">
        <f t="shared" si="101"/>
        <v>0</v>
      </c>
      <c r="H102" s="186">
        <f t="shared" si="101"/>
        <v>0</v>
      </c>
      <c r="I102" s="186">
        <f t="shared" si="101"/>
        <v>0</v>
      </c>
      <c r="J102" s="286"/>
      <c r="K102" s="286"/>
      <c r="L102" s="290">
        <f>SUM(L98:L101)</f>
        <v>0</v>
      </c>
      <c r="M102" s="290">
        <f>SUM(M98:M101)</f>
        <v>0</v>
      </c>
      <c r="N102" s="290">
        <f t="shared" ref="N102:P102" si="102">SUM(N98:N101)</f>
        <v>0</v>
      </c>
      <c r="O102" s="290">
        <f t="shared" si="102"/>
        <v>0</v>
      </c>
      <c r="P102" s="290">
        <f t="shared" si="102"/>
        <v>0</v>
      </c>
      <c r="Q102" s="290">
        <f>SUM(Q98:Q101)</f>
        <v>0</v>
      </c>
      <c r="V102" s="133"/>
    </row>
    <row r="103" spans="1:40" x14ac:dyDescent="0.25">
      <c r="A103" s="286"/>
      <c r="B103" s="305"/>
      <c r="C103" s="224"/>
      <c r="D103" s="282" t="s">
        <v>807</v>
      </c>
      <c r="E103" s="186">
        <f>E102-$D$102</f>
        <v>0</v>
      </c>
      <c r="F103" s="186">
        <f>F102-$D$102</f>
        <v>0</v>
      </c>
      <c r="G103" s="186">
        <f>G102-$D$102</f>
        <v>0</v>
      </c>
      <c r="H103" s="186">
        <f>H102-$D$102</f>
        <v>0</v>
      </c>
      <c r="I103" s="186">
        <f>I102-$D$102</f>
        <v>0</v>
      </c>
      <c r="J103" s="286"/>
      <c r="K103" s="286"/>
      <c r="L103" s="565"/>
      <c r="M103" s="290">
        <f>M102-$L$102</f>
        <v>0</v>
      </c>
      <c r="N103" s="290">
        <f t="shared" ref="N103:P103" si="103">N102-$L$102</f>
        <v>0</v>
      </c>
      <c r="O103" s="290">
        <f t="shared" si="103"/>
        <v>0</v>
      </c>
      <c r="P103" s="290">
        <f t="shared" si="103"/>
        <v>0</v>
      </c>
      <c r="Q103" s="290">
        <f>Q102-$L$102</f>
        <v>0</v>
      </c>
      <c r="V103" s="133"/>
    </row>
    <row r="104" spans="1:40" x14ac:dyDescent="0.25">
      <c r="A104" s="286"/>
      <c r="B104" s="327"/>
      <c r="C104" s="839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133"/>
      <c r="S104" s="133"/>
      <c r="T104" s="133"/>
      <c r="U104" s="133"/>
      <c r="V104" s="133"/>
      <c r="W104" s="133"/>
      <c r="X104" s="133"/>
      <c r="Y104" s="133"/>
      <c r="Z104" s="133"/>
      <c r="AJ104" s="283"/>
      <c r="AK104" s="283"/>
      <c r="AL104" s="283"/>
      <c r="AM104" s="283"/>
      <c r="AN104" s="283"/>
    </row>
    <row r="105" spans="1:40" hidden="1" x14ac:dyDescent="0.25">
      <c r="A105" s="332"/>
      <c r="B105" s="333" t="s">
        <v>845</v>
      </c>
      <c r="C105" s="838"/>
      <c r="D105" s="334"/>
      <c r="E105" s="335"/>
      <c r="F105" s="336"/>
      <c r="G105" s="337"/>
      <c r="H105" s="337"/>
      <c r="I105" s="391"/>
      <c r="J105" s="332"/>
      <c r="K105" s="332"/>
      <c r="L105" s="332"/>
      <c r="M105" s="332"/>
      <c r="N105" s="332"/>
      <c r="O105" s="332"/>
      <c r="P105" s="332"/>
      <c r="Q105" s="412"/>
      <c r="R105" s="133"/>
      <c r="S105" s="133"/>
      <c r="T105" s="133"/>
      <c r="U105" s="133"/>
      <c r="V105" s="133"/>
      <c r="W105" s="133"/>
      <c r="X105" s="133"/>
      <c r="Y105" s="133"/>
      <c r="Z105" s="133"/>
      <c r="AJ105" s="283"/>
      <c r="AK105" s="283"/>
      <c r="AL105" s="283"/>
      <c r="AM105" s="283"/>
      <c r="AN105" s="283"/>
    </row>
    <row r="106" spans="1:40" hidden="1" x14ac:dyDescent="0.25">
      <c r="A106" s="332"/>
      <c r="B106" s="401" t="s">
        <v>846</v>
      </c>
      <c r="C106" s="402"/>
      <c r="D106" s="402"/>
      <c r="E106" s="402"/>
      <c r="F106" s="402"/>
      <c r="G106" s="402"/>
      <c r="H106" s="402"/>
      <c r="I106" s="338"/>
      <c r="J106" s="412"/>
      <c r="K106" s="412"/>
      <c r="L106" s="442"/>
      <c r="M106" s="442"/>
      <c r="N106" s="442"/>
      <c r="O106" s="442"/>
      <c r="P106" s="442"/>
      <c r="Q106" s="442"/>
      <c r="R106" s="133"/>
      <c r="S106" s="133"/>
      <c r="T106" s="133"/>
      <c r="U106" s="133"/>
      <c r="V106" s="133"/>
      <c r="W106" s="133"/>
      <c r="X106" s="133"/>
      <c r="Y106" s="133"/>
      <c r="Z106" s="133"/>
      <c r="AJ106" s="283"/>
      <c r="AK106" s="283"/>
      <c r="AL106" s="283"/>
      <c r="AM106" s="283"/>
      <c r="AN106" s="283"/>
    </row>
    <row r="107" spans="1:40" ht="45" hidden="1" x14ac:dyDescent="0.25">
      <c r="A107" s="332"/>
      <c r="B107" s="276" t="s">
        <v>758</v>
      </c>
      <c r="C107" s="166" t="s">
        <v>713</v>
      </c>
      <c r="D107" s="428" t="s">
        <v>820</v>
      </c>
      <c r="E107" s="256" t="s">
        <v>666</v>
      </c>
      <c r="F107" s="256" t="s">
        <v>667</v>
      </c>
      <c r="G107" s="165" t="s">
        <v>777</v>
      </c>
      <c r="H107" s="165" t="s">
        <v>778</v>
      </c>
      <c r="I107" s="256" t="s">
        <v>779</v>
      </c>
      <c r="J107" s="332"/>
      <c r="K107" s="583" t="s">
        <v>827</v>
      </c>
      <c r="L107" s="428" t="s">
        <v>820</v>
      </c>
      <c r="M107" s="256" t="s">
        <v>666</v>
      </c>
      <c r="N107" s="256" t="s">
        <v>667</v>
      </c>
      <c r="O107" s="165" t="s">
        <v>777</v>
      </c>
      <c r="P107" s="165" t="s">
        <v>778</v>
      </c>
      <c r="Q107" s="256" t="s">
        <v>779</v>
      </c>
      <c r="R107" s="133"/>
      <c r="S107" s="133"/>
      <c r="T107" s="133"/>
      <c r="U107" s="133"/>
      <c r="V107" s="133"/>
      <c r="W107" s="133"/>
      <c r="X107" s="133"/>
      <c r="Y107" s="133"/>
      <c r="Z107" s="133"/>
      <c r="AJ107" s="283"/>
      <c r="AK107" s="283"/>
      <c r="AL107" s="283"/>
      <c r="AM107" s="283"/>
      <c r="AN107" s="283"/>
    </row>
    <row r="108" spans="1:40" hidden="1" x14ac:dyDescent="0.25">
      <c r="A108" s="332"/>
      <c r="B108" s="352"/>
      <c r="C108" s="149"/>
      <c r="D108" s="128"/>
      <c r="E108" s="128"/>
      <c r="F108" s="128"/>
      <c r="G108" s="128"/>
      <c r="H108" s="128"/>
      <c r="I108" s="128"/>
      <c r="J108" s="332"/>
      <c r="K108" s="598">
        <f>'Inputs and eligible population'!Q112</f>
        <v>103.07</v>
      </c>
      <c r="L108" s="289">
        <f>(D108*$C108*'Inputs and eligible population'!$F$112/60*$K108)/1000</f>
        <v>0</v>
      </c>
      <c r="M108" s="289">
        <f>(E108*$C108*'Inputs and eligible population'!$F$112/60*$K108)/1000</f>
        <v>0</v>
      </c>
      <c r="N108" s="289">
        <f>(F108*$C108*'Inputs and eligible population'!$F$112/60*$K108)/1000</f>
        <v>0</v>
      </c>
      <c r="O108" s="289">
        <f>(G108*$C108*'Inputs and eligible population'!$F$112/60*$K108)/1000</f>
        <v>0</v>
      </c>
      <c r="P108" s="289">
        <f>(H108*$C108*'Inputs and eligible population'!$F$112/60*$K108)/1000</f>
        <v>0</v>
      </c>
      <c r="Q108" s="289">
        <f>(I108*$C108*'Inputs and eligible population'!$F$112/60*$K108)/1000</f>
        <v>0</v>
      </c>
      <c r="R108" s="133"/>
      <c r="S108" s="133"/>
      <c r="T108" s="133"/>
      <c r="U108" s="133"/>
      <c r="V108" s="133"/>
      <c r="W108" s="133"/>
      <c r="X108" s="133"/>
      <c r="Y108" s="133"/>
      <c r="Z108" s="133"/>
      <c r="AJ108" s="283"/>
      <c r="AK108" s="283"/>
      <c r="AL108" s="283"/>
      <c r="AM108" s="283"/>
      <c r="AN108" s="283"/>
    </row>
    <row r="109" spans="1:40" hidden="1" x14ac:dyDescent="0.25">
      <c r="A109" s="332"/>
      <c r="B109" s="352"/>
      <c r="C109" s="149"/>
      <c r="D109" s="128"/>
      <c r="E109" s="128"/>
      <c r="F109" s="128"/>
      <c r="G109" s="128"/>
      <c r="H109" s="128"/>
      <c r="I109" s="128"/>
      <c r="J109" s="332"/>
      <c r="K109" s="598">
        <f>'Inputs and eligible population'!Q112</f>
        <v>103.07</v>
      </c>
      <c r="L109" s="289">
        <f>(D109*$C109*'Inputs and eligible population'!$F$112/60*$K109)/1000</f>
        <v>0</v>
      </c>
      <c r="M109" s="289">
        <f>(E109*$C109*'Inputs and eligible population'!$F$112/60*$K109)/1000</f>
        <v>0</v>
      </c>
      <c r="N109" s="289">
        <f>(F109*$C109*'Inputs and eligible population'!$F$112/60*$K109)/1000</f>
        <v>0</v>
      </c>
      <c r="O109" s="289">
        <f>(G109*$C109*'Inputs and eligible population'!$F$112/60*$K109)/1000</f>
        <v>0</v>
      </c>
      <c r="P109" s="289">
        <f>(H109*$C109*'Inputs and eligible population'!$F$112/60*$K109)/1000</f>
        <v>0</v>
      </c>
      <c r="Q109" s="289">
        <f>(I109*$C109*'Inputs and eligible population'!$F$112/60*$K109)/1000</f>
        <v>0</v>
      </c>
      <c r="R109" s="133"/>
      <c r="S109" s="133"/>
      <c r="T109" s="133"/>
      <c r="U109" s="133"/>
      <c r="V109" s="133"/>
      <c r="W109" s="133"/>
      <c r="X109" s="133"/>
      <c r="Y109" s="133"/>
      <c r="Z109" s="133"/>
      <c r="AJ109" s="283"/>
      <c r="AK109" s="283"/>
      <c r="AL109" s="283"/>
      <c r="AM109" s="283"/>
      <c r="AN109" s="283"/>
    </row>
    <row r="110" spans="1:40" hidden="1" x14ac:dyDescent="0.25">
      <c r="A110" s="332"/>
      <c r="B110" s="352"/>
      <c r="C110" s="149"/>
      <c r="D110" s="128"/>
      <c r="E110" s="128"/>
      <c r="F110" s="128"/>
      <c r="G110" s="128"/>
      <c r="H110" s="128"/>
      <c r="I110" s="128"/>
      <c r="J110" s="332"/>
      <c r="K110" s="598">
        <f>'Inputs and eligible population'!Q112</f>
        <v>103.07</v>
      </c>
      <c r="L110" s="289">
        <f>(D110*$C110*'Inputs and eligible population'!$F$112/60*$K110)/1000</f>
        <v>0</v>
      </c>
      <c r="M110" s="289">
        <f>(E110*$C110*'Inputs and eligible population'!$F$112/60*$K110)/1000</f>
        <v>0</v>
      </c>
      <c r="N110" s="289">
        <f>(F110*$C110*'Inputs and eligible population'!$F$112/60*$K110)/1000</f>
        <v>0</v>
      </c>
      <c r="O110" s="289">
        <f>(G110*$C110*'Inputs and eligible population'!$F$112/60*$K110)/1000</f>
        <v>0</v>
      </c>
      <c r="P110" s="289">
        <f>(H110*$C110*'Inputs and eligible population'!$F$112/60*$K110)/1000</f>
        <v>0</v>
      </c>
      <c r="Q110" s="289">
        <f>(I110*$C110*'Inputs and eligible population'!$F$112/60*$K110)/1000</f>
        <v>0</v>
      </c>
      <c r="R110" s="133"/>
      <c r="S110" s="133"/>
      <c r="T110" s="133"/>
      <c r="U110" s="133"/>
      <c r="V110" s="133"/>
      <c r="W110" s="133"/>
      <c r="X110" s="133"/>
      <c r="Y110" s="133"/>
      <c r="Z110" s="133"/>
      <c r="AJ110" s="283"/>
      <c r="AK110" s="283"/>
      <c r="AL110" s="283"/>
      <c r="AM110" s="283"/>
      <c r="AN110" s="283"/>
    </row>
    <row r="111" spans="1:40" hidden="1" x14ac:dyDescent="0.25">
      <c r="A111" s="332"/>
      <c r="B111" s="280"/>
      <c r="C111" s="206"/>
      <c r="D111" s="186">
        <f t="shared" ref="D111:I111" si="104">SUM(D108:D110)</f>
        <v>0</v>
      </c>
      <c r="E111" s="186">
        <f t="shared" si="104"/>
        <v>0</v>
      </c>
      <c r="F111" s="186">
        <f t="shared" si="104"/>
        <v>0</v>
      </c>
      <c r="G111" s="186">
        <f t="shared" si="104"/>
        <v>0</v>
      </c>
      <c r="H111" s="186">
        <f t="shared" si="104"/>
        <v>0</v>
      </c>
      <c r="I111" s="186">
        <f t="shared" si="104"/>
        <v>0</v>
      </c>
      <c r="J111" s="332"/>
      <c r="K111" s="332"/>
      <c r="L111" s="290">
        <f>SUM(L108:L110)</f>
        <v>0</v>
      </c>
      <c r="M111" s="290">
        <f t="shared" ref="M111" si="105">SUM(M108:M110)</f>
        <v>0</v>
      </c>
      <c r="N111" s="290">
        <f t="shared" ref="N111" si="106">SUM(N108:N110)</f>
        <v>0</v>
      </c>
      <c r="O111" s="290">
        <f t="shared" ref="O111" si="107">SUM(O108:O110)</f>
        <v>0</v>
      </c>
      <c r="P111" s="290">
        <f t="shared" ref="P111" si="108">SUM(P108:P110)</f>
        <v>0</v>
      </c>
      <c r="Q111" s="290">
        <f t="shared" ref="Q111" si="109">SUM(Q108:Q110)</f>
        <v>0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3"/>
      <c r="AK111" s="283"/>
      <c r="AL111" s="283"/>
      <c r="AM111" s="283"/>
      <c r="AN111" s="283"/>
    </row>
    <row r="112" spans="1:40" hidden="1" x14ac:dyDescent="0.25">
      <c r="A112" s="332"/>
      <c r="B112" s="305"/>
      <c r="C112" s="257"/>
      <c r="D112" s="282" t="s">
        <v>847</v>
      </c>
      <c r="E112" s="186">
        <f>E111-$D$111</f>
        <v>0</v>
      </c>
      <c r="F112" s="186">
        <f>F111-$D$111</f>
        <v>0</v>
      </c>
      <c r="G112" s="186">
        <f>G111-$D$111</f>
        <v>0</v>
      </c>
      <c r="H112" s="186">
        <f>H111-$D$111</f>
        <v>0</v>
      </c>
      <c r="I112" s="186">
        <f>I111-$D$111</f>
        <v>0</v>
      </c>
      <c r="J112" s="332"/>
      <c r="K112" s="332"/>
      <c r="L112" s="566"/>
      <c r="M112" s="290">
        <f>M111-$L$111</f>
        <v>0</v>
      </c>
      <c r="N112" s="290">
        <f t="shared" ref="N112:Q112" si="110">N111-$L$111</f>
        <v>0</v>
      </c>
      <c r="O112" s="290">
        <f t="shared" si="110"/>
        <v>0</v>
      </c>
      <c r="P112" s="290">
        <f t="shared" si="110"/>
        <v>0</v>
      </c>
      <c r="Q112" s="290">
        <f t="shared" si="110"/>
        <v>0</v>
      </c>
      <c r="V112" s="133"/>
    </row>
    <row r="113" spans="1:40" hidden="1" x14ac:dyDescent="0.25">
      <c r="A113" s="332"/>
      <c r="B113" s="332"/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332"/>
      <c r="V113" s="133"/>
    </row>
    <row r="114" spans="1:40" hidden="1" x14ac:dyDescent="0.25">
      <c r="A114" s="287"/>
      <c r="B114" s="328" t="s">
        <v>848</v>
      </c>
      <c r="C114" s="311"/>
      <c r="D114" s="312"/>
      <c r="E114" s="313"/>
      <c r="F114" s="314"/>
      <c r="G114" s="314"/>
      <c r="H114" s="314"/>
      <c r="I114" s="443"/>
      <c r="J114" s="287"/>
      <c r="K114" s="287"/>
      <c r="L114" s="287"/>
      <c r="M114" s="287"/>
      <c r="N114" s="287"/>
      <c r="O114" s="287"/>
      <c r="P114" s="287"/>
      <c r="Q114" s="222"/>
      <c r="R114" s="133"/>
      <c r="S114" s="133"/>
      <c r="T114" s="133"/>
      <c r="U114" s="133"/>
      <c r="V114" s="133"/>
      <c r="W114" s="133"/>
      <c r="X114" s="133"/>
      <c r="Y114" s="133"/>
      <c r="Z114" s="133"/>
      <c r="AJ114" s="283"/>
      <c r="AK114" s="283"/>
      <c r="AL114" s="283"/>
      <c r="AM114" s="283"/>
      <c r="AN114" s="283"/>
    </row>
    <row r="115" spans="1:40" hidden="1" x14ac:dyDescent="0.25">
      <c r="A115" s="287"/>
      <c r="B115" s="403" t="s">
        <v>849</v>
      </c>
      <c r="C115" s="404"/>
      <c r="D115" s="404"/>
      <c r="E115" s="404"/>
      <c r="F115" s="404"/>
      <c r="G115" s="404"/>
      <c r="H115" s="404"/>
      <c r="I115" s="221"/>
      <c r="J115" s="222"/>
      <c r="K115" s="222"/>
      <c r="L115" s="437"/>
      <c r="M115" s="437"/>
      <c r="N115" s="437"/>
      <c r="O115" s="437"/>
      <c r="P115" s="437"/>
      <c r="Q115" s="437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3"/>
      <c r="AK115" s="283"/>
      <c r="AL115" s="283"/>
      <c r="AM115" s="283"/>
      <c r="AN115" s="283"/>
    </row>
    <row r="116" spans="1:40" ht="45" hidden="1" x14ac:dyDescent="0.25">
      <c r="A116" s="287"/>
      <c r="B116" s="276" t="s">
        <v>758</v>
      </c>
      <c r="C116" s="166" t="s">
        <v>849</v>
      </c>
      <c r="D116" s="428" t="s">
        <v>820</v>
      </c>
      <c r="E116" s="256" t="s">
        <v>666</v>
      </c>
      <c r="F116" s="256" t="s">
        <v>667</v>
      </c>
      <c r="G116" s="165" t="s">
        <v>777</v>
      </c>
      <c r="H116" s="165" t="s">
        <v>778</v>
      </c>
      <c r="I116" s="256" t="s">
        <v>779</v>
      </c>
      <c r="J116" s="287"/>
      <c r="K116" s="583" t="s">
        <v>827</v>
      </c>
      <c r="L116" s="428" t="s">
        <v>820</v>
      </c>
      <c r="M116" s="256" t="s">
        <v>666</v>
      </c>
      <c r="N116" s="256" t="s">
        <v>667</v>
      </c>
      <c r="O116" s="165" t="s">
        <v>777</v>
      </c>
      <c r="P116" s="165" t="s">
        <v>778</v>
      </c>
      <c r="Q116" s="256" t="s">
        <v>779</v>
      </c>
      <c r="R116" s="133"/>
      <c r="S116" s="133"/>
      <c r="T116" s="133"/>
      <c r="U116" s="133"/>
      <c r="V116" s="133"/>
      <c r="W116" s="133"/>
      <c r="X116" s="133"/>
      <c r="Y116" s="133"/>
      <c r="Z116" s="133"/>
      <c r="AJ116" s="283"/>
      <c r="AK116" s="283"/>
      <c r="AL116" s="283"/>
      <c r="AM116" s="283"/>
      <c r="AN116" s="283"/>
    </row>
    <row r="117" spans="1:40" hidden="1" x14ac:dyDescent="0.25">
      <c r="A117" s="287"/>
      <c r="B117" s="352"/>
      <c r="C117" s="149"/>
      <c r="D117" s="128"/>
      <c r="E117" s="128"/>
      <c r="F117" s="128"/>
      <c r="G117" s="128"/>
      <c r="H117" s="128"/>
      <c r="I117" s="128"/>
      <c r="J117" s="287"/>
      <c r="K117" s="598">
        <f>'Inputs and eligible population'!Q114</f>
        <v>38.99</v>
      </c>
      <c r="L117" s="289">
        <f>(D117*C117*'Inputs and eligible population'!$F$114/60*$K117)/1000</f>
        <v>0</v>
      </c>
      <c r="M117" s="289">
        <f>(E117*D117*'Inputs and eligible population'!$F$114/60*$K117)/1000</f>
        <v>0</v>
      </c>
      <c r="N117" s="289">
        <f>(F117*E117*'Inputs and eligible population'!$F$114/60*$K117)/1000</f>
        <v>0</v>
      </c>
      <c r="O117" s="289">
        <f>(G117*F117*'Inputs and eligible population'!$F$114/60*$K117)/1000</f>
        <v>0</v>
      </c>
      <c r="P117" s="289">
        <f>(H117*G117*'Inputs and eligible population'!$F$114/60*$K117)/1000</f>
        <v>0</v>
      </c>
      <c r="Q117" s="289">
        <f>(I117*H117*'Inputs and eligible population'!$F$114/60*$K117)/1000</f>
        <v>0</v>
      </c>
      <c r="R117" s="133"/>
      <c r="S117" s="133"/>
      <c r="T117" s="133"/>
      <c r="U117" s="133"/>
      <c r="V117" s="133"/>
      <c r="W117" s="133"/>
      <c r="X117" s="133"/>
      <c r="Y117" s="133"/>
      <c r="Z117" s="133"/>
      <c r="AJ117" s="283"/>
      <c r="AK117" s="283"/>
      <c r="AL117" s="283"/>
      <c r="AM117" s="283"/>
      <c r="AN117" s="283"/>
    </row>
    <row r="118" spans="1:40" hidden="1" x14ac:dyDescent="0.25">
      <c r="A118" s="287"/>
      <c r="B118" s="352"/>
      <c r="C118" s="149"/>
      <c r="D118" s="128"/>
      <c r="E118" s="128"/>
      <c r="F118" s="128"/>
      <c r="G118" s="128"/>
      <c r="H118" s="128"/>
      <c r="I118" s="128"/>
      <c r="J118" s="287"/>
      <c r="K118" s="598">
        <f>'Inputs and eligible population'!Q114</f>
        <v>38.99</v>
      </c>
      <c r="L118" s="289">
        <f>(D118*C118*'Inputs and eligible population'!$F$114/60*$K118)/1000</f>
        <v>0</v>
      </c>
      <c r="M118" s="289">
        <f>(E118*D118*'Inputs and eligible population'!$F$114/60*$K118)/1000</f>
        <v>0</v>
      </c>
      <c r="N118" s="289">
        <f>(F118*E118*'Inputs and eligible population'!$F$114/60*$K118)/1000</f>
        <v>0</v>
      </c>
      <c r="O118" s="289">
        <f>(G118*F118*'Inputs and eligible population'!$F$114/60*$K118)/1000</f>
        <v>0</v>
      </c>
      <c r="P118" s="289">
        <f>(H118*G118*'Inputs and eligible population'!$F$114/60*$K118)/1000</f>
        <v>0</v>
      </c>
      <c r="Q118" s="289">
        <f>(I118*H118*'Inputs and eligible population'!$F$114/60*$K118)/1000</f>
        <v>0</v>
      </c>
      <c r="R118" s="133"/>
      <c r="S118" s="133"/>
      <c r="T118" s="133"/>
      <c r="U118" s="133"/>
      <c r="V118" s="133"/>
      <c r="W118" s="133"/>
      <c r="X118" s="133"/>
      <c r="Y118" s="133"/>
      <c r="Z118" s="133"/>
      <c r="AJ118" s="283"/>
      <c r="AK118" s="283"/>
      <c r="AL118" s="283"/>
      <c r="AM118" s="283"/>
      <c r="AN118" s="283"/>
    </row>
    <row r="119" spans="1:40" hidden="1" x14ac:dyDescent="0.25">
      <c r="A119" s="287"/>
      <c r="B119" s="352"/>
      <c r="C119" s="149"/>
      <c r="D119" s="128"/>
      <c r="E119" s="128"/>
      <c r="F119" s="128"/>
      <c r="G119" s="128"/>
      <c r="H119" s="128"/>
      <c r="I119" s="128"/>
      <c r="J119" s="287"/>
      <c r="K119" s="598">
        <f>'Inputs and eligible population'!Q114</f>
        <v>38.99</v>
      </c>
      <c r="L119" s="289">
        <f>(D119*C119*'Inputs and eligible population'!$F$114/60*$K119)/1000</f>
        <v>0</v>
      </c>
      <c r="M119" s="289">
        <f>(E119*D119*'Inputs and eligible population'!$F$114/60*$K119)/1000</f>
        <v>0</v>
      </c>
      <c r="N119" s="289">
        <f>(F119*E119*'Inputs and eligible population'!$F$114/60*$K119)/1000</f>
        <v>0</v>
      </c>
      <c r="O119" s="289">
        <f>(G119*F119*'Inputs and eligible population'!$F$114/60*$K119)/1000</f>
        <v>0</v>
      </c>
      <c r="P119" s="289">
        <f>(H119*G119*'Inputs and eligible population'!$F$114/60*$K119)/1000</f>
        <v>0</v>
      </c>
      <c r="Q119" s="289">
        <f>(I119*H119*'Inputs and eligible population'!$F$114/60*$K119)/1000</f>
        <v>0</v>
      </c>
      <c r="R119" s="133"/>
      <c r="S119" s="133"/>
      <c r="T119" s="133"/>
      <c r="U119" s="133"/>
      <c r="V119" s="133"/>
      <c r="W119" s="133"/>
      <c r="X119" s="133"/>
      <c r="Y119" s="133"/>
      <c r="Z119" s="133"/>
      <c r="AJ119" s="283"/>
      <c r="AK119" s="283"/>
      <c r="AL119" s="283"/>
      <c r="AM119" s="283"/>
      <c r="AN119" s="283"/>
    </row>
    <row r="120" spans="1:40" hidden="1" x14ac:dyDescent="0.25">
      <c r="A120" s="287"/>
      <c r="B120" s="280"/>
      <c r="C120" s="206"/>
      <c r="D120" s="186">
        <f t="shared" ref="D120:I120" si="111">SUM(D117:D119)</f>
        <v>0</v>
      </c>
      <c r="E120" s="186">
        <f t="shared" si="111"/>
        <v>0</v>
      </c>
      <c r="F120" s="186">
        <f t="shared" si="111"/>
        <v>0</v>
      </c>
      <c r="G120" s="186">
        <f t="shared" si="111"/>
        <v>0</v>
      </c>
      <c r="H120" s="186">
        <f t="shared" si="111"/>
        <v>0</v>
      </c>
      <c r="I120" s="186">
        <f t="shared" si="111"/>
        <v>0</v>
      </c>
      <c r="J120" s="287"/>
      <c r="K120" s="287"/>
      <c r="L120" s="290">
        <f>SUM(L117:L119)</f>
        <v>0</v>
      </c>
      <c r="M120" s="290">
        <f t="shared" ref="M120" si="112">SUM(M117:M119)</f>
        <v>0</v>
      </c>
      <c r="N120" s="290">
        <f t="shared" ref="N120" si="113">SUM(N117:N119)</f>
        <v>0</v>
      </c>
      <c r="O120" s="290">
        <f t="shared" ref="O120" si="114">SUM(O117:O119)</f>
        <v>0</v>
      </c>
      <c r="P120" s="290">
        <f t="shared" ref="P120" si="115">SUM(P117:P119)</f>
        <v>0</v>
      </c>
      <c r="Q120" s="290">
        <f t="shared" ref="Q120" si="116">SUM(Q117:Q119)</f>
        <v>0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3"/>
      <c r="AK120" s="283"/>
      <c r="AL120" s="283"/>
      <c r="AM120" s="283"/>
      <c r="AN120" s="283"/>
    </row>
    <row r="121" spans="1:40" hidden="1" x14ac:dyDescent="0.25">
      <c r="A121" s="287"/>
      <c r="B121" s="305"/>
      <c r="C121" s="257"/>
      <c r="D121" s="282" t="s">
        <v>811</v>
      </c>
      <c r="E121" s="186">
        <f>E120-$D$120</f>
        <v>0</v>
      </c>
      <c r="F121" s="186">
        <f>F120-$D$120</f>
        <v>0</v>
      </c>
      <c r="G121" s="186">
        <f>G120-$D$120</f>
        <v>0</v>
      </c>
      <c r="H121" s="186">
        <f>H120-$D$120</f>
        <v>0</v>
      </c>
      <c r="I121" s="186">
        <f>I120-$D$120</f>
        <v>0</v>
      </c>
      <c r="J121" s="287"/>
      <c r="K121" s="287"/>
      <c r="L121" s="567"/>
      <c r="M121" s="290">
        <f>M120-$L$120</f>
        <v>0</v>
      </c>
      <c r="N121" s="290">
        <f t="shared" ref="N121:Q121" si="117">N120-$L$120</f>
        <v>0</v>
      </c>
      <c r="O121" s="290">
        <f t="shared" si="117"/>
        <v>0</v>
      </c>
      <c r="P121" s="290">
        <f t="shared" si="117"/>
        <v>0</v>
      </c>
      <c r="Q121" s="290">
        <f t="shared" si="117"/>
        <v>0</v>
      </c>
      <c r="V121" s="133"/>
    </row>
    <row r="122" spans="1:40" hidden="1" x14ac:dyDescent="0.25">
      <c r="A122" s="287"/>
      <c r="B122" s="329"/>
      <c r="C122" s="222"/>
      <c r="D122" s="222"/>
      <c r="E122" s="222"/>
      <c r="F122" s="222"/>
      <c r="G122" s="222"/>
      <c r="H122" s="222"/>
      <c r="I122" s="222"/>
      <c r="J122" s="287"/>
      <c r="K122" s="287"/>
      <c r="L122" s="222"/>
      <c r="M122" s="222"/>
      <c r="N122" s="222"/>
      <c r="O122" s="222"/>
      <c r="P122" s="222"/>
      <c r="Q122" s="222"/>
      <c r="V122" s="133"/>
    </row>
    <row r="123" spans="1:40" hidden="1" x14ac:dyDescent="0.25">
      <c r="A123" s="287"/>
      <c r="B123" s="403" t="s">
        <v>850</v>
      </c>
      <c r="C123" s="404"/>
      <c r="D123" s="404"/>
      <c r="E123" s="404"/>
      <c r="F123" s="404"/>
      <c r="G123" s="404"/>
      <c r="H123" s="404"/>
      <c r="I123" s="221"/>
      <c r="J123" s="287"/>
      <c r="K123" s="287"/>
      <c r="L123" s="437"/>
      <c r="M123" s="437"/>
      <c r="N123" s="437"/>
      <c r="O123" s="437"/>
      <c r="P123" s="437"/>
      <c r="Q123" s="437"/>
      <c r="R123" s="133"/>
      <c r="S123" s="133"/>
      <c r="T123" s="133"/>
      <c r="U123" s="133"/>
      <c r="V123" s="133"/>
      <c r="W123" s="133"/>
      <c r="X123" s="133"/>
      <c r="Y123" s="133"/>
      <c r="Z123" s="133"/>
      <c r="AJ123" s="283"/>
      <c r="AK123" s="283"/>
      <c r="AL123" s="283"/>
      <c r="AM123" s="283"/>
      <c r="AN123" s="283"/>
    </row>
    <row r="124" spans="1:40" ht="60" hidden="1" x14ac:dyDescent="0.25">
      <c r="A124" s="287"/>
      <c r="B124" s="276" t="s">
        <v>758</v>
      </c>
      <c r="C124" s="166" t="s">
        <v>851</v>
      </c>
      <c r="D124" s="428" t="s">
        <v>820</v>
      </c>
      <c r="E124" s="256" t="s">
        <v>666</v>
      </c>
      <c r="F124" s="256" t="s">
        <v>667</v>
      </c>
      <c r="G124" s="165" t="s">
        <v>777</v>
      </c>
      <c r="H124" s="165" t="s">
        <v>778</v>
      </c>
      <c r="I124" s="256" t="s">
        <v>779</v>
      </c>
      <c r="J124" s="287"/>
      <c r="K124" s="583" t="s">
        <v>827</v>
      </c>
      <c r="L124" s="428" t="s">
        <v>820</v>
      </c>
      <c r="M124" s="256" t="s">
        <v>666</v>
      </c>
      <c r="N124" s="256" t="s">
        <v>667</v>
      </c>
      <c r="O124" s="165" t="s">
        <v>777</v>
      </c>
      <c r="P124" s="165" t="s">
        <v>778</v>
      </c>
      <c r="Q124" s="256" t="s">
        <v>779</v>
      </c>
      <c r="R124" s="133"/>
      <c r="S124" s="133"/>
      <c r="T124" s="133"/>
      <c r="U124" s="133"/>
      <c r="V124" s="133"/>
      <c r="W124" s="133"/>
      <c r="X124" s="133"/>
      <c r="Y124" s="133"/>
      <c r="Z124" s="133"/>
      <c r="AJ124" s="283"/>
      <c r="AK124" s="283"/>
      <c r="AL124" s="283"/>
      <c r="AM124" s="283"/>
      <c r="AN124" s="283"/>
    </row>
    <row r="125" spans="1:40" hidden="1" x14ac:dyDescent="0.25">
      <c r="A125" s="287"/>
      <c r="B125" s="352"/>
      <c r="C125" s="149"/>
      <c r="D125" s="128"/>
      <c r="E125" s="128"/>
      <c r="F125" s="128"/>
      <c r="G125" s="128"/>
      <c r="H125" s="128"/>
      <c r="I125" s="128"/>
      <c r="J125" s="287"/>
      <c r="K125" s="598">
        <f>'Inputs and eligible population'!Q116</f>
        <v>31.51</v>
      </c>
      <c r="L125" s="289">
        <f>(D125*C125*'Inputs and eligible population'!$F$116/60*$K125)/1000</f>
        <v>0</v>
      </c>
      <c r="M125" s="289">
        <f>(E125*D125*'Inputs and eligible population'!$F$116/60*$K125)/1000</f>
        <v>0</v>
      </c>
      <c r="N125" s="289">
        <f>(F125*E125*'Inputs and eligible population'!$F$116/60*$K125)/1000</f>
        <v>0</v>
      </c>
      <c r="O125" s="289">
        <f>(G125*F125*'Inputs and eligible population'!$F$116/60*$K125)/1000</f>
        <v>0</v>
      </c>
      <c r="P125" s="289">
        <f>(H125*G125*'Inputs and eligible population'!$F$116/60*$K125)/1000</f>
        <v>0</v>
      </c>
      <c r="Q125" s="289">
        <f>(I125*H125*'Inputs and eligible population'!$F$116/60*$K125)/1000</f>
        <v>0</v>
      </c>
      <c r="R125" s="133"/>
      <c r="S125" s="133"/>
      <c r="T125" s="133"/>
      <c r="U125" s="133"/>
      <c r="V125" s="133"/>
      <c r="W125" s="133"/>
      <c r="X125" s="133"/>
      <c r="Y125" s="133"/>
      <c r="Z125" s="133"/>
      <c r="AJ125" s="283"/>
      <c r="AK125" s="283"/>
      <c r="AL125" s="283"/>
      <c r="AM125" s="283"/>
      <c r="AN125" s="283"/>
    </row>
    <row r="126" spans="1:40" hidden="1" x14ac:dyDescent="0.25">
      <c r="A126" s="287"/>
      <c r="B126" s="352"/>
      <c r="C126" s="149"/>
      <c r="D126" s="128"/>
      <c r="E126" s="128"/>
      <c r="F126" s="128"/>
      <c r="G126" s="128"/>
      <c r="H126" s="128"/>
      <c r="I126" s="128"/>
      <c r="J126" s="287"/>
      <c r="K126" s="598">
        <f>'Inputs and eligible population'!Q116</f>
        <v>31.51</v>
      </c>
      <c r="L126" s="289">
        <f>(D126*C126*'Inputs and eligible population'!$F$116/60*$K126)/1000</f>
        <v>0</v>
      </c>
      <c r="M126" s="289">
        <f>(E126*D126*'Inputs and eligible population'!$F$116/60*$K126)/1000</f>
        <v>0</v>
      </c>
      <c r="N126" s="289">
        <f>(F126*E126*'Inputs and eligible population'!$F$116/60*$K126)/1000</f>
        <v>0</v>
      </c>
      <c r="O126" s="289">
        <f>(G126*F126*'Inputs and eligible population'!$F$116/60*$K126)/1000</f>
        <v>0</v>
      </c>
      <c r="P126" s="289">
        <f>(H126*G126*'Inputs and eligible population'!$F$116/60*$K126)/1000</f>
        <v>0</v>
      </c>
      <c r="Q126" s="289">
        <f>(I126*H126*'Inputs and eligible population'!$F$116/60*$K126)/1000</f>
        <v>0</v>
      </c>
      <c r="R126" s="133"/>
      <c r="S126" s="133"/>
      <c r="T126" s="133"/>
      <c r="U126" s="133"/>
      <c r="V126" s="133"/>
      <c r="W126" s="133"/>
      <c r="X126" s="133"/>
      <c r="Y126" s="133"/>
      <c r="Z126" s="133"/>
      <c r="AJ126" s="283"/>
      <c r="AK126" s="283"/>
      <c r="AL126" s="283"/>
      <c r="AM126" s="283"/>
      <c r="AN126" s="283"/>
    </row>
    <row r="127" spans="1:40" hidden="1" x14ac:dyDescent="0.25">
      <c r="A127" s="287"/>
      <c r="B127" s="352"/>
      <c r="C127" s="149"/>
      <c r="D127" s="128"/>
      <c r="E127" s="128"/>
      <c r="F127" s="128"/>
      <c r="G127" s="128"/>
      <c r="H127" s="128"/>
      <c r="I127" s="128"/>
      <c r="J127" s="287"/>
      <c r="K127" s="598">
        <f>'Inputs and eligible population'!Q116</f>
        <v>31.51</v>
      </c>
      <c r="L127" s="289">
        <f>(D127*C127*'Inputs and eligible population'!$F$116/60*$K127)/1000</f>
        <v>0</v>
      </c>
      <c r="M127" s="289">
        <f>(E127*D127*'Inputs and eligible population'!$F$116/60*$K127)/1000</f>
        <v>0</v>
      </c>
      <c r="N127" s="289">
        <f>(F127*E127*'Inputs and eligible population'!$F$116/60*$K127)/1000</f>
        <v>0</v>
      </c>
      <c r="O127" s="289">
        <f>(G127*F127*'Inputs and eligible population'!$F$116/60*$K127)/1000</f>
        <v>0</v>
      </c>
      <c r="P127" s="289">
        <f>(H127*G127*'Inputs and eligible population'!$F$116/60*$K127)/1000</f>
        <v>0</v>
      </c>
      <c r="Q127" s="289">
        <f>(I127*H127*'Inputs and eligible population'!$F$116/60*$K127)/1000</f>
        <v>0</v>
      </c>
      <c r="R127" s="133"/>
      <c r="S127" s="133"/>
      <c r="T127" s="133"/>
      <c r="U127" s="133"/>
      <c r="V127" s="133"/>
      <c r="W127" s="133"/>
      <c r="X127" s="133"/>
      <c r="Y127" s="133"/>
      <c r="Z127" s="133"/>
      <c r="AJ127" s="283"/>
      <c r="AK127" s="283"/>
      <c r="AL127" s="283"/>
      <c r="AM127" s="283"/>
      <c r="AN127" s="283"/>
    </row>
    <row r="128" spans="1:40" hidden="1" x14ac:dyDescent="0.25">
      <c r="A128" s="287"/>
      <c r="B128" s="280"/>
      <c r="C128" s="206"/>
      <c r="D128" s="186">
        <f t="shared" ref="D128:I128" si="118">SUM(D125:D127)</f>
        <v>0</v>
      </c>
      <c r="E128" s="186">
        <f t="shared" si="118"/>
        <v>0</v>
      </c>
      <c r="F128" s="186">
        <f t="shared" si="118"/>
        <v>0</v>
      </c>
      <c r="G128" s="186">
        <f t="shared" si="118"/>
        <v>0</v>
      </c>
      <c r="H128" s="186">
        <f t="shared" si="118"/>
        <v>0</v>
      </c>
      <c r="I128" s="186">
        <f t="shared" si="118"/>
        <v>0</v>
      </c>
      <c r="J128" s="287"/>
      <c r="K128" s="287"/>
      <c r="L128" s="290">
        <f>SUM(L125:L127)</f>
        <v>0</v>
      </c>
      <c r="M128" s="290">
        <f t="shared" ref="M128" si="119">SUM(M125:M127)</f>
        <v>0</v>
      </c>
      <c r="N128" s="290">
        <f t="shared" ref="N128" si="120">SUM(N125:N127)</f>
        <v>0</v>
      </c>
      <c r="O128" s="290">
        <f t="shared" ref="O128" si="121">SUM(O125:O127)</f>
        <v>0</v>
      </c>
      <c r="P128" s="290">
        <f t="shared" ref="P128" si="122">SUM(P125:P127)</f>
        <v>0</v>
      </c>
      <c r="Q128" s="290">
        <f t="shared" ref="Q128" si="123">SUM(Q125:Q127)</f>
        <v>0</v>
      </c>
      <c r="R128" s="133"/>
      <c r="S128" s="133"/>
      <c r="T128" s="133"/>
      <c r="U128" s="133"/>
      <c r="V128" s="133"/>
      <c r="W128" s="133"/>
      <c r="X128" s="133"/>
      <c r="Y128" s="133"/>
      <c r="Z128" s="133"/>
      <c r="AJ128" s="283"/>
      <c r="AK128" s="283"/>
      <c r="AL128" s="283"/>
      <c r="AM128" s="283"/>
      <c r="AN128" s="283"/>
    </row>
    <row r="129" spans="1:40" hidden="1" x14ac:dyDescent="0.25">
      <c r="A129" s="287"/>
      <c r="B129" s="305"/>
      <c r="C129" s="257"/>
      <c r="D129" s="282" t="s">
        <v>812</v>
      </c>
      <c r="E129" s="186">
        <f>E128-$D$128</f>
        <v>0</v>
      </c>
      <c r="F129" s="186">
        <f>F128-$D$128</f>
        <v>0</v>
      </c>
      <c r="G129" s="186">
        <f>G128-$D$128</f>
        <v>0</v>
      </c>
      <c r="H129" s="186">
        <f>H128-$D$128</f>
        <v>0</v>
      </c>
      <c r="I129" s="186">
        <f>I128-$D$128</f>
        <v>0</v>
      </c>
      <c r="J129" s="287"/>
      <c r="K129" s="287"/>
      <c r="L129" s="567"/>
      <c r="M129" s="290">
        <f>M128-$L$128</f>
        <v>0</v>
      </c>
      <c r="N129" s="290">
        <f t="shared" ref="N129:Q129" si="124">N128-$L$128</f>
        <v>0</v>
      </c>
      <c r="O129" s="290">
        <f t="shared" si="124"/>
        <v>0</v>
      </c>
      <c r="P129" s="290">
        <f t="shared" si="124"/>
        <v>0</v>
      </c>
      <c r="Q129" s="290">
        <f t="shared" si="124"/>
        <v>0</v>
      </c>
      <c r="V129" s="133"/>
    </row>
    <row r="130" spans="1:40" hidden="1" x14ac:dyDescent="0.25">
      <c r="A130" s="287"/>
      <c r="B130" s="329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V130" s="133"/>
    </row>
    <row r="131" spans="1:40" hidden="1" x14ac:dyDescent="0.25">
      <c r="A131" s="287"/>
      <c r="B131" s="403" t="s">
        <v>852</v>
      </c>
      <c r="C131" s="404"/>
      <c r="D131" s="404"/>
      <c r="E131" s="404"/>
      <c r="F131" s="404"/>
      <c r="G131" s="404"/>
      <c r="H131" s="404"/>
      <c r="I131" s="221"/>
      <c r="J131" s="222"/>
      <c r="K131" s="222"/>
      <c r="L131" s="222"/>
      <c r="M131" s="222"/>
      <c r="N131" s="222"/>
      <c r="O131" s="222"/>
      <c r="P131" s="222"/>
      <c r="Q131" s="222"/>
      <c r="R131" s="133"/>
      <c r="S131" s="133"/>
      <c r="T131" s="133"/>
      <c r="U131" s="133"/>
      <c r="V131" s="133"/>
      <c r="W131" s="133"/>
      <c r="X131" s="133"/>
      <c r="Y131" s="133"/>
      <c r="Z131" s="133"/>
      <c r="AJ131" s="283"/>
      <c r="AK131" s="283"/>
      <c r="AL131" s="283"/>
      <c r="AM131" s="283"/>
      <c r="AN131" s="283"/>
    </row>
    <row r="132" spans="1:40" ht="45" hidden="1" x14ac:dyDescent="0.25">
      <c r="A132" s="287"/>
      <c r="B132" s="276" t="s">
        <v>758</v>
      </c>
      <c r="C132" s="166" t="s">
        <v>852</v>
      </c>
      <c r="D132" s="428" t="s">
        <v>820</v>
      </c>
      <c r="E132" s="256" t="s">
        <v>666</v>
      </c>
      <c r="F132" s="256" t="s">
        <v>667</v>
      </c>
      <c r="G132" s="165" t="s">
        <v>777</v>
      </c>
      <c r="H132" s="165" t="s">
        <v>778</v>
      </c>
      <c r="I132" s="256" t="s">
        <v>779</v>
      </c>
      <c r="J132" s="287"/>
      <c r="K132" s="287"/>
      <c r="L132" s="222"/>
      <c r="M132" s="222"/>
      <c r="N132" s="222"/>
      <c r="O132" s="222"/>
      <c r="P132" s="222"/>
      <c r="Q132" s="222"/>
      <c r="R132" s="133"/>
      <c r="S132" s="133"/>
      <c r="T132" s="133"/>
      <c r="U132" s="133"/>
      <c r="V132" s="133"/>
      <c r="W132" s="133"/>
      <c r="X132" s="133"/>
      <c r="Y132" s="133"/>
      <c r="Z132" s="133"/>
      <c r="AJ132" s="283"/>
      <c r="AK132" s="283"/>
      <c r="AL132" s="283"/>
      <c r="AM132" s="283"/>
      <c r="AN132" s="283"/>
    </row>
    <row r="133" spans="1:40" hidden="1" x14ac:dyDescent="0.25">
      <c r="A133" s="287"/>
      <c r="B133" s="352"/>
      <c r="C133" s="149"/>
      <c r="D133" s="128"/>
      <c r="E133" s="128"/>
      <c r="F133" s="128"/>
      <c r="G133" s="128"/>
      <c r="H133" s="128"/>
      <c r="I133" s="128"/>
      <c r="J133" s="287"/>
      <c r="K133" s="287"/>
      <c r="L133" s="222"/>
      <c r="M133" s="222"/>
      <c r="N133" s="222"/>
      <c r="O133" s="222"/>
      <c r="P133" s="222"/>
      <c r="Q133" s="222"/>
      <c r="R133" s="133"/>
      <c r="S133" s="133"/>
      <c r="T133" s="133"/>
      <c r="U133" s="133"/>
      <c r="V133" s="133"/>
      <c r="W133" s="133"/>
      <c r="X133" s="133"/>
      <c r="Y133" s="133"/>
      <c r="Z133" s="133"/>
      <c r="AJ133" s="283"/>
      <c r="AK133" s="283"/>
      <c r="AL133" s="283"/>
      <c r="AM133" s="283"/>
      <c r="AN133" s="283"/>
    </row>
    <row r="134" spans="1:40" hidden="1" x14ac:dyDescent="0.25">
      <c r="A134" s="287"/>
      <c r="B134" s="352"/>
      <c r="C134" s="149"/>
      <c r="D134" s="128"/>
      <c r="E134" s="128"/>
      <c r="F134" s="128"/>
      <c r="G134" s="128"/>
      <c r="H134" s="128"/>
      <c r="I134" s="128"/>
      <c r="J134" s="287"/>
      <c r="K134" s="287"/>
      <c r="L134" s="222"/>
      <c r="M134" s="222"/>
      <c r="N134" s="222"/>
      <c r="O134" s="222"/>
      <c r="P134" s="222"/>
      <c r="Q134" s="222"/>
      <c r="R134" s="133"/>
      <c r="S134" s="133"/>
      <c r="T134" s="133"/>
      <c r="U134" s="133"/>
      <c r="V134" s="133"/>
      <c r="W134" s="133"/>
      <c r="X134" s="133"/>
      <c r="Y134" s="133"/>
      <c r="Z134" s="133"/>
      <c r="AJ134" s="283"/>
      <c r="AK134" s="283"/>
      <c r="AL134" s="283"/>
      <c r="AM134" s="283"/>
      <c r="AN134" s="283"/>
    </row>
    <row r="135" spans="1:40" hidden="1" x14ac:dyDescent="0.25">
      <c r="A135" s="287"/>
      <c r="B135" s="352"/>
      <c r="C135" s="149"/>
      <c r="D135" s="128"/>
      <c r="E135" s="128"/>
      <c r="F135" s="128"/>
      <c r="G135" s="128"/>
      <c r="H135" s="128"/>
      <c r="I135" s="128"/>
      <c r="J135" s="287"/>
      <c r="K135" s="287"/>
      <c r="L135" s="222"/>
      <c r="M135" s="222"/>
      <c r="N135" s="222"/>
      <c r="O135" s="222"/>
      <c r="P135" s="222"/>
      <c r="Q135" s="222"/>
      <c r="R135" s="133"/>
      <c r="S135" s="133"/>
      <c r="T135" s="133"/>
      <c r="U135" s="133"/>
      <c r="V135" s="133"/>
      <c r="W135" s="133"/>
      <c r="X135" s="133"/>
      <c r="Y135" s="133"/>
      <c r="Z135" s="133"/>
      <c r="AJ135" s="283"/>
      <c r="AK135" s="283"/>
      <c r="AL135" s="283"/>
      <c r="AM135" s="283"/>
      <c r="AN135" s="283"/>
    </row>
    <row r="136" spans="1:40" hidden="1" x14ac:dyDescent="0.25">
      <c r="A136" s="287"/>
      <c r="B136" s="280"/>
      <c r="C136" s="206"/>
      <c r="D136" s="186">
        <f t="shared" ref="D136:I136" si="125">SUM(D133:D135)</f>
        <v>0</v>
      </c>
      <c r="E136" s="186">
        <f t="shared" si="125"/>
        <v>0</v>
      </c>
      <c r="F136" s="186">
        <f t="shared" si="125"/>
        <v>0</v>
      </c>
      <c r="G136" s="186">
        <f t="shared" si="125"/>
        <v>0</v>
      </c>
      <c r="H136" s="186">
        <f t="shared" si="125"/>
        <v>0</v>
      </c>
      <c r="I136" s="186">
        <f t="shared" si="125"/>
        <v>0</v>
      </c>
      <c r="J136" s="287"/>
      <c r="K136" s="287"/>
      <c r="L136" s="222"/>
      <c r="M136" s="222"/>
      <c r="N136" s="222"/>
      <c r="O136" s="222"/>
      <c r="P136" s="222"/>
      <c r="Q136" s="222"/>
      <c r="R136" s="133"/>
      <c r="S136" s="133"/>
      <c r="T136" s="133"/>
      <c r="U136" s="133"/>
      <c r="V136" s="133"/>
      <c r="W136" s="133"/>
      <c r="X136" s="133"/>
      <c r="Y136" s="133"/>
      <c r="Z136" s="133"/>
      <c r="AJ136" s="283"/>
      <c r="AK136" s="283"/>
      <c r="AL136" s="283"/>
      <c r="AM136" s="283"/>
      <c r="AN136" s="283"/>
    </row>
    <row r="137" spans="1:40" hidden="1" x14ac:dyDescent="0.25">
      <c r="A137" s="287"/>
      <c r="B137" s="305"/>
      <c r="C137" s="257"/>
      <c r="D137" s="282" t="s">
        <v>813</v>
      </c>
      <c r="E137" s="186">
        <f>E136-$D$136</f>
        <v>0</v>
      </c>
      <c r="F137" s="186">
        <f>F136-$D$136</f>
        <v>0</v>
      </c>
      <c r="G137" s="186">
        <f>G136-$D$136</f>
        <v>0</v>
      </c>
      <c r="H137" s="186">
        <f>H136-$D$136</f>
        <v>0</v>
      </c>
      <c r="I137" s="186">
        <f>I136-$D$136</f>
        <v>0</v>
      </c>
      <c r="J137" s="287"/>
      <c r="K137" s="287"/>
      <c r="L137" s="222"/>
      <c r="M137" s="222"/>
      <c r="N137" s="222"/>
      <c r="O137" s="222"/>
      <c r="P137" s="222"/>
      <c r="Q137" s="222"/>
      <c r="V137" s="133"/>
    </row>
    <row r="138" spans="1:40" hidden="1" x14ac:dyDescent="0.25">
      <c r="A138" s="287"/>
      <c r="B138" s="287"/>
      <c r="C138" s="222"/>
      <c r="D138" s="287"/>
      <c r="E138" s="287"/>
      <c r="F138" s="287"/>
      <c r="G138" s="287"/>
      <c r="H138" s="287"/>
      <c r="I138" s="222"/>
      <c r="J138" s="222"/>
      <c r="K138" s="222"/>
      <c r="L138" s="222"/>
      <c r="M138" s="222"/>
      <c r="N138" s="222"/>
      <c r="O138" s="222"/>
      <c r="P138" s="222"/>
      <c r="Q138" s="222"/>
      <c r="V138" s="133"/>
    </row>
    <row r="139" spans="1:40" hidden="1" x14ac:dyDescent="0.25">
      <c r="A139" s="287"/>
      <c r="B139" s="403" t="s">
        <v>853</v>
      </c>
      <c r="C139" s="404"/>
      <c r="D139" s="404"/>
      <c r="E139" s="404"/>
      <c r="F139" s="404"/>
      <c r="G139" s="404"/>
      <c r="H139" s="404"/>
      <c r="I139" s="221"/>
      <c r="J139" s="222"/>
      <c r="K139" s="222"/>
      <c r="L139" s="437"/>
      <c r="M139" s="437"/>
      <c r="N139" s="437"/>
      <c r="O139" s="437"/>
      <c r="P139" s="437"/>
      <c r="Q139" s="437"/>
      <c r="V139" s="133"/>
    </row>
    <row r="140" spans="1:40" ht="75" hidden="1" x14ac:dyDescent="0.25">
      <c r="A140" s="287"/>
      <c r="B140" s="276" t="s">
        <v>758</v>
      </c>
      <c r="C140" s="166" t="s">
        <v>854</v>
      </c>
      <c r="D140" s="428" t="s">
        <v>820</v>
      </c>
      <c r="E140" s="256" t="s">
        <v>666</v>
      </c>
      <c r="F140" s="256" t="s">
        <v>667</v>
      </c>
      <c r="G140" s="165" t="s">
        <v>777</v>
      </c>
      <c r="H140" s="165" t="s">
        <v>778</v>
      </c>
      <c r="I140" s="256" t="s">
        <v>779</v>
      </c>
      <c r="J140" s="287"/>
      <c r="K140" s="583" t="s">
        <v>827</v>
      </c>
      <c r="L140" s="428" t="s">
        <v>820</v>
      </c>
      <c r="M140" s="256" t="s">
        <v>666</v>
      </c>
      <c r="N140" s="256" t="s">
        <v>667</v>
      </c>
      <c r="O140" s="165" t="s">
        <v>777</v>
      </c>
      <c r="P140" s="165" t="s">
        <v>778</v>
      </c>
      <c r="Q140" s="256" t="s">
        <v>779</v>
      </c>
      <c r="V140" s="133"/>
    </row>
    <row r="141" spans="1:40" hidden="1" x14ac:dyDescent="0.25">
      <c r="A141" s="287"/>
      <c r="B141" s="352"/>
      <c r="C141" s="149"/>
      <c r="D141" s="128"/>
      <c r="E141" s="128"/>
      <c r="F141" s="128"/>
      <c r="G141" s="128"/>
      <c r="H141" s="128"/>
      <c r="I141" s="128"/>
      <c r="J141" s="287"/>
      <c r="K141" s="598">
        <f>'Inputs and eligible population'!Q118</f>
        <v>43.28</v>
      </c>
      <c r="L141" s="289">
        <f>(D141*C141*'Inputs and eligible population'!$F$118/60*$K141)/1000</f>
        <v>0</v>
      </c>
      <c r="M141" s="289">
        <f>(E141*D141*'Inputs and eligible population'!$F$118/60*$K141)/1000</f>
        <v>0</v>
      </c>
      <c r="N141" s="289">
        <f>(F141*E141*'Inputs and eligible population'!$F$118/60*$K141)/1000</f>
        <v>0</v>
      </c>
      <c r="O141" s="289">
        <f>(G141*F141*'Inputs and eligible population'!$F$118/60*$K141)/1000</f>
        <v>0</v>
      </c>
      <c r="P141" s="289">
        <f>(H141*G141*'Inputs and eligible population'!$F$118/60*$K141)/1000</f>
        <v>0</v>
      </c>
      <c r="Q141" s="289">
        <f>(I141*H141*'Inputs and eligible population'!$F$118/60*$K141)/1000</f>
        <v>0</v>
      </c>
      <c r="V141" s="133"/>
    </row>
    <row r="142" spans="1:40" hidden="1" x14ac:dyDescent="0.25">
      <c r="A142" s="287"/>
      <c r="B142" s="352"/>
      <c r="C142" s="149"/>
      <c r="D142" s="128"/>
      <c r="E142" s="128"/>
      <c r="F142" s="128"/>
      <c r="G142" s="128"/>
      <c r="H142" s="128"/>
      <c r="I142" s="128"/>
      <c r="J142" s="287"/>
      <c r="K142" s="598">
        <f>'Inputs and eligible population'!Q118</f>
        <v>43.28</v>
      </c>
      <c r="L142" s="289">
        <f>(D142*C142*'Inputs and eligible population'!$F$118/60*$K142)/1000</f>
        <v>0</v>
      </c>
      <c r="M142" s="289">
        <f>(E142*D142*'Inputs and eligible population'!$F$118/60*$K142)/1000</f>
        <v>0</v>
      </c>
      <c r="N142" s="289">
        <f>(F142*E142*'Inputs and eligible population'!$F$118/60*$K142)/1000</f>
        <v>0</v>
      </c>
      <c r="O142" s="289">
        <f>(G142*F142*'Inputs and eligible population'!$F$118/60*$K142)/1000</f>
        <v>0</v>
      </c>
      <c r="P142" s="289">
        <f>(H142*G142*'Inputs and eligible population'!$F$118/60*$K142)/1000</f>
        <v>0</v>
      </c>
      <c r="Q142" s="289">
        <f>(I142*H142*'Inputs and eligible population'!$F$118/60*$K142)/1000</f>
        <v>0</v>
      </c>
      <c r="V142" s="133"/>
    </row>
    <row r="143" spans="1:40" hidden="1" x14ac:dyDescent="0.25">
      <c r="A143" s="287"/>
      <c r="B143" s="352"/>
      <c r="C143" s="149"/>
      <c r="D143" s="128"/>
      <c r="E143" s="128"/>
      <c r="F143" s="128"/>
      <c r="G143" s="128"/>
      <c r="H143" s="128"/>
      <c r="I143" s="128"/>
      <c r="J143" s="287"/>
      <c r="K143" s="598">
        <f>'Inputs and eligible population'!Q118</f>
        <v>43.28</v>
      </c>
      <c r="L143" s="289">
        <f>(D143*C143*'Inputs and eligible population'!$F$118/60*$K143)/1000</f>
        <v>0</v>
      </c>
      <c r="M143" s="289">
        <f>(E143*D143*'Inputs and eligible population'!$F$118/60*$K143)/1000</f>
        <v>0</v>
      </c>
      <c r="N143" s="289">
        <f>(F143*E143*'Inputs and eligible population'!$F$118/60*$K143)/1000</f>
        <v>0</v>
      </c>
      <c r="O143" s="289">
        <f>(G143*F143*'Inputs and eligible population'!$F$118/60*$K143)/1000</f>
        <v>0</v>
      </c>
      <c r="P143" s="289">
        <f>(H143*G143*'Inputs and eligible population'!$F$118/60*$K143)/1000</f>
        <v>0</v>
      </c>
      <c r="Q143" s="289">
        <f>(I143*H143*'Inputs and eligible population'!$F$118/60*$K143)/1000</f>
        <v>0</v>
      </c>
      <c r="V143" s="133"/>
    </row>
    <row r="144" spans="1:40" hidden="1" x14ac:dyDescent="0.25">
      <c r="A144" s="287"/>
      <c r="B144" s="280"/>
      <c r="C144" s="206"/>
      <c r="D144" s="186">
        <f t="shared" ref="D144:I144" si="126">SUM(D141:D143)</f>
        <v>0</v>
      </c>
      <c r="E144" s="186">
        <f t="shared" si="126"/>
        <v>0</v>
      </c>
      <c r="F144" s="186">
        <f t="shared" si="126"/>
        <v>0</v>
      </c>
      <c r="G144" s="186">
        <f t="shared" si="126"/>
        <v>0</v>
      </c>
      <c r="H144" s="186">
        <f t="shared" si="126"/>
        <v>0</v>
      </c>
      <c r="I144" s="186">
        <f t="shared" si="126"/>
        <v>0</v>
      </c>
      <c r="J144" s="287"/>
      <c r="K144" s="287"/>
      <c r="L144" s="290">
        <f>SUM(L141:L143)</f>
        <v>0</v>
      </c>
      <c r="M144" s="290">
        <f t="shared" ref="M144" si="127">SUM(M141:M143)</f>
        <v>0</v>
      </c>
      <c r="N144" s="290">
        <f t="shared" ref="N144" si="128">SUM(N141:N143)</f>
        <v>0</v>
      </c>
      <c r="O144" s="290">
        <f t="shared" ref="O144" si="129">SUM(O141:O143)</f>
        <v>0</v>
      </c>
      <c r="P144" s="290">
        <f t="shared" ref="P144" si="130">SUM(P141:P143)</f>
        <v>0</v>
      </c>
      <c r="Q144" s="290">
        <f t="shared" ref="Q144" si="131">SUM(Q141:Q143)</f>
        <v>0</v>
      </c>
      <c r="V144" s="133"/>
    </row>
    <row r="145" spans="1:40" hidden="1" x14ac:dyDescent="0.25">
      <c r="A145" s="287"/>
      <c r="B145" s="305"/>
      <c r="C145" s="257"/>
      <c r="D145" s="282" t="s">
        <v>814</v>
      </c>
      <c r="E145" s="186">
        <f>E144-$D$144</f>
        <v>0</v>
      </c>
      <c r="F145" s="186">
        <f>F144-$D$144</f>
        <v>0</v>
      </c>
      <c r="G145" s="186">
        <f>G144-$D$144</f>
        <v>0</v>
      </c>
      <c r="H145" s="186">
        <f>H144-$D$144</f>
        <v>0</v>
      </c>
      <c r="I145" s="186">
        <f>I144-$D$144</f>
        <v>0</v>
      </c>
      <c r="J145" s="287"/>
      <c r="K145" s="287"/>
      <c r="L145" s="567"/>
      <c r="M145" s="290">
        <f>M144-$L$144</f>
        <v>0</v>
      </c>
      <c r="N145" s="290">
        <f t="shared" ref="N145:Q145" si="132">N144-$L$144</f>
        <v>0</v>
      </c>
      <c r="O145" s="290">
        <f t="shared" si="132"/>
        <v>0</v>
      </c>
      <c r="P145" s="290">
        <f t="shared" si="132"/>
        <v>0</v>
      </c>
      <c r="Q145" s="290">
        <f t="shared" si="132"/>
        <v>0</v>
      </c>
      <c r="V145" s="133"/>
    </row>
    <row r="146" spans="1:40" hidden="1" x14ac:dyDescent="0.25">
      <c r="A146" s="287"/>
      <c r="B146" s="287"/>
      <c r="C146" s="222"/>
      <c r="D146" s="287"/>
      <c r="E146" s="287"/>
      <c r="F146" s="287"/>
      <c r="G146" s="287"/>
      <c r="H146" s="287"/>
      <c r="I146" s="222"/>
      <c r="J146" s="222"/>
      <c r="K146" s="222"/>
      <c r="L146" s="222"/>
      <c r="M146" s="222"/>
      <c r="N146" s="222"/>
      <c r="O146" s="222"/>
      <c r="P146" s="222"/>
      <c r="Q146" s="222"/>
      <c r="V146" s="133"/>
    </row>
    <row r="147" spans="1:40" hidden="1" x14ac:dyDescent="0.25">
      <c r="A147" s="288"/>
      <c r="B147" s="330" t="s">
        <v>719</v>
      </c>
      <c r="C147" s="315"/>
      <c r="D147" s="316"/>
      <c r="E147" s="317"/>
      <c r="F147" s="318"/>
      <c r="G147" s="318"/>
      <c r="H147" s="318"/>
      <c r="I147" s="438"/>
      <c r="J147" s="446"/>
      <c r="K147" s="288"/>
      <c r="L147" s="288"/>
      <c r="M147" s="288"/>
      <c r="N147" s="288"/>
      <c r="O147" s="288"/>
      <c r="P147" s="288"/>
      <c r="Q147" s="288"/>
      <c r="R147" s="133"/>
      <c r="S147" s="133"/>
      <c r="T147" s="133"/>
      <c r="U147" s="133"/>
      <c r="V147" s="133"/>
      <c r="W147" s="133"/>
      <c r="X147" s="133"/>
      <c r="Y147" s="133"/>
      <c r="Z147" s="133"/>
      <c r="AJ147" s="283"/>
      <c r="AK147" s="283"/>
      <c r="AL147" s="283"/>
      <c r="AM147" s="283"/>
      <c r="AN147" s="283"/>
    </row>
    <row r="148" spans="1:40" hidden="1" x14ac:dyDescent="0.25">
      <c r="A148" s="288"/>
      <c r="B148" s="405" t="s">
        <v>855</v>
      </c>
      <c r="C148" s="406"/>
      <c r="D148" s="406"/>
      <c r="E148" s="406"/>
      <c r="F148" s="406"/>
      <c r="G148" s="406"/>
      <c r="H148" s="406"/>
      <c r="I148" s="223"/>
      <c r="J148" s="444"/>
      <c r="K148" s="444"/>
      <c r="L148" s="445"/>
      <c r="M148" s="445"/>
      <c r="N148" s="445"/>
      <c r="O148" s="445"/>
      <c r="P148" s="445"/>
      <c r="Q148" s="445"/>
      <c r="R148" s="133"/>
      <c r="S148" s="133"/>
      <c r="T148" s="133"/>
      <c r="U148" s="133"/>
      <c r="V148" s="133"/>
      <c r="W148" s="133"/>
      <c r="X148" s="133"/>
      <c r="Y148" s="133"/>
      <c r="Z148" s="133"/>
      <c r="AJ148" s="283"/>
      <c r="AK148" s="283"/>
      <c r="AL148" s="283"/>
      <c r="AM148" s="283"/>
      <c r="AN148" s="283"/>
    </row>
    <row r="149" spans="1:40" ht="45" hidden="1" x14ac:dyDescent="0.25">
      <c r="A149" s="288"/>
      <c r="B149" s="276" t="s">
        <v>758</v>
      </c>
      <c r="C149" s="208"/>
      <c r="D149" s="428" t="s">
        <v>820</v>
      </c>
      <c r="E149" s="256" t="s">
        <v>666</v>
      </c>
      <c r="F149" s="256" t="s">
        <v>667</v>
      </c>
      <c r="G149" s="165" t="s">
        <v>777</v>
      </c>
      <c r="H149" s="165" t="s">
        <v>778</v>
      </c>
      <c r="I149" s="256" t="s">
        <v>779</v>
      </c>
      <c r="J149" s="288"/>
      <c r="K149" s="583" t="s">
        <v>856</v>
      </c>
      <c r="L149" s="428" t="s">
        <v>820</v>
      </c>
      <c r="M149" s="256" t="s">
        <v>666</v>
      </c>
      <c r="N149" s="256" t="s">
        <v>667</v>
      </c>
      <c r="O149" s="165" t="s">
        <v>777</v>
      </c>
      <c r="P149" s="165" t="s">
        <v>778</v>
      </c>
      <c r="Q149" s="256" t="s">
        <v>779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83"/>
      <c r="AK149" s="283"/>
      <c r="AL149" s="283"/>
      <c r="AM149" s="283"/>
      <c r="AN149" s="283"/>
    </row>
    <row r="150" spans="1:40" hidden="1" x14ac:dyDescent="0.25">
      <c r="A150" s="288"/>
      <c r="B150" s="250"/>
      <c r="C150" s="168"/>
      <c r="D150" s="128"/>
      <c r="E150" s="128"/>
      <c r="F150" s="128"/>
      <c r="G150" s="128"/>
      <c r="H150" s="128"/>
      <c r="I150" s="128"/>
      <c r="J150" s="288"/>
      <c r="K150" s="598">
        <f>'Unit costs'!L138</f>
        <v>0</v>
      </c>
      <c r="L150" s="289">
        <f>(D150*$K150)/1000</f>
        <v>0</v>
      </c>
      <c r="M150" s="289">
        <f t="shared" ref="M150:Q156" si="133">(E150*$K150)/1000</f>
        <v>0</v>
      </c>
      <c r="N150" s="289">
        <f t="shared" si="133"/>
        <v>0</v>
      </c>
      <c r="O150" s="289">
        <f t="shared" si="133"/>
        <v>0</v>
      </c>
      <c r="P150" s="289">
        <f t="shared" si="133"/>
        <v>0</v>
      </c>
      <c r="Q150" s="289">
        <f t="shared" si="133"/>
        <v>0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3"/>
      <c r="AK150" s="283"/>
      <c r="AL150" s="283"/>
      <c r="AM150" s="283"/>
      <c r="AN150" s="283"/>
    </row>
    <row r="151" spans="1:40" hidden="1" x14ac:dyDescent="0.25">
      <c r="A151" s="288"/>
      <c r="B151" s="250"/>
      <c r="C151" s="168"/>
      <c r="D151" s="128"/>
      <c r="E151" s="128"/>
      <c r="F151" s="128"/>
      <c r="G151" s="128"/>
      <c r="H151" s="128"/>
      <c r="I151" s="128"/>
      <c r="J151" s="288"/>
      <c r="K151" s="598">
        <f>'Unit costs'!L139</f>
        <v>0</v>
      </c>
      <c r="L151" s="289">
        <f t="shared" ref="L151:L156" si="134">(D151*$K151)/1000</f>
        <v>0</v>
      </c>
      <c r="M151" s="289">
        <f t="shared" si="133"/>
        <v>0</v>
      </c>
      <c r="N151" s="289">
        <f t="shared" si="133"/>
        <v>0</v>
      </c>
      <c r="O151" s="289">
        <f t="shared" si="133"/>
        <v>0</v>
      </c>
      <c r="P151" s="289">
        <f t="shared" si="133"/>
        <v>0</v>
      </c>
      <c r="Q151" s="289">
        <f t="shared" si="133"/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3"/>
      <c r="AK151" s="283"/>
      <c r="AL151" s="283"/>
      <c r="AM151" s="283"/>
      <c r="AN151" s="283"/>
    </row>
    <row r="152" spans="1:40" hidden="1" x14ac:dyDescent="0.25">
      <c r="A152" s="288"/>
      <c r="B152" s="250"/>
      <c r="C152" s="168"/>
      <c r="D152" s="128"/>
      <c r="E152" s="128"/>
      <c r="F152" s="128"/>
      <c r="G152" s="128"/>
      <c r="H152" s="128"/>
      <c r="I152" s="128"/>
      <c r="J152" s="288"/>
      <c r="K152" s="598">
        <f>'Unit costs'!L140</f>
        <v>0</v>
      </c>
      <c r="L152" s="289">
        <f t="shared" si="134"/>
        <v>0</v>
      </c>
      <c r="M152" s="289">
        <f t="shared" si="133"/>
        <v>0</v>
      </c>
      <c r="N152" s="289">
        <f t="shared" si="133"/>
        <v>0</v>
      </c>
      <c r="O152" s="289">
        <f t="shared" si="133"/>
        <v>0</v>
      </c>
      <c r="P152" s="289">
        <f t="shared" si="133"/>
        <v>0</v>
      </c>
      <c r="Q152" s="289">
        <f t="shared" si="133"/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3"/>
      <c r="AK152" s="283"/>
      <c r="AL152" s="283"/>
      <c r="AM152" s="283"/>
      <c r="AN152" s="283"/>
    </row>
    <row r="153" spans="1:40" hidden="1" x14ac:dyDescent="0.25">
      <c r="A153" s="288"/>
      <c r="B153" s="250"/>
      <c r="C153" s="168"/>
      <c r="D153" s="128"/>
      <c r="E153" s="128"/>
      <c r="F153" s="128"/>
      <c r="G153" s="128"/>
      <c r="H153" s="128"/>
      <c r="I153" s="128"/>
      <c r="J153" s="288"/>
      <c r="K153" s="598">
        <f>'Unit costs'!L141</f>
        <v>0</v>
      </c>
      <c r="L153" s="289">
        <f t="shared" si="134"/>
        <v>0</v>
      </c>
      <c r="M153" s="289">
        <f t="shared" si="133"/>
        <v>0</v>
      </c>
      <c r="N153" s="289">
        <f t="shared" si="133"/>
        <v>0</v>
      </c>
      <c r="O153" s="289">
        <f t="shared" si="133"/>
        <v>0</v>
      </c>
      <c r="P153" s="289">
        <f t="shared" si="133"/>
        <v>0</v>
      </c>
      <c r="Q153" s="289">
        <f t="shared" si="133"/>
        <v>0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3"/>
      <c r="AK153" s="283"/>
      <c r="AL153" s="283"/>
      <c r="AM153" s="283"/>
      <c r="AN153" s="283"/>
    </row>
    <row r="154" spans="1:40" hidden="1" x14ac:dyDescent="0.25">
      <c r="A154" s="288"/>
      <c r="B154" s="250"/>
      <c r="C154" s="168"/>
      <c r="D154" s="128"/>
      <c r="E154" s="128"/>
      <c r="F154" s="128"/>
      <c r="G154" s="128"/>
      <c r="H154" s="128"/>
      <c r="I154" s="128"/>
      <c r="J154" s="288"/>
      <c r="K154" s="598">
        <f>'Unit costs'!L142</f>
        <v>0</v>
      </c>
      <c r="L154" s="289">
        <f t="shared" si="134"/>
        <v>0</v>
      </c>
      <c r="M154" s="289">
        <f t="shared" si="133"/>
        <v>0</v>
      </c>
      <c r="N154" s="289">
        <f t="shared" si="133"/>
        <v>0</v>
      </c>
      <c r="O154" s="289">
        <f t="shared" si="133"/>
        <v>0</v>
      </c>
      <c r="P154" s="289">
        <f t="shared" si="133"/>
        <v>0</v>
      </c>
      <c r="Q154" s="289">
        <f t="shared" si="133"/>
        <v>0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83"/>
      <c r="AK154" s="283"/>
      <c r="AL154" s="283"/>
      <c r="AM154" s="283"/>
      <c r="AN154" s="283"/>
    </row>
    <row r="155" spans="1:40" hidden="1" x14ac:dyDescent="0.25">
      <c r="A155" s="288"/>
      <c r="B155" s="250"/>
      <c r="C155" s="168"/>
      <c r="D155" s="128"/>
      <c r="E155" s="128"/>
      <c r="F155" s="128"/>
      <c r="G155" s="128"/>
      <c r="H155" s="128"/>
      <c r="I155" s="128"/>
      <c r="J155" s="288"/>
      <c r="K155" s="598">
        <f>'Unit costs'!L143</f>
        <v>0</v>
      </c>
      <c r="L155" s="289">
        <f t="shared" si="134"/>
        <v>0</v>
      </c>
      <c r="M155" s="289">
        <f t="shared" si="133"/>
        <v>0</v>
      </c>
      <c r="N155" s="289">
        <f t="shared" si="133"/>
        <v>0</v>
      </c>
      <c r="O155" s="289">
        <f t="shared" si="133"/>
        <v>0</v>
      </c>
      <c r="P155" s="289">
        <f t="shared" si="133"/>
        <v>0</v>
      </c>
      <c r="Q155" s="289">
        <f t="shared" si="133"/>
        <v>0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83"/>
      <c r="AK155" s="283"/>
      <c r="AL155" s="283"/>
      <c r="AM155" s="283"/>
      <c r="AN155" s="283"/>
    </row>
    <row r="156" spans="1:40" hidden="1" x14ac:dyDescent="0.25">
      <c r="A156" s="288"/>
      <c r="B156" s="250"/>
      <c r="C156" s="168"/>
      <c r="D156" s="128"/>
      <c r="E156" s="128"/>
      <c r="F156" s="128"/>
      <c r="G156" s="128"/>
      <c r="H156" s="128"/>
      <c r="I156" s="128"/>
      <c r="J156" s="288"/>
      <c r="K156" s="598">
        <f>'Unit costs'!L144</f>
        <v>0</v>
      </c>
      <c r="L156" s="289">
        <f t="shared" si="134"/>
        <v>0</v>
      </c>
      <c r="M156" s="289">
        <f t="shared" si="133"/>
        <v>0</v>
      </c>
      <c r="N156" s="289">
        <f t="shared" si="133"/>
        <v>0</v>
      </c>
      <c r="O156" s="289">
        <f t="shared" si="133"/>
        <v>0</v>
      </c>
      <c r="P156" s="289">
        <f t="shared" si="133"/>
        <v>0</v>
      </c>
      <c r="Q156" s="289">
        <f t="shared" si="133"/>
        <v>0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83"/>
      <c r="AK156" s="283"/>
      <c r="AL156" s="283"/>
      <c r="AM156" s="283"/>
      <c r="AN156" s="283"/>
    </row>
    <row r="157" spans="1:40" hidden="1" x14ac:dyDescent="0.25">
      <c r="A157" s="288"/>
      <c r="B157" s="277"/>
      <c r="C157" s="208"/>
      <c r="D157" s="186">
        <f t="shared" ref="D157:I157" si="135">SUM(D150:D156)</f>
        <v>0</v>
      </c>
      <c r="E157" s="186">
        <f t="shared" si="135"/>
        <v>0</v>
      </c>
      <c r="F157" s="186">
        <f t="shared" si="135"/>
        <v>0</v>
      </c>
      <c r="G157" s="186">
        <f t="shared" si="135"/>
        <v>0</v>
      </c>
      <c r="H157" s="186">
        <f t="shared" si="135"/>
        <v>0</v>
      </c>
      <c r="I157" s="186">
        <f t="shared" si="135"/>
        <v>0</v>
      </c>
      <c r="J157" s="288"/>
      <c r="K157" s="288"/>
      <c r="L157" s="290">
        <f>SUM(L150:L156)</f>
        <v>0</v>
      </c>
      <c r="M157" s="290">
        <f t="shared" ref="M157:Q157" si="136">SUM(M150:M156)</f>
        <v>0</v>
      </c>
      <c r="N157" s="290">
        <f t="shared" si="136"/>
        <v>0</v>
      </c>
      <c r="O157" s="290">
        <f t="shared" si="136"/>
        <v>0</v>
      </c>
      <c r="P157" s="290">
        <f t="shared" si="136"/>
        <v>0</v>
      </c>
      <c r="Q157" s="290">
        <f t="shared" si="136"/>
        <v>0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83"/>
      <c r="AK157" s="283"/>
      <c r="AL157" s="283"/>
      <c r="AM157" s="283"/>
      <c r="AN157" s="283"/>
    </row>
    <row r="158" spans="1:40" hidden="1" x14ac:dyDescent="0.25">
      <c r="A158" s="288"/>
      <c r="B158" s="305"/>
      <c r="C158" s="208"/>
      <c r="D158" s="282" t="s">
        <v>857</v>
      </c>
      <c r="E158" s="186">
        <f>E157-$D$157</f>
        <v>0</v>
      </c>
      <c r="F158" s="186">
        <f>F157-$D$157</f>
        <v>0</v>
      </c>
      <c r="G158" s="186">
        <f>G157-$D$157</f>
        <v>0</v>
      </c>
      <c r="H158" s="186">
        <f>H157-$D$157</f>
        <v>0</v>
      </c>
      <c r="I158" s="186">
        <f>I157-$D$157</f>
        <v>0</v>
      </c>
      <c r="J158" s="288"/>
      <c r="K158" s="288"/>
      <c r="L158" s="568"/>
      <c r="M158" s="290">
        <f>M157-$L$157</f>
        <v>0</v>
      </c>
      <c r="N158" s="290">
        <f t="shared" ref="N158:Q158" si="137">N157-$L$157</f>
        <v>0</v>
      </c>
      <c r="O158" s="290">
        <f t="shared" si="137"/>
        <v>0</v>
      </c>
      <c r="P158" s="290">
        <f t="shared" si="137"/>
        <v>0</v>
      </c>
      <c r="Q158" s="290">
        <f t="shared" si="137"/>
        <v>0</v>
      </c>
    </row>
    <row r="159" spans="1:40" hidden="1" x14ac:dyDescent="0.25">
      <c r="A159" s="288"/>
      <c r="B159" s="288"/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</row>
    <row r="160" spans="1:40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</sheetData>
  <sheetProtection algorithmName="SHA-512" hashValue="Ar2rFkv/6/5fcrs+KKdbAhD7mt+6XLoe5WKXbSE/DkV92rKofqpCRVlY4um5AULHwlz19m/CKoCe4cojzxVdMQ==" saltValue="mTwHs9PPqgT4D7QHzbp0cA==" spinCount="100000" sheet="1" objects="1" scenarios="1"/>
  <protectedRanges>
    <protectedRange sqref="B150:B156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04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64"/>
  <sheetViews>
    <sheetView showGridLines="0" zoomScale="80" zoomScaleNormal="80" zoomScaleSheetLayoutView="30" workbookViewId="0">
      <selection activeCell="F2" sqref="F2"/>
    </sheetView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76" t="str">
        <f>'Inputs and eligible population'!B1</f>
        <v>Diabetic retinopathy: management and monitoring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3" t="s">
        <v>858</v>
      </c>
      <c r="C2" s="127" t="s">
        <v>734</v>
      </c>
      <c r="D2" s="127" t="s">
        <v>734</v>
      </c>
      <c r="E2" s="127" t="s">
        <v>734</v>
      </c>
      <c r="F2" s="127" t="s">
        <v>734</v>
      </c>
      <c r="G2" s="127" t="s">
        <v>734</v>
      </c>
      <c r="H2" s="127" t="s">
        <v>734</v>
      </c>
      <c r="I2" s="127" t="s">
        <v>734</v>
      </c>
      <c r="J2" s="127" t="s">
        <v>734</v>
      </c>
      <c r="K2" s="127"/>
      <c r="L2" s="127" t="s">
        <v>734</v>
      </c>
      <c r="M2" s="127" t="s">
        <v>734</v>
      </c>
      <c r="N2" s="127" t="s">
        <v>734</v>
      </c>
      <c r="O2" s="127" t="s">
        <v>734</v>
      </c>
      <c r="P2" s="127" t="s">
        <v>734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734</v>
      </c>
      <c r="C3" s="133" t="s">
        <v>734</v>
      </c>
      <c r="D3" s="133" t="s">
        <v>734</v>
      </c>
      <c r="E3" s="133" t="s">
        <v>734</v>
      </c>
      <c r="F3" s="133" t="s">
        <v>734</v>
      </c>
      <c r="G3" s="133" t="s">
        <v>734</v>
      </c>
      <c r="H3" s="133" t="s">
        <v>734</v>
      </c>
      <c r="I3" s="133" t="s">
        <v>734</v>
      </c>
      <c r="J3" s="133" t="s">
        <v>734</v>
      </c>
      <c r="K3" s="133"/>
      <c r="L3" s="133" t="s">
        <v>734</v>
      </c>
      <c r="M3" s="133" t="s">
        <v>734</v>
      </c>
      <c r="N3" s="133" t="s">
        <v>734</v>
      </c>
      <c r="O3" s="133" t="s">
        <v>734</v>
      </c>
      <c r="P3" s="133" t="s">
        <v>734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5" customHeight="1" x14ac:dyDescent="0.25">
      <c r="B4" t="s">
        <v>823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5" x14ac:dyDescent="0.25">
      <c r="B6" s="258" t="s">
        <v>780</v>
      </c>
      <c r="C6" s="208"/>
      <c r="D6" s="428" t="s">
        <v>820</v>
      </c>
      <c r="E6" s="256" t="s">
        <v>666</v>
      </c>
      <c r="F6" s="256" t="s">
        <v>667</v>
      </c>
      <c r="G6" s="165" t="s">
        <v>777</v>
      </c>
      <c r="H6" s="165" t="s">
        <v>778</v>
      </c>
      <c r="I6" s="256" t="s">
        <v>779</v>
      </c>
      <c r="L6" s="428" t="s">
        <v>820</v>
      </c>
      <c r="M6" s="256" t="s">
        <v>666</v>
      </c>
      <c r="N6" s="256" t="s">
        <v>667</v>
      </c>
      <c r="O6" s="165" t="s">
        <v>777</v>
      </c>
      <c r="P6" s="165" t="s">
        <v>778</v>
      </c>
      <c r="Q6" s="256" t="s">
        <v>779</v>
      </c>
      <c r="R6" s="133"/>
      <c r="S6" s="127"/>
      <c r="T6" s="127"/>
      <c r="U6" s="127"/>
      <c r="V6" s="127"/>
      <c r="W6" s="127"/>
      <c r="X6" s="127"/>
      <c r="Y6" s="133"/>
      <c r="Z6" s="133"/>
      <c r="AJ6" s="283"/>
      <c r="AK6" s="283"/>
      <c r="AL6" s="283"/>
      <c r="AM6" s="283"/>
      <c r="AN6" s="283"/>
    </row>
    <row r="7" spans="1:40" ht="14.45" customHeight="1" x14ac:dyDescent="0.25">
      <c r="B7" s="225" t="s">
        <v>1090</v>
      </c>
      <c r="C7" s="168"/>
      <c r="D7" s="385">
        <f>'Inputs and eligible population'!F50</f>
        <v>1033561.4780304381</v>
      </c>
      <c r="E7" s="385">
        <f>'Inputs and eligible population'!G50</f>
        <v>1056049.2013493862</v>
      </c>
      <c r="F7" s="385">
        <f>'Inputs and eligible population'!H50</f>
        <v>1079026.2015142876</v>
      </c>
      <c r="G7" s="385">
        <f>'Inputs and eligible population'!I50</f>
        <v>1102503.1239705968</v>
      </c>
      <c r="H7" s="385">
        <f>'Inputs and eligible population'!J50</f>
        <v>1126490.8457821449</v>
      </c>
      <c r="I7" s="385">
        <f>'Inputs and eligible population'!K50</f>
        <v>1151000.4806705792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3"/>
      <c r="AK7" s="283"/>
      <c r="AL7" s="283"/>
      <c r="AM7" s="283"/>
      <c r="AN7" s="283"/>
    </row>
    <row r="8" spans="1:40" ht="14.45" customHeight="1" x14ac:dyDescent="0.25">
      <c r="B8" s="225" t="s">
        <v>1091</v>
      </c>
      <c r="C8" s="168"/>
      <c r="D8" s="385">
        <f>'Inputs and eligible population'!F51</f>
        <v>132540.29962918357</v>
      </c>
      <c r="E8" s="385">
        <f>'Inputs and eligible population'!G51</f>
        <v>135424.04641157264</v>
      </c>
      <c r="F8" s="385">
        <f>'Inputs and eligible population'!H51</f>
        <v>138370.5363409759</v>
      </c>
      <c r="G8" s="385">
        <f>'Inputs and eligible population'!I51</f>
        <v>141381.13455198886</v>
      </c>
      <c r="H8" s="385">
        <f>'Inputs and eligible population'!J51</f>
        <v>144457.23588113539</v>
      </c>
      <c r="I8" s="385">
        <f>'Inputs and eligible population'!K51</f>
        <v>147600.26551310791</v>
      </c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3"/>
      <c r="AK8" s="283"/>
      <c r="AL8" s="283"/>
      <c r="AM8" s="283"/>
      <c r="AN8" s="283"/>
    </row>
    <row r="9" spans="1:40" ht="14.45" customHeight="1" x14ac:dyDescent="0.25">
      <c r="B9" s="225" t="s">
        <v>1092</v>
      </c>
      <c r="C9" s="168"/>
      <c r="D9" s="385">
        <f>'Inputs and eligible population'!F52</f>
        <v>75002.216613690936</v>
      </c>
      <c r="E9" s="385">
        <f>'Inputs and eligible population'!G52</f>
        <v>76634.078028195814</v>
      </c>
      <c r="F9" s="385">
        <f>'Inputs and eligible population'!H52</f>
        <v>78301.444682364003</v>
      </c>
      <c r="G9" s="385">
        <f>'Inputs and eligible population'!I52</f>
        <v>80005.089081772516</v>
      </c>
      <c r="H9" s="385">
        <f>'Inputs and eligible population'!J52</f>
        <v>81745.80053979544</v>
      </c>
      <c r="I9" s="385">
        <f>'Inputs and eligible population'!K52</f>
        <v>83524.385543299883</v>
      </c>
      <c r="P9" s="133"/>
      <c r="Q9" s="133"/>
      <c r="R9" s="133"/>
      <c r="S9" s="127"/>
      <c r="T9" s="127"/>
      <c r="U9" s="127"/>
      <c r="V9" s="127"/>
      <c r="W9" s="127"/>
      <c r="X9" s="127"/>
      <c r="Y9" s="133"/>
      <c r="Z9" s="133"/>
      <c r="AJ9" s="283"/>
      <c r="AK9" s="283"/>
      <c r="AL9" s="283"/>
      <c r="AM9" s="283"/>
      <c r="AN9" s="283"/>
    </row>
    <row r="10" spans="1:40" ht="14.45" customHeight="1" x14ac:dyDescent="0.25">
      <c r="B10"/>
      <c r="P10" s="133"/>
      <c r="Q10" s="133"/>
      <c r="R10" s="133"/>
      <c r="S10" s="127"/>
      <c r="T10" s="127"/>
      <c r="U10" s="127"/>
      <c r="V10" s="127"/>
      <c r="W10" s="127"/>
      <c r="X10" s="127"/>
      <c r="Y10" s="133"/>
      <c r="Z10" s="133"/>
      <c r="AJ10" s="283"/>
      <c r="AK10" s="283"/>
      <c r="AL10" s="283"/>
      <c r="AM10" s="283"/>
      <c r="AN10" s="283"/>
    </row>
    <row r="11" spans="1:40" ht="14.45" customHeight="1" x14ac:dyDescent="0.25">
      <c r="B11" s="276" t="s">
        <v>824</v>
      </c>
      <c r="C11" s="447"/>
      <c r="D11" s="447"/>
      <c r="E11" s="448"/>
      <c r="F11" s="447"/>
      <c r="G11" s="449"/>
      <c r="H11" s="450"/>
      <c r="I11" s="450"/>
      <c r="J11" s="604"/>
      <c r="K11" s="603"/>
      <c r="L11" s="723" t="s">
        <v>782</v>
      </c>
      <c r="M11" s="723" t="s">
        <v>782</v>
      </c>
      <c r="N11" s="723" t="s">
        <v>782</v>
      </c>
      <c r="O11" s="723" t="s">
        <v>782</v>
      </c>
      <c r="P11" s="723" t="s">
        <v>782</v>
      </c>
      <c r="Q11" s="723" t="s">
        <v>782</v>
      </c>
      <c r="R11" s="133"/>
      <c r="S11" s="127"/>
      <c r="T11" s="127"/>
      <c r="U11" s="127"/>
      <c r="V11" s="127"/>
      <c r="W11" s="127"/>
      <c r="X11" s="127"/>
      <c r="Y11" s="133"/>
      <c r="Z11" s="133"/>
      <c r="AJ11" s="283"/>
      <c r="AK11" s="283"/>
      <c r="AL11" s="283"/>
      <c r="AM11" s="283"/>
      <c r="AN11" s="283"/>
    </row>
    <row r="12" spans="1:40" ht="14.45" customHeight="1" x14ac:dyDescent="0.25">
      <c r="A12" s="285"/>
      <c r="B12" s="456" t="str">
        <f>B29</f>
        <v>GP appointments - number of appointments</v>
      </c>
      <c r="C12" s="390"/>
      <c r="D12" s="430">
        <f>D32</f>
        <v>0</v>
      </c>
      <c r="E12" s="430">
        <f>E32</f>
        <v>0</v>
      </c>
      <c r="F12" s="430">
        <f t="shared" ref="F12:I12" si="0">F32</f>
        <v>0</v>
      </c>
      <c r="G12" s="430">
        <f t="shared" si="0"/>
        <v>0</v>
      </c>
      <c r="H12" s="430">
        <f t="shared" si="0"/>
        <v>0</v>
      </c>
      <c r="I12" s="430">
        <f t="shared" si="0"/>
        <v>0</v>
      </c>
      <c r="L12" s="206"/>
      <c r="M12" s="206"/>
      <c r="N12" s="206"/>
      <c r="O12" s="206"/>
      <c r="P12" s="422"/>
      <c r="Q12" s="422"/>
      <c r="R12" s="133"/>
      <c r="S12" s="133"/>
      <c r="T12" s="133"/>
      <c r="U12" s="133"/>
      <c r="V12" s="133"/>
      <c r="W12" s="133"/>
      <c r="X12" s="133"/>
      <c r="Y12" s="133"/>
      <c r="Z12" s="133"/>
      <c r="AJ12" s="283"/>
      <c r="AK12" s="283"/>
      <c r="AL12" s="283"/>
      <c r="AM12" s="283"/>
      <c r="AN12" s="283"/>
    </row>
    <row r="13" spans="1:40" ht="14.45" customHeight="1" x14ac:dyDescent="0.25">
      <c r="A13" s="285"/>
      <c r="B13" s="456" t="str">
        <f>B37</f>
        <v>Follow up attendances - number of appointments</v>
      </c>
      <c r="C13" s="390"/>
      <c r="D13" s="430">
        <f>D48</f>
        <v>0</v>
      </c>
      <c r="E13" s="430">
        <f t="shared" ref="E13:I13" si="1">E48</f>
        <v>0</v>
      </c>
      <c r="F13" s="430">
        <f t="shared" si="1"/>
        <v>0</v>
      </c>
      <c r="G13" s="430">
        <f t="shared" si="1"/>
        <v>0</v>
      </c>
      <c r="H13" s="430">
        <f t="shared" si="1"/>
        <v>0</v>
      </c>
      <c r="I13" s="430">
        <f t="shared" si="1"/>
        <v>0</v>
      </c>
      <c r="L13" s="289">
        <f>L48</f>
        <v>0</v>
      </c>
      <c r="M13" s="289">
        <f t="shared" ref="M13:Q13" si="2">M48</f>
        <v>0</v>
      </c>
      <c r="N13" s="289">
        <f t="shared" si="2"/>
        <v>0</v>
      </c>
      <c r="O13" s="289">
        <f t="shared" si="2"/>
        <v>0</v>
      </c>
      <c r="P13" s="289">
        <f t="shared" si="2"/>
        <v>0</v>
      </c>
      <c r="Q13" s="289">
        <f t="shared" si="2"/>
        <v>0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83"/>
      <c r="AK13" s="283"/>
      <c r="AL13" s="283"/>
      <c r="AM13" s="283"/>
      <c r="AN13" s="283"/>
    </row>
    <row r="14" spans="1:40" ht="14.45" customHeight="1" x14ac:dyDescent="0.25">
      <c r="A14" s="292"/>
      <c r="B14" s="453" t="str">
        <f>B52</f>
        <v>Number of administrations</v>
      </c>
      <c r="C14" s="424"/>
      <c r="D14" s="423">
        <f>D55</f>
        <v>0</v>
      </c>
      <c r="E14" s="423">
        <f t="shared" ref="E14:I14" si="3">E55</f>
        <v>0</v>
      </c>
      <c r="F14" s="423">
        <f t="shared" si="3"/>
        <v>0</v>
      </c>
      <c r="G14" s="423">
        <f t="shared" si="3"/>
        <v>0</v>
      </c>
      <c r="H14" s="423">
        <f t="shared" si="3"/>
        <v>0</v>
      </c>
      <c r="I14" s="423">
        <f t="shared" si="3"/>
        <v>0</v>
      </c>
      <c r="L14" s="289">
        <f>L55</f>
        <v>0</v>
      </c>
      <c r="M14" s="289">
        <f t="shared" ref="M14:Q14" si="4">M55</f>
        <v>0</v>
      </c>
      <c r="N14" s="289">
        <f t="shared" si="4"/>
        <v>0</v>
      </c>
      <c r="O14" s="289">
        <f t="shared" si="4"/>
        <v>0</v>
      </c>
      <c r="P14" s="289">
        <f t="shared" si="4"/>
        <v>0</v>
      </c>
      <c r="Q14" s="289">
        <f t="shared" si="4"/>
        <v>0</v>
      </c>
      <c r="R14" s="133"/>
      <c r="S14" s="133"/>
      <c r="T14" s="133"/>
      <c r="U14" s="133"/>
      <c r="V14" s="133"/>
      <c r="W14" s="133"/>
      <c r="X14" s="133"/>
      <c r="Y14" s="133"/>
      <c r="Z14" s="133"/>
      <c r="AJ14" s="283"/>
      <c r="AK14" s="283"/>
      <c r="AL14" s="283"/>
      <c r="AM14" s="283"/>
      <c r="AN14" s="283"/>
    </row>
    <row r="15" spans="1:40" ht="14.45" customHeight="1" x14ac:dyDescent="0.25">
      <c r="A15" s="284"/>
      <c r="B15" s="454" t="str">
        <f>B68</f>
        <v>Administrations - duration of administrations (hours)</v>
      </c>
      <c r="C15" s="461"/>
      <c r="D15" s="425">
        <f>D74</f>
        <v>0</v>
      </c>
      <c r="E15" s="425">
        <f t="shared" ref="E15:I15" si="5">E74</f>
        <v>0</v>
      </c>
      <c r="F15" s="425">
        <f t="shared" si="5"/>
        <v>0</v>
      </c>
      <c r="G15" s="425">
        <f t="shared" si="5"/>
        <v>0</v>
      </c>
      <c r="H15" s="425">
        <f t="shared" si="5"/>
        <v>0</v>
      </c>
      <c r="I15" s="425">
        <f t="shared" si="5"/>
        <v>0</v>
      </c>
      <c r="L15" s="206"/>
      <c r="M15" s="206"/>
      <c r="N15" s="206"/>
      <c r="O15" s="206"/>
      <c r="P15" s="422"/>
      <c r="Q15" s="422"/>
      <c r="R15" s="133"/>
      <c r="S15" s="133"/>
      <c r="T15" s="133"/>
      <c r="U15" s="133"/>
      <c r="V15" s="133"/>
      <c r="W15" s="133"/>
      <c r="X15" s="133"/>
      <c r="Y15" s="133"/>
      <c r="Z15" s="133"/>
      <c r="AJ15" s="283"/>
      <c r="AK15" s="283"/>
      <c r="AL15" s="283"/>
      <c r="AM15" s="283"/>
      <c r="AN15" s="283"/>
    </row>
    <row r="16" spans="1:40" ht="14.45" customHeight="1" x14ac:dyDescent="0.25">
      <c r="A16" s="284"/>
      <c r="B16" s="454" t="str">
        <f>B77</f>
        <v>Preparation time before administration (hours)</v>
      </c>
      <c r="C16" s="461"/>
      <c r="D16" s="425">
        <f>D83</f>
        <v>0</v>
      </c>
      <c r="E16" s="425">
        <f t="shared" ref="E16:I16" si="6">E83</f>
        <v>0</v>
      </c>
      <c r="F16" s="425">
        <f t="shared" si="6"/>
        <v>0</v>
      </c>
      <c r="G16" s="425">
        <f t="shared" si="6"/>
        <v>0</v>
      </c>
      <c r="H16" s="425">
        <f t="shared" si="6"/>
        <v>0</v>
      </c>
      <c r="I16" s="425">
        <f t="shared" si="6"/>
        <v>0</v>
      </c>
      <c r="L16" s="206"/>
      <c r="M16" s="206"/>
      <c r="N16" s="206"/>
      <c r="O16" s="206"/>
      <c r="P16" s="422"/>
      <c r="Q16" s="422"/>
      <c r="R16" s="133"/>
      <c r="S16" s="133"/>
      <c r="T16" s="133"/>
      <c r="U16" s="133"/>
      <c r="V16" s="133"/>
      <c r="W16" s="133"/>
      <c r="X16" s="133"/>
      <c r="Y16" s="133"/>
      <c r="Z16" s="133"/>
      <c r="AJ16" s="283"/>
      <c r="AK16" s="283"/>
      <c r="AL16" s="283"/>
      <c r="AM16" s="283"/>
      <c r="AN16" s="283"/>
    </row>
    <row r="17" spans="1:40" ht="14.45" customHeight="1" x14ac:dyDescent="0.25">
      <c r="A17" s="284"/>
      <c r="B17" s="454" t="str">
        <f>B86</f>
        <v>Post administration nursing time (hours)</v>
      </c>
      <c r="C17" s="461"/>
      <c r="D17" s="425">
        <f>D92</f>
        <v>0</v>
      </c>
      <c r="E17" s="426">
        <f t="shared" ref="E17:I17" si="7">E92</f>
        <v>0</v>
      </c>
      <c r="F17" s="425">
        <f t="shared" si="7"/>
        <v>0</v>
      </c>
      <c r="G17" s="425">
        <f t="shared" si="7"/>
        <v>0</v>
      </c>
      <c r="H17" s="425">
        <f t="shared" si="7"/>
        <v>0</v>
      </c>
      <c r="I17" s="425">
        <f t="shared" si="7"/>
        <v>0</v>
      </c>
      <c r="L17" s="206"/>
      <c r="M17" s="206"/>
      <c r="N17" s="206"/>
      <c r="O17" s="206"/>
      <c r="P17" s="422"/>
      <c r="Q17" s="422"/>
      <c r="R17" s="133"/>
      <c r="S17" s="133"/>
      <c r="T17" s="133"/>
      <c r="U17" s="133"/>
      <c r="V17" s="133"/>
      <c r="W17" s="133"/>
      <c r="X17" s="133"/>
      <c r="Y17" s="133"/>
      <c r="Z17" s="133"/>
      <c r="AJ17" s="283"/>
      <c r="AK17" s="283"/>
      <c r="AL17" s="283"/>
      <c r="AM17" s="283"/>
      <c r="AN17" s="283"/>
    </row>
    <row r="18" spans="1:40" ht="14.45" customHeight="1" x14ac:dyDescent="0.25">
      <c r="A18" s="286"/>
      <c r="B18" s="455" t="str">
        <f>B96</f>
        <v>Drug regimen prep (hours)</v>
      </c>
      <c r="C18" s="462"/>
      <c r="D18" s="427">
        <f>D102</f>
        <v>0</v>
      </c>
      <c r="E18" s="427">
        <f t="shared" ref="E18:I18" si="8">E102</f>
        <v>0</v>
      </c>
      <c r="F18" s="427">
        <f t="shared" si="8"/>
        <v>0</v>
      </c>
      <c r="G18" s="427">
        <f t="shared" si="8"/>
        <v>0</v>
      </c>
      <c r="H18" s="427">
        <f t="shared" si="8"/>
        <v>0</v>
      </c>
      <c r="I18" s="427">
        <f t="shared" si="8"/>
        <v>0</v>
      </c>
      <c r="L18" s="206"/>
      <c r="M18" s="206"/>
      <c r="N18" s="206"/>
      <c r="O18" s="206"/>
      <c r="P18" s="422"/>
      <c r="Q18" s="422"/>
      <c r="R18" s="133"/>
      <c r="S18" s="133"/>
      <c r="T18" s="133"/>
      <c r="U18" s="133"/>
      <c r="V18" s="133"/>
      <c r="W18" s="133"/>
      <c r="X18" s="133"/>
      <c r="Y18" s="133"/>
      <c r="Z18" s="133"/>
      <c r="AJ18" s="283"/>
      <c r="AK18" s="283"/>
      <c r="AL18" s="283"/>
      <c r="AM18" s="283"/>
      <c r="AN18" s="283"/>
    </row>
    <row r="19" spans="1:40" ht="14.45" hidden="1" customHeight="1" x14ac:dyDescent="0.25">
      <c r="A19" s="332"/>
      <c r="B19" s="457" t="str">
        <f>B106</f>
        <v>Appointments with supporting specialty x</v>
      </c>
      <c r="C19" s="463"/>
      <c r="D19" s="431">
        <f>D111</f>
        <v>0</v>
      </c>
      <c r="E19" s="431">
        <f t="shared" ref="E19:I19" si="9">E111</f>
        <v>0</v>
      </c>
      <c r="F19" s="431">
        <f t="shared" si="9"/>
        <v>0</v>
      </c>
      <c r="G19" s="431">
        <f t="shared" si="9"/>
        <v>0</v>
      </c>
      <c r="H19" s="431">
        <f t="shared" si="9"/>
        <v>0</v>
      </c>
      <c r="I19" s="431">
        <f t="shared" si="9"/>
        <v>0</v>
      </c>
      <c r="L19" s="289">
        <f>L111</f>
        <v>0</v>
      </c>
      <c r="M19" s="289">
        <f t="shared" ref="M19:Q19" si="10">M111</f>
        <v>0</v>
      </c>
      <c r="N19" s="289">
        <f t="shared" si="10"/>
        <v>0</v>
      </c>
      <c r="O19" s="289">
        <f t="shared" si="10"/>
        <v>0</v>
      </c>
      <c r="P19" s="289">
        <f t="shared" si="10"/>
        <v>0</v>
      </c>
      <c r="Q19" s="289">
        <f t="shared" si="10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3"/>
      <c r="AK19" s="283"/>
      <c r="AL19" s="283"/>
      <c r="AM19" s="283"/>
      <c r="AN19" s="283"/>
    </row>
    <row r="20" spans="1:40" ht="14.45" hidden="1" customHeight="1" x14ac:dyDescent="0.25">
      <c r="A20" s="287"/>
      <c r="B20" s="458" t="str">
        <f>B115</f>
        <v>Imaging MRI scans</v>
      </c>
      <c r="C20" s="464"/>
      <c r="D20" s="432">
        <f>D120</f>
        <v>0</v>
      </c>
      <c r="E20" s="432">
        <f t="shared" ref="E20:I20" si="11">E120</f>
        <v>0</v>
      </c>
      <c r="F20" s="432">
        <f t="shared" si="11"/>
        <v>0</v>
      </c>
      <c r="G20" s="432">
        <f t="shared" si="11"/>
        <v>0</v>
      </c>
      <c r="H20" s="432">
        <f t="shared" si="11"/>
        <v>0</v>
      </c>
      <c r="I20" s="432">
        <f t="shared" si="11"/>
        <v>0</v>
      </c>
      <c r="L20" s="289">
        <f>L120</f>
        <v>0</v>
      </c>
      <c r="M20" s="289">
        <f t="shared" ref="M20:Q20" si="12">M120</f>
        <v>0</v>
      </c>
      <c r="N20" s="289">
        <f t="shared" si="12"/>
        <v>0</v>
      </c>
      <c r="O20" s="289">
        <f t="shared" si="12"/>
        <v>0</v>
      </c>
      <c r="P20" s="289">
        <f t="shared" si="12"/>
        <v>0</v>
      </c>
      <c r="Q20" s="289">
        <f t="shared" si="12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3"/>
      <c r="AK20" s="283"/>
      <c r="AL20" s="283"/>
      <c r="AM20" s="283"/>
      <c r="AN20" s="283"/>
    </row>
    <row r="21" spans="1:40" ht="14.45" hidden="1" customHeight="1" x14ac:dyDescent="0.25">
      <c r="A21" s="287"/>
      <c r="B21" s="458" t="str">
        <f>B123</f>
        <v>Liver function tests per person</v>
      </c>
      <c r="C21" s="464"/>
      <c r="D21" s="432">
        <f>D128</f>
        <v>0</v>
      </c>
      <c r="E21" s="432">
        <f t="shared" ref="E21:I21" si="13">E128</f>
        <v>0</v>
      </c>
      <c r="F21" s="432">
        <f t="shared" si="13"/>
        <v>0</v>
      </c>
      <c r="G21" s="432">
        <f t="shared" si="13"/>
        <v>0</v>
      </c>
      <c r="H21" s="432">
        <f t="shared" si="13"/>
        <v>0</v>
      </c>
      <c r="I21" s="432">
        <f t="shared" si="13"/>
        <v>0</v>
      </c>
      <c r="L21" s="206"/>
      <c r="M21" s="206"/>
      <c r="N21" s="206"/>
      <c r="O21" s="206"/>
      <c r="P21" s="422"/>
      <c r="Q21" s="422"/>
      <c r="R21" s="133"/>
      <c r="S21" s="133"/>
      <c r="T21" s="133"/>
      <c r="U21" s="133"/>
      <c r="V21" s="133"/>
      <c r="W21" s="133"/>
      <c r="X21" s="133"/>
      <c r="Y21" s="133"/>
      <c r="Z21" s="133"/>
      <c r="AJ21" s="283"/>
      <c r="AK21" s="283"/>
      <c r="AL21" s="283"/>
      <c r="AM21" s="283"/>
      <c r="AN21" s="283"/>
    </row>
    <row r="22" spans="1:40" ht="14.45" hidden="1" customHeight="1" x14ac:dyDescent="0.25">
      <c r="A22" s="287"/>
      <c r="B22" s="458" t="str">
        <f>B131</f>
        <v>Genomic tests</v>
      </c>
      <c r="C22" s="464"/>
      <c r="D22" s="432">
        <f>D136</f>
        <v>0</v>
      </c>
      <c r="E22" s="432">
        <f t="shared" ref="E22:I22" si="14">E136</f>
        <v>0</v>
      </c>
      <c r="F22" s="432">
        <f t="shared" si="14"/>
        <v>0</v>
      </c>
      <c r="G22" s="432">
        <f t="shared" si="14"/>
        <v>0</v>
      </c>
      <c r="H22" s="432">
        <f t="shared" si="14"/>
        <v>0</v>
      </c>
      <c r="I22" s="432">
        <f t="shared" si="14"/>
        <v>0</v>
      </c>
      <c r="L22" s="206"/>
      <c r="M22" s="206"/>
      <c r="N22" s="206"/>
      <c r="O22" s="206"/>
      <c r="P22" s="422"/>
      <c r="Q22" s="422"/>
      <c r="R22" s="133"/>
      <c r="S22" s="133"/>
      <c r="T22" s="133"/>
      <c r="U22" s="133"/>
      <c r="V22" s="133"/>
      <c r="W22" s="133"/>
      <c r="X22" s="133"/>
      <c r="Y22" s="133"/>
      <c r="Z22" s="133"/>
      <c r="AJ22" s="283"/>
      <c r="AK22" s="283"/>
      <c r="AL22" s="283"/>
      <c r="AM22" s="283"/>
      <c r="AN22" s="283"/>
    </row>
    <row r="23" spans="1:40" ht="14.45" hidden="1" customHeight="1" x14ac:dyDescent="0.25">
      <c r="A23" s="287"/>
      <c r="B23" s="459" t="str">
        <f>B139</f>
        <v>Genomics staffing impact (hours)</v>
      </c>
      <c r="C23" s="443"/>
      <c r="D23" s="432">
        <f>D144</f>
        <v>0</v>
      </c>
      <c r="E23" s="432">
        <f t="shared" ref="E23:I23" si="15">E144</f>
        <v>0</v>
      </c>
      <c r="F23" s="432">
        <f t="shared" si="15"/>
        <v>0</v>
      </c>
      <c r="G23" s="432">
        <f t="shared" si="15"/>
        <v>0</v>
      </c>
      <c r="H23" s="432">
        <f t="shared" si="15"/>
        <v>0</v>
      </c>
      <c r="I23" s="432">
        <f t="shared" si="15"/>
        <v>0</v>
      </c>
      <c r="J23" s="133"/>
      <c r="K23" s="133"/>
      <c r="L23" s="206"/>
      <c r="M23" s="206"/>
      <c r="N23" s="206"/>
      <c r="O23" s="206"/>
      <c r="P23" s="422"/>
      <c r="Q23" s="422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ht="14.45" hidden="1" customHeight="1" x14ac:dyDescent="0.25">
      <c r="A24" s="288"/>
      <c r="B24" s="460" t="str">
        <f>B148</f>
        <v>Adverse events, various (cases)</v>
      </c>
      <c r="C24" s="438"/>
      <c r="D24" s="433">
        <f>D157</f>
        <v>0</v>
      </c>
      <c r="E24" s="433">
        <f t="shared" ref="E24:I24" si="16">E157</f>
        <v>0</v>
      </c>
      <c r="F24" s="433">
        <f t="shared" si="16"/>
        <v>0</v>
      </c>
      <c r="G24" s="433">
        <f t="shared" si="16"/>
        <v>0</v>
      </c>
      <c r="H24" s="433">
        <f t="shared" si="16"/>
        <v>0</v>
      </c>
      <c r="I24" s="433">
        <f t="shared" si="16"/>
        <v>0</v>
      </c>
      <c r="J24" s="133"/>
      <c r="K24" s="133"/>
      <c r="L24" s="289">
        <f>L157</f>
        <v>0</v>
      </c>
      <c r="M24" s="289">
        <f>M157</f>
        <v>0</v>
      </c>
      <c r="N24" s="289">
        <f t="shared" ref="N24:Q24" si="17">N157</f>
        <v>0</v>
      </c>
      <c r="O24" s="289">
        <f t="shared" si="17"/>
        <v>0</v>
      </c>
      <c r="P24" s="289">
        <f t="shared" si="17"/>
        <v>0</v>
      </c>
      <c r="Q24" s="289">
        <f t="shared" si="17"/>
        <v>0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ht="14.45" customHeight="1" x14ac:dyDescent="0.25">
      <c r="B25" s="247"/>
      <c r="D25" s="283"/>
      <c r="F25" s="133"/>
      <c r="G25" s="133"/>
      <c r="H25" s="133"/>
      <c r="I25" s="133"/>
      <c r="J25" s="133"/>
      <c r="K25" s="133"/>
      <c r="L25" s="290">
        <f t="shared" ref="L25:Q25" si="18">SUM(L12:L24)</f>
        <v>0</v>
      </c>
      <c r="M25" s="290">
        <f t="shared" si="18"/>
        <v>0</v>
      </c>
      <c r="N25" s="290">
        <f t="shared" si="18"/>
        <v>0</v>
      </c>
      <c r="O25" s="290">
        <f t="shared" si="18"/>
        <v>0</v>
      </c>
      <c r="P25" s="290">
        <f t="shared" si="18"/>
        <v>0</v>
      </c>
      <c r="Q25" s="290">
        <f t="shared" si="18"/>
        <v>0</v>
      </c>
      <c r="R25" s="843"/>
      <c r="S25" s="133"/>
      <c r="T25" s="133"/>
      <c r="U25" s="133"/>
      <c r="V25" s="133"/>
      <c r="W25" s="133"/>
      <c r="X25" s="133"/>
      <c r="Y25" s="133"/>
      <c r="Z25" s="133"/>
    </row>
    <row r="26" spans="1:40" x14ac:dyDescent="0.25"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P26" s="133"/>
      <c r="Q26" s="133"/>
      <c r="R26" s="133"/>
      <c r="S26" s="133"/>
      <c r="V26" s="133"/>
      <c r="W26" s="133"/>
      <c r="X26" s="133"/>
      <c r="Y26" s="133"/>
      <c r="Z26" s="133"/>
      <c r="AJ26" s="283"/>
      <c r="AK26" s="283"/>
      <c r="AL26" s="283"/>
      <c r="AM26" s="283"/>
      <c r="AN26" s="283"/>
    </row>
    <row r="27" spans="1:40" x14ac:dyDescent="0.25">
      <c r="B27" s="377" t="s">
        <v>825</v>
      </c>
      <c r="C27" s="378"/>
      <c r="D27" s="378"/>
      <c r="E27" s="379"/>
      <c r="F27" s="378"/>
      <c r="G27" s="380"/>
      <c r="H27" s="381"/>
      <c r="I27" s="381"/>
      <c r="J27" s="381"/>
      <c r="K27" s="381"/>
      <c r="L27" s="381"/>
      <c r="M27" s="381"/>
      <c r="N27" s="381"/>
      <c r="O27" s="381"/>
      <c r="P27" s="381"/>
      <c r="Q27" s="382"/>
      <c r="R27" s="133"/>
      <c r="S27" s="133"/>
      <c r="T27" s="133"/>
      <c r="U27" s="133"/>
      <c r="V27" s="133"/>
      <c r="W27" s="133"/>
      <c r="X27" s="133"/>
      <c r="Y27" s="133"/>
      <c r="Z27" s="133"/>
      <c r="AJ27" s="283"/>
      <c r="AK27" s="283"/>
      <c r="AL27" s="283"/>
      <c r="AM27" s="283"/>
      <c r="AN27" s="283"/>
    </row>
    <row r="28" spans="1:40" x14ac:dyDescent="0.25">
      <c r="A28" s="285"/>
      <c r="B28" s="593" t="s">
        <v>1071</v>
      </c>
      <c r="C28" s="586"/>
      <c r="D28" s="587"/>
      <c r="E28" s="588"/>
      <c r="F28" s="285"/>
      <c r="G28" s="285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133"/>
      <c r="S28" s="133"/>
      <c r="T28" s="133"/>
      <c r="U28" s="133"/>
      <c r="V28" s="133"/>
      <c r="W28" s="133"/>
      <c r="X28" s="133"/>
      <c r="Y28" s="133"/>
      <c r="Z28" s="133"/>
      <c r="AJ28" s="283"/>
      <c r="AK28" s="283"/>
      <c r="AL28" s="283"/>
      <c r="AM28" s="283"/>
      <c r="AN28" s="283"/>
    </row>
    <row r="29" spans="1:40" x14ac:dyDescent="0.25">
      <c r="A29" s="584"/>
      <c r="B29" s="589" t="s">
        <v>1069</v>
      </c>
      <c r="C29" s="400"/>
      <c r="D29" s="400"/>
      <c r="E29" s="400"/>
      <c r="F29" s="400"/>
      <c r="G29" s="400"/>
      <c r="H29" s="400"/>
      <c r="I29" s="217"/>
      <c r="J29" s="218"/>
      <c r="K29" s="218"/>
      <c r="L29" s="218"/>
      <c r="M29" s="218"/>
      <c r="N29" s="218"/>
      <c r="O29" s="218"/>
      <c r="P29" s="218"/>
      <c r="Q29" s="218"/>
      <c r="R29" s="133"/>
      <c r="S29" s="133"/>
      <c r="T29" s="133"/>
      <c r="U29" s="133"/>
      <c r="V29" s="133"/>
      <c r="W29" s="133"/>
      <c r="X29" s="133"/>
      <c r="Y29" s="133"/>
      <c r="Z29" s="133"/>
      <c r="AJ29" s="283"/>
      <c r="AK29" s="283"/>
      <c r="AL29" s="283"/>
      <c r="AM29" s="283"/>
      <c r="AN29" s="283"/>
    </row>
    <row r="30" spans="1:40" ht="45" x14ac:dyDescent="0.25">
      <c r="A30" s="584"/>
      <c r="B30" s="319" t="s">
        <v>758</v>
      </c>
      <c r="C30" s="166" t="s">
        <v>826</v>
      </c>
      <c r="D30" s="428" t="s">
        <v>820</v>
      </c>
      <c r="E30" s="256" t="s">
        <v>666</v>
      </c>
      <c r="F30" s="256" t="s">
        <v>667</v>
      </c>
      <c r="G30" s="165" t="s">
        <v>777</v>
      </c>
      <c r="H30" s="165" t="s">
        <v>778</v>
      </c>
      <c r="I30" s="256" t="s">
        <v>779</v>
      </c>
      <c r="J30" s="592"/>
      <c r="K30" s="218"/>
      <c r="L30" s="218"/>
      <c r="M30" s="218"/>
      <c r="N30" s="218"/>
      <c r="O30" s="218"/>
      <c r="P30" s="218"/>
      <c r="Q30" s="218"/>
      <c r="R30" s="133"/>
      <c r="S30" s="133"/>
      <c r="T30" s="133"/>
      <c r="U30" s="133"/>
      <c r="V30" s="133"/>
      <c r="W30" s="133"/>
      <c r="X30" s="133"/>
      <c r="Y30" s="133"/>
      <c r="Z30" s="133"/>
      <c r="AJ30" s="283"/>
      <c r="AK30" s="283"/>
      <c r="AL30" s="283"/>
      <c r="AM30" s="283"/>
      <c r="AN30" s="283"/>
    </row>
    <row r="31" spans="1:40" x14ac:dyDescent="0.25">
      <c r="A31" s="584"/>
      <c r="B31" s="352" t="s">
        <v>1051</v>
      </c>
      <c r="C31" s="149">
        <f>'Inputs and eligible population'!F103</f>
        <v>2</v>
      </c>
      <c r="D31" s="128">
        <f>'Financial impact (cash)'!D15*$C$31</f>
        <v>0</v>
      </c>
      <c r="E31" s="128">
        <f>'Financial impact (cash)'!E15*$C$31</f>
        <v>0</v>
      </c>
      <c r="F31" s="128">
        <f>'Financial impact (cash)'!F15*$C$31</f>
        <v>0</v>
      </c>
      <c r="G31" s="128">
        <f>'Financial impact (cash)'!G15*$C$31</f>
        <v>0</v>
      </c>
      <c r="H31" s="128">
        <f>'Financial impact (cash)'!H15*$C$31</f>
        <v>0</v>
      </c>
      <c r="I31" s="128">
        <f>'Financial impact (cash)'!I15*$C$31</f>
        <v>0</v>
      </c>
      <c r="J31" s="592"/>
      <c r="K31" s="218"/>
      <c r="L31" s="218"/>
      <c r="M31" s="218"/>
      <c r="N31" s="218"/>
      <c r="O31" s="218"/>
      <c r="P31" s="218"/>
      <c r="Q31" s="218"/>
      <c r="R31" s="133"/>
      <c r="S31" s="133"/>
      <c r="T31" s="133"/>
      <c r="U31" s="133"/>
      <c r="V31" s="133"/>
      <c r="W31" s="133"/>
      <c r="X31" s="133"/>
      <c r="Y31" s="133"/>
      <c r="Z31" s="133"/>
      <c r="AJ31" s="283"/>
      <c r="AK31" s="283"/>
      <c r="AL31" s="283"/>
      <c r="AM31" s="283"/>
      <c r="AN31" s="283"/>
    </row>
    <row r="32" spans="1:40" x14ac:dyDescent="0.25">
      <c r="A32" s="584"/>
      <c r="B32" s="545"/>
      <c r="C32" s="280"/>
      <c r="D32" s="186">
        <f t="shared" ref="D32:I32" si="19">SUM(D31:D31)</f>
        <v>0</v>
      </c>
      <c r="E32" s="186">
        <f t="shared" si="19"/>
        <v>0</v>
      </c>
      <c r="F32" s="186">
        <f t="shared" si="19"/>
        <v>0</v>
      </c>
      <c r="G32" s="186">
        <f t="shared" si="19"/>
        <v>0</v>
      </c>
      <c r="H32" s="186">
        <f t="shared" si="19"/>
        <v>0</v>
      </c>
      <c r="I32" s="186">
        <f t="shared" si="19"/>
        <v>0</v>
      </c>
      <c r="J32" s="592"/>
      <c r="K32" s="218"/>
      <c r="L32" s="218"/>
      <c r="M32" s="218"/>
      <c r="N32" s="218"/>
      <c r="O32" s="218"/>
      <c r="P32" s="218"/>
      <c r="Q32" s="218"/>
      <c r="R32" s="133"/>
      <c r="S32" s="133"/>
      <c r="T32" s="133"/>
      <c r="U32" s="133"/>
      <c r="V32" s="133"/>
      <c r="W32" s="133"/>
      <c r="X32" s="133"/>
      <c r="Y32" s="133"/>
      <c r="Z32" s="133"/>
      <c r="AJ32" s="283"/>
      <c r="AK32" s="283"/>
      <c r="AL32" s="283"/>
      <c r="AM32" s="283"/>
      <c r="AN32" s="283"/>
    </row>
    <row r="33" spans="1:40" x14ac:dyDescent="0.25">
      <c r="A33" s="584"/>
      <c r="B33" s="257"/>
      <c r="C33" s="257"/>
      <c r="D33" s="282" t="s">
        <v>1070</v>
      </c>
      <c r="E33" s="186">
        <f>E32-$D$32</f>
        <v>0</v>
      </c>
      <c r="F33" s="186">
        <f>F32-$D$32</f>
        <v>0</v>
      </c>
      <c r="G33" s="186">
        <f>G32-$D$32</f>
        <v>0</v>
      </c>
      <c r="H33" s="186">
        <f>H32-$D$32</f>
        <v>0</v>
      </c>
      <c r="I33" s="186">
        <f>I32-$D$32</f>
        <v>0</v>
      </c>
      <c r="J33" s="592"/>
      <c r="K33" s="218"/>
      <c r="L33" s="218"/>
      <c r="M33" s="218"/>
      <c r="N33" s="218"/>
      <c r="O33" s="218"/>
      <c r="P33" s="218"/>
      <c r="Q33" s="218"/>
      <c r="R33" s="133"/>
      <c r="S33" s="133"/>
      <c r="T33" s="133"/>
      <c r="U33" s="133"/>
      <c r="V33" s="133"/>
      <c r="W33" s="133"/>
      <c r="X33" s="133"/>
      <c r="Y33" s="133"/>
      <c r="Z33" s="133"/>
      <c r="AJ33" s="283"/>
      <c r="AK33" s="283"/>
      <c r="AL33" s="283"/>
      <c r="AM33" s="283"/>
      <c r="AN33" s="283"/>
    </row>
    <row r="34" spans="1:40" x14ac:dyDescent="0.25">
      <c r="A34" s="285"/>
      <c r="B34" s="585"/>
      <c r="C34" s="586"/>
      <c r="D34" s="587"/>
      <c r="E34" s="588"/>
      <c r="F34" s="285"/>
      <c r="G34" s="285"/>
      <c r="H34" s="285"/>
      <c r="I34" s="840"/>
      <c r="J34" s="218"/>
      <c r="K34" s="218"/>
      <c r="L34" s="218"/>
      <c r="M34" s="218"/>
      <c r="N34" s="218"/>
      <c r="O34" s="218"/>
      <c r="P34" s="218"/>
      <c r="Q34" s="218"/>
      <c r="R34" s="133"/>
      <c r="S34" s="133"/>
      <c r="T34" s="133"/>
      <c r="U34" s="133"/>
      <c r="V34" s="133"/>
      <c r="W34" s="133"/>
      <c r="X34" s="133"/>
      <c r="Y34" s="133"/>
      <c r="Z34" s="133"/>
      <c r="AJ34" s="283"/>
      <c r="AK34" s="283"/>
      <c r="AL34" s="283"/>
      <c r="AM34" s="283"/>
      <c r="AN34" s="283"/>
    </row>
    <row r="35" spans="1:40" x14ac:dyDescent="0.25">
      <c r="A35" s="285"/>
      <c r="B35" s="585"/>
      <c r="C35" s="586"/>
      <c r="D35" s="587"/>
      <c r="E35" s="588"/>
      <c r="F35" s="285"/>
      <c r="G35" s="285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133"/>
      <c r="S35" s="133"/>
      <c r="T35" s="133"/>
      <c r="U35" s="133"/>
      <c r="V35" s="133"/>
      <c r="W35" s="133"/>
      <c r="X35" s="133"/>
      <c r="Y35" s="133"/>
      <c r="Z35" s="133"/>
      <c r="AJ35" s="283"/>
      <c r="AK35" s="283"/>
      <c r="AL35" s="283"/>
      <c r="AM35" s="283"/>
      <c r="AN35" s="283"/>
    </row>
    <row r="36" spans="1:40" x14ac:dyDescent="0.25">
      <c r="A36" s="285"/>
      <c r="B36" s="585"/>
      <c r="C36" s="586"/>
      <c r="D36" s="587"/>
      <c r="E36" s="588"/>
      <c r="F36" s="285"/>
      <c r="G36" s="285"/>
      <c r="H36" s="285"/>
      <c r="I36" s="841"/>
      <c r="J36" s="218"/>
      <c r="K36" s="218"/>
      <c r="L36" s="218"/>
      <c r="M36" s="218"/>
      <c r="N36" s="218"/>
      <c r="O36" s="218"/>
      <c r="P36" s="218"/>
      <c r="Q36" s="218"/>
      <c r="R36" s="133"/>
      <c r="S36" s="133"/>
      <c r="T36" s="133"/>
      <c r="U36" s="133"/>
      <c r="V36" s="133"/>
      <c r="W36" s="133"/>
      <c r="X36" s="133"/>
      <c r="Y36" s="133"/>
      <c r="Z36" s="133"/>
      <c r="AJ36" s="283"/>
      <c r="AK36" s="283"/>
      <c r="AL36" s="283"/>
      <c r="AM36" s="283"/>
      <c r="AN36" s="283"/>
    </row>
    <row r="37" spans="1:40" x14ac:dyDescent="0.25">
      <c r="A37" s="285"/>
      <c r="B37" s="399" t="s">
        <v>859</v>
      </c>
      <c r="C37" s="400"/>
      <c r="D37" s="400"/>
      <c r="E37" s="400"/>
      <c r="F37" s="400"/>
      <c r="G37" s="400"/>
      <c r="H37" s="400"/>
      <c r="I37" s="217"/>
      <c r="J37" s="218"/>
      <c r="K37" s="218"/>
      <c r="L37" s="218"/>
      <c r="M37" s="218"/>
      <c r="N37" s="218"/>
      <c r="O37" s="218"/>
      <c r="P37" s="218"/>
      <c r="Q37" s="218"/>
      <c r="R37" s="133"/>
      <c r="S37" s="133"/>
      <c r="T37" s="133"/>
      <c r="U37" s="133"/>
      <c r="V37" s="133"/>
      <c r="W37" s="133"/>
      <c r="X37" s="133"/>
      <c r="Y37" s="133"/>
      <c r="Z37" s="133"/>
      <c r="AJ37" s="283"/>
      <c r="AK37" s="283"/>
      <c r="AL37" s="283"/>
      <c r="AM37" s="283"/>
      <c r="AN37" s="283"/>
    </row>
    <row r="38" spans="1:40" ht="45" x14ac:dyDescent="0.25">
      <c r="A38" s="285"/>
      <c r="B38" s="276" t="s">
        <v>758</v>
      </c>
      <c r="C38" s="166" t="s">
        <v>826</v>
      </c>
      <c r="D38" s="428" t="s">
        <v>820</v>
      </c>
      <c r="E38" s="256" t="s">
        <v>666</v>
      </c>
      <c r="F38" s="256" t="s">
        <v>667</v>
      </c>
      <c r="G38" s="165" t="s">
        <v>777</v>
      </c>
      <c r="H38" s="165" t="s">
        <v>778</v>
      </c>
      <c r="I38" s="256" t="s">
        <v>779</v>
      </c>
      <c r="J38" s="218"/>
      <c r="K38" s="583" t="s">
        <v>856</v>
      </c>
      <c r="L38" s="428" t="s">
        <v>820</v>
      </c>
      <c r="M38" s="563" t="s">
        <v>666</v>
      </c>
      <c r="N38" s="563" t="s">
        <v>667</v>
      </c>
      <c r="O38" s="429" t="s">
        <v>777</v>
      </c>
      <c r="P38" s="429" t="s">
        <v>778</v>
      </c>
      <c r="Q38" s="563" t="s">
        <v>779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3"/>
      <c r="AK38" s="283"/>
      <c r="AL38" s="283"/>
      <c r="AM38" s="283"/>
      <c r="AN38" s="283"/>
    </row>
    <row r="39" spans="1:40" x14ac:dyDescent="0.25">
      <c r="A39" s="285"/>
      <c r="B39" s="352" t="s">
        <v>1051</v>
      </c>
      <c r="C39" s="149">
        <f>'Inputs and eligible population'!F105</f>
        <v>0</v>
      </c>
      <c r="D39" s="128">
        <f>'Financial impact (cash)'!D15*$C$39</f>
        <v>0</v>
      </c>
      <c r="E39" s="128">
        <f>'Financial impact (cash)'!E15*$C$39</f>
        <v>0</v>
      </c>
      <c r="F39" s="128">
        <f>'Financial impact (cash)'!F15*$C$39</f>
        <v>0</v>
      </c>
      <c r="G39" s="128">
        <f>'Financial impact (cash)'!G15*$C$39</f>
        <v>0</v>
      </c>
      <c r="H39" s="128">
        <f>'Financial impact (cash)'!H15*$C$39</f>
        <v>0</v>
      </c>
      <c r="I39" s="128">
        <f>'Financial impact (cash)'!I15*$C$39</f>
        <v>0</v>
      </c>
      <c r="J39" s="218"/>
      <c r="K39" s="595">
        <f>'Unit costs'!$N$122</f>
        <v>69</v>
      </c>
      <c r="L39" s="289">
        <f>(D39*$K39)/1000</f>
        <v>0</v>
      </c>
      <c r="M39" s="289">
        <f t="shared" ref="M39:Q39" si="20">(E39*$K39)/1000</f>
        <v>0</v>
      </c>
      <c r="N39" s="289">
        <f t="shared" si="20"/>
        <v>0</v>
      </c>
      <c r="O39" s="289">
        <f t="shared" si="20"/>
        <v>0</v>
      </c>
      <c r="P39" s="289">
        <f t="shared" si="20"/>
        <v>0</v>
      </c>
      <c r="Q39" s="289">
        <f t="shared" si="20"/>
        <v>0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3"/>
      <c r="AK39" s="283"/>
      <c r="AL39" s="283"/>
      <c r="AM39" s="283"/>
      <c r="AN39" s="283"/>
    </row>
    <row r="40" spans="1:40" x14ac:dyDescent="0.25">
      <c r="A40" s="285"/>
      <c r="B40" s="352" t="s">
        <v>1079</v>
      </c>
      <c r="C40" s="149">
        <f>'Inputs and eligible population'!G105</f>
        <v>3</v>
      </c>
      <c r="D40" s="128">
        <f>'Financial impact (cash)'!D26*$C$40</f>
        <v>0</v>
      </c>
      <c r="E40" s="128">
        <f>'Financial impact (cash)'!E26*$C$40</f>
        <v>0</v>
      </c>
      <c r="F40" s="128">
        <f>'Financial impact (cash)'!F26*$C$40</f>
        <v>0</v>
      </c>
      <c r="G40" s="128">
        <f>'Financial impact (cash)'!G26*$C$40</f>
        <v>0</v>
      </c>
      <c r="H40" s="128">
        <f>'Financial impact (cash)'!H26*$C$40</f>
        <v>0</v>
      </c>
      <c r="I40" s="128">
        <f>'Financial impact (cash)'!I26*$C$40</f>
        <v>0</v>
      </c>
      <c r="J40" s="218"/>
      <c r="K40" s="595">
        <f>'Unit costs'!$N$122</f>
        <v>69</v>
      </c>
      <c r="L40" s="289">
        <f t="shared" ref="L40:L47" si="21">(D40*$K40)/1000</f>
        <v>0</v>
      </c>
      <c r="M40" s="289">
        <f t="shared" ref="M40:M47" si="22">(E40*$K40)/1000</f>
        <v>0</v>
      </c>
      <c r="N40" s="289">
        <f t="shared" ref="N40:N47" si="23">(F40*$K40)/1000</f>
        <v>0</v>
      </c>
      <c r="O40" s="289">
        <f t="shared" ref="O40:O47" si="24">(G40*$K40)/1000</f>
        <v>0</v>
      </c>
      <c r="P40" s="289">
        <f t="shared" ref="P40:P47" si="25">(H40*$K40)/1000</f>
        <v>0</v>
      </c>
      <c r="Q40" s="289">
        <f t="shared" ref="Q40:Q47" si="26">(I40*$K40)/1000</f>
        <v>0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3"/>
      <c r="AK40" s="283"/>
      <c r="AL40" s="283"/>
      <c r="AM40" s="283"/>
      <c r="AN40" s="283"/>
    </row>
    <row r="41" spans="1:40" x14ac:dyDescent="0.25">
      <c r="A41" s="285"/>
      <c r="B41" s="352" t="s">
        <v>1080</v>
      </c>
      <c r="C41" s="149">
        <f>'Inputs and eligible population'!H105</f>
        <v>3</v>
      </c>
      <c r="D41" s="128">
        <f>'Financial impact (cash)'!D27*$C$41</f>
        <v>0</v>
      </c>
      <c r="E41" s="128">
        <f>'Financial impact (cash)'!E27*$C$41</f>
        <v>0</v>
      </c>
      <c r="F41" s="128">
        <f>'Financial impact (cash)'!F27*$C$41</f>
        <v>0</v>
      </c>
      <c r="G41" s="128">
        <f>'Financial impact (cash)'!G27*$C$41</f>
        <v>0</v>
      </c>
      <c r="H41" s="128">
        <f>'Financial impact (cash)'!H27*$C$41</f>
        <v>0</v>
      </c>
      <c r="I41" s="128">
        <f>'Financial impact (cash)'!I27*$C$41</f>
        <v>0</v>
      </c>
      <c r="J41" s="218"/>
      <c r="K41" s="595">
        <f>'Unit costs'!$N$122</f>
        <v>69</v>
      </c>
      <c r="L41" s="289">
        <f t="shared" si="21"/>
        <v>0</v>
      </c>
      <c r="M41" s="289">
        <f t="shared" si="22"/>
        <v>0</v>
      </c>
      <c r="N41" s="289">
        <f t="shared" si="23"/>
        <v>0</v>
      </c>
      <c r="O41" s="289">
        <f t="shared" si="24"/>
        <v>0</v>
      </c>
      <c r="P41" s="289">
        <f t="shared" si="25"/>
        <v>0</v>
      </c>
      <c r="Q41" s="289">
        <f t="shared" si="26"/>
        <v>0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3"/>
      <c r="AK41" s="283"/>
      <c r="AL41" s="283"/>
      <c r="AM41" s="283"/>
      <c r="AN41" s="283"/>
    </row>
    <row r="42" spans="1:40" x14ac:dyDescent="0.25">
      <c r="A42" s="285"/>
      <c r="B42" s="837" t="s">
        <v>1079</v>
      </c>
      <c r="C42" s="149">
        <f>'Inputs and eligible population'!I105</f>
        <v>3</v>
      </c>
      <c r="D42" s="128">
        <f>'Financial impact (cash)'!D39*$C$42</f>
        <v>0</v>
      </c>
      <c r="E42" s="128">
        <f>'Financial impact (cash)'!E39*$C$42</f>
        <v>0</v>
      </c>
      <c r="F42" s="128">
        <f>'Financial impact (cash)'!F39*$C$42</f>
        <v>0</v>
      </c>
      <c r="G42" s="128">
        <f>'Financial impact (cash)'!G39*$C$42</f>
        <v>0</v>
      </c>
      <c r="H42" s="128">
        <f>'Financial impact (cash)'!H39*$C$42</f>
        <v>0</v>
      </c>
      <c r="I42" s="128">
        <f>'Financial impact (cash)'!I39*$C$42</f>
        <v>0</v>
      </c>
      <c r="J42" s="218"/>
      <c r="K42" s="595">
        <f>'Unit costs'!$N$122</f>
        <v>69</v>
      </c>
      <c r="L42" s="289">
        <f t="shared" si="21"/>
        <v>0</v>
      </c>
      <c r="M42" s="289">
        <f t="shared" si="22"/>
        <v>0</v>
      </c>
      <c r="N42" s="289">
        <f t="shared" si="23"/>
        <v>0</v>
      </c>
      <c r="O42" s="289">
        <f t="shared" si="24"/>
        <v>0</v>
      </c>
      <c r="P42" s="289">
        <f t="shared" si="25"/>
        <v>0</v>
      </c>
      <c r="Q42" s="289">
        <f t="shared" si="26"/>
        <v>0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3"/>
      <c r="AK42" s="283"/>
      <c r="AL42" s="283"/>
      <c r="AM42" s="283"/>
      <c r="AN42" s="283"/>
    </row>
    <row r="43" spans="1:40" x14ac:dyDescent="0.25">
      <c r="A43" s="285"/>
      <c r="B43" s="837" t="s">
        <v>1080</v>
      </c>
      <c r="C43" s="149">
        <f>'Inputs and eligible population'!J105</f>
        <v>3</v>
      </c>
      <c r="D43" s="128">
        <f>'Financial impact (cash)'!D40*$C$43</f>
        <v>0</v>
      </c>
      <c r="E43" s="128">
        <f>'Financial impact (cash)'!E40*$C$43</f>
        <v>0</v>
      </c>
      <c r="F43" s="128">
        <f>'Financial impact (cash)'!F40*$C$43</f>
        <v>0</v>
      </c>
      <c r="G43" s="128">
        <f>'Financial impact (cash)'!G40*$C$43</f>
        <v>0</v>
      </c>
      <c r="H43" s="128">
        <f>'Financial impact (cash)'!H40*$C$43</f>
        <v>0</v>
      </c>
      <c r="I43" s="128">
        <f>'Financial impact (cash)'!I40*$C$43</f>
        <v>0</v>
      </c>
      <c r="J43" s="218"/>
      <c r="K43" s="595">
        <f>'Unit costs'!$N$122</f>
        <v>69</v>
      </c>
      <c r="L43" s="289">
        <f t="shared" si="21"/>
        <v>0</v>
      </c>
      <c r="M43" s="289">
        <f t="shared" si="22"/>
        <v>0</v>
      </c>
      <c r="N43" s="289">
        <f t="shared" si="23"/>
        <v>0</v>
      </c>
      <c r="O43" s="289">
        <f t="shared" si="24"/>
        <v>0</v>
      </c>
      <c r="P43" s="289">
        <f t="shared" si="25"/>
        <v>0</v>
      </c>
      <c r="Q43" s="289">
        <f t="shared" si="26"/>
        <v>0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3"/>
      <c r="AK43" s="283"/>
      <c r="AL43" s="283"/>
      <c r="AM43" s="283"/>
      <c r="AN43" s="283"/>
    </row>
    <row r="44" spans="1:40" x14ac:dyDescent="0.25">
      <c r="A44" s="285"/>
      <c r="B44" s="837" t="s">
        <v>1144</v>
      </c>
      <c r="C44" s="149">
        <f>'Inputs and eligible population'!K105</f>
        <v>1</v>
      </c>
      <c r="D44" s="128">
        <f>'Financial impact (cash)'!D41*$C$44</f>
        <v>0</v>
      </c>
      <c r="E44" s="128">
        <f>'Financial impact (cash)'!E41*$C$44</f>
        <v>0</v>
      </c>
      <c r="F44" s="128">
        <f>'Financial impact (cash)'!F41*$C$44</f>
        <v>0</v>
      </c>
      <c r="G44" s="128">
        <f>'Financial impact (cash)'!G41*$C$44</f>
        <v>0</v>
      </c>
      <c r="H44" s="128">
        <f>'Financial impact (cash)'!H41*$C$44</f>
        <v>0</v>
      </c>
      <c r="I44" s="128">
        <f>'Financial impact (cash)'!I41*$C$44</f>
        <v>0</v>
      </c>
      <c r="J44" s="218"/>
      <c r="K44" s="595">
        <f>'Unit costs'!$N$122</f>
        <v>69</v>
      </c>
      <c r="L44" s="289">
        <f t="shared" si="21"/>
        <v>0</v>
      </c>
      <c r="M44" s="289">
        <f t="shared" si="22"/>
        <v>0</v>
      </c>
      <c r="N44" s="289">
        <f t="shared" si="23"/>
        <v>0</v>
      </c>
      <c r="O44" s="289">
        <f t="shared" si="24"/>
        <v>0</v>
      </c>
      <c r="P44" s="289">
        <f t="shared" si="25"/>
        <v>0</v>
      </c>
      <c r="Q44" s="289">
        <f t="shared" si="26"/>
        <v>0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3"/>
      <c r="AK44" s="283"/>
      <c r="AL44" s="283"/>
      <c r="AM44" s="283"/>
      <c r="AN44" s="283"/>
    </row>
    <row r="45" spans="1:40" x14ac:dyDescent="0.25">
      <c r="A45" s="285"/>
      <c r="B45" s="837" t="s">
        <v>1145</v>
      </c>
      <c r="C45" s="149">
        <f>'Inputs and eligible population'!L105</f>
        <v>1</v>
      </c>
      <c r="D45" s="128">
        <f>'Financial impact (cash)'!D42*$C$45</f>
        <v>0</v>
      </c>
      <c r="E45" s="128">
        <f>'Financial impact (cash)'!E42*$C$45</f>
        <v>0</v>
      </c>
      <c r="F45" s="128">
        <f>'Financial impact (cash)'!F42*$C$45</f>
        <v>0</v>
      </c>
      <c r="G45" s="128">
        <f>'Financial impact (cash)'!G42*$C$45</f>
        <v>0</v>
      </c>
      <c r="H45" s="128">
        <f>'Financial impact (cash)'!H42*$C$45</f>
        <v>0</v>
      </c>
      <c r="I45" s="128">
        <f>'Financial impact (cash)'!I42*$C$45</f>
        <v>0</v>
      </c>
      <c r="J45" s="218"/>
      <c r="K45" s="595">
        <f>'Unit costs'!$N$122</f>
        <v>69</v>
      </c>
      <c r="L45" s="289">
        <f t="shared" si="21"/>
        <v>0</v>
      </c>
      <c r="M45" s="289">
        <f t="shared" si="22"/>
        <v>0</v>
      </c>
      <c r="N45" s="289">
        <f t="shared" si="23"/>
        <v>0</v>
      </c>
      <c r="O45" s="289">
        <f t="shared" si="24"/>
        <v>0</v>
      </c>
      <c r="P45" s="289">
        <f t="shared" si="25"/>
        <v>0</v>
      </c>
      <c r="Q45" s="289">
        <f t="shared" si="26"/>
        <v>0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3"/>
      <c r="AK45" s="283"/>
      <c r="AL45" s="283"/>
      <c r="AM45" s="283"/>
      <c r="AN45" s="283"/>
    </row>
    <row r="46" spans="1:40" x14ac:dyDescent="0.25">
      <c r="A46" s="285"/>
      <c r="B46" s="837" t="s">
        <v>1146</v>
      </c>
      <c r="C46" s="149">
        <f>'Inputs and eligible population'!M105</f>
        <v>3</v>
      </c>
      <c r="D46" s="128">
        <f>'Financial impact (cash)'!D43*$C$46</f>
        <v>0</v>
      </c>
      <c r="E46" s="128">
        <f>'Financial impact (cash)'!E43*$C$46</f>
        <v>0</v>
      </c>
      <c r="F46" s="128">
        <f>'Financial impact (cash)'!F43*$C$46</f>
        <v>0</v>
      </c>
      <c r="G46" s="128">
        <f>'Financial impact (cash)'!G43*$C$46</f>
        <v>0</v>
      </c>
      <c r="H46" s="128">
        <f>'Financial impact (cash)'!H43*$C$46</f>
        <v>0</v>
      </c>
      <c r="I46" s="128">
        <f>'Financial impact (cash)'!I43*$C$46</f>
        <v>0</v>
      </c>
      <c r="J46" s="218"/>
      <c r="K46" s="595">
        <f>'Unit costs'!$N$122</f>
        <v>69</v>
      </c>
      <c r="L46" s="289">
        <f t="shared" si="21"/>
        <v>0</v>
      </c>
      <c r="M46" s="289">
        <f t="shared" si="22"/>
        <v>0</v>
      </c>
      <c r="N46" s="289">
        <f t="shared" si="23"/>
        <v>0</v>
      </c>
      <c r="O46" s="289">
        <f t="shared" si="24"/>
        <v>0</v>
      </c>
      <c r="P46" s="289">
        <f t="shared" si="25"/>
        <v>0</v>
      </c>
      <c r="Q46" s="289">
        <f t="shared" si="26"/>
        <v>0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3"/>
      <c r="AK46" s="283"/>
      <c r="AL46" s="283"/>
      <c r="AM46" s="283"/>
      <c r="AN46" s="283"/>
    </row>
    <row r="47" spans="1:40" x14ac:dyDescent="0.25">
      <c r="A47" s="285"/>
      <c r="B47" s="837" t="s">
        <v>1147</v>
      </c>
      <c r="C47" s="149">
        <f>'Inputs and eligible population'!N105</f>
        <v>3</v>
      </c>
      <c r="D47" s="128">
        <f>'Financial impact (cash)'!D44*$C$47</f>
        <v>0</v>
      </c>
      <c r="E47" s="128">
        <f>'Financial impact (cash)'!E44*$C$47</f>
        <v>0</v>
      </c>
      <c r="F47" s="128">
        <f>'Financial impact (cash)'!F44*$C$47</f>
        <v>0</v>
      </c>
      <c r="G47" s="128">
        <f>'Financial impact (cash)'!G44*$C$47</f>
        <v>0</v>
      </c>
      <c r="H47" s="128">
        <f>'Financial impact (cash)'!H44*$C$47</f>
        <v>0</v>
      </c>
      <c r="I47" s="128">
        <f>'Financial impact (cash)'!I44*$C$47</f>
        <v>0</v>
      </c>
      <c r="J47" s="218"/>
      <c r="K47" s="595">
        <f>'Unit costs'!$N$122</f>
        <v>69</v>
      </c>
      <c r="L47" s="289">
        <f t="shared" si="21"/>
        <v>0</v>
      </c>
      <c r="M47" s="289">
        <f t="shared" si="22"/>
        <v>0</v>
      </c>
      <c r="N47" s="289">
        <f t="shared" si="23"/>
        <v>0</v>
      </c>
      <c r="O47" s="289">
        <f t="shared" si="24"/>
        <v>0</v>
      </c>
      <c r="P47" s="289">
        <f t="shared" si="25"/>
        <v>0</v>
      </c>
      <c r="Q47" s="289">
        <f t="shared" si="26"/>
        <v>0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3"/>
      <c r="AK47" s="283"/>
      <c r="AL47" s="283"/>
      <c r="AM47" s="283"/>
      <c r="AN47" s="283"/>
    </row>
    <row r="48" spans="1:40" x14ac:dyDescent="0.25">
      <c r="A48" s="285"/>
      <c r="B48" s="277"/>
      <c r="C48" s="280"/>
      <c r="D48" s="186">
        <f>SUM(D39:D47)</f>
        <v>0</v>
      </c>
      <c r="E48" s="186">
        <f t="shared" ref="E48:H48" si="27">SUM(E39:E47)</f>
        <v>0</v>
      </c>
      <c r="F48" s="186">
        <f t="shared" si="27"/>
        <v>0</v>
      </c>
      <c r="G48" s="186">
        <f>SUM(G39:G47)</f>
        <v>0</v>
      </c>
      <c r="H48" s="186">
        <f t="shared" si="27"/>
        <v>0</v>
      </c>
      <c r="I48" s="186">
        <f>SUM(I39:I47)</f>
        <v>0</v>
      </c>
      <c r="J48" s="218"/>
      <c r="K48" s="218"/>
      <c r="L48" s="290">
        <f>SUM(L39:L47)</f>
        <v>0</v>
      </c>
      <c r="M48" s="290">
        <f t="shared" ref="M48:Q48" si="28">SUM(M39:M47)</f>
        <v>0</v>
      </c>
      <c r="N48" s="290">
        <f t="shared" si="28"/>
        <v>0</v>
      </c>
      <c r="O48" s="290">
        <f t="shared" si="28"/>
        <v>0</v>
      </c>
      <c r="P48" s="290">
        <f t="shared" si="28"/>
        <v>0</v>
      </c>
      <c r="Q48" s="290">
        <f t="shared" si="28"/>
        <v>0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3"/>
      <c r="AK48" s="283"/>
      <c r="AL48" s="283"/>
      <c r="AM48" s="283"/>
      <c r="AN48" s="283"/>
    </row>
    <row r="49" spans="1:40" x14ac:dyDescent="0.25">
      <c r="A49" s="285"/>
      <c r="B49" s="305"/>
      <c r="C49" s="257"/>
      <c r="D49" s="282" t="s">
        <v>828</v>
      </c>
      <c r="E49" s="186">
        <f>E48-$D$48</f>
        <v>0</v>
      </c>
      <c r="F49" s="186">
        <f t="shared" ref="F49:H49" si="29">F48-$D$48</f>
        <v>0</v>
      </c>
      <c r="G49" s="186">
        <f t="shared" si="29"/>
        <v>0</v>
      </c>
      <c r="H49" s="186">
        <f t="shared" si="29"/>
        <v>0</v>
      </c>
      <c r="I49" s="186">
        <f>I48-$D$48</f>
        <v>0</v>
      </c>
      <c r="J49" s="218"/>
      <c r="K49" s="218"/>
      <c r="L49" s="218"/>
      <c r="M49" s="290">
        <f>M48-$L48</f>
        <v>0</v>
      </c>
      <c r="N49" s="290">
        <f t="shared" ref="N49:Q49" si="30">N48-$L48</f>
        <v>0</v>
      </c>
      <c r="O49" s="290">
        <f t="shared" si="30"/>
        <v>0</v>
      </c>
      <c r="P49" s="290">
        <f t="shared" si="30"/>
        <v>0</v>
      </c>
      <c r="Q49" s="290">
        <f t="shared" si="30"/>
        <v>0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3"/>
      <c r="AK49" s="283"/>
      <c r="AL49" s="283"/>
      <c r="AM49" s="283"/>
      <c r="AN49" s="283"/>
    </row>
    <row r="50" spans="1:40" x14ac:dyDescent="0.25">
      <c r="A50" s="285"/>
      <c r="B50" s="285"/>
      <c r="C50" s="285"/>
      <c r="D50" s="590"/>
      <c r="E50" s="591"/>
      <c r="F50" s="591"/>
      <c r="G50" s="591"/>
      <c r="H50" s="591"/>
      <c r="I50" s="591"/>
      <c r="J50" s="218"/>
      <c r="K50" s="218"/>
      <c r="L50" s="218"/>
      <c r="M50" s="218"/>
      <c r="N50" s="218"/>
      <c r="O50" s="218"/>
      <c r="P50" s="218"/>
      <c r="Q50" s="218"/>
      <c r="R50" s="133"/>
      <c r="S50" s="133"/>
      <c r="T50" s="133"/>
      <c r="U50" s="133"/>
      <c r="V50" s="133"/>
      <c r="W50" s="133"/>
      <c r="X50" s="133"/>
      <c r="Y50" s="133"/>
      <c r="Z50" s="133"/>
      <c r="AJ50" s="283"/>
      <c r="AK50" s="283"/>
      <c r="AL50" s="283"/>
      <c r="AM50" s="283"/>
      <c r="AN50" s="283"/>
    </row>
    <row r="51" spans="1:40" x14ac:dyDescent="0.25">
      <c r="A51" s="292"/>
      <c r="B51" s="321" t="s">
        <v>830</v>
      </c>
      <c r="C51" s="293"/>
      <c r="D51" s="293"/>
      <c r="E51" s="294"/>
      <c r="F51" s="295"/>
      <c r="G51" s="296"/>
      <c r="H51" s="296"/>
      <c r="I51" s="439"/>
      <c r="J51" s="440"/>
      <c r="K51" s="292"/>
      <c r="L51" s="292"/>
      <c r="M51" s="292"/>
      <c r="N51" s="292"/>
      <c r="O51" s="292"/>
      <c r="P51" s="292"/>
      <c r="Q51" s="214"/>
      <c r="R51" s="133"/>
      <c r="S51" s="133"/>
      <c r="V51" s="133"/>
    </row>
    <row r="52" spans="1:40" x14ac:dyDescent="0.25">
      <c r="A52" s="292"/>
      <c r="B52" s="848" t="s">
        <v>831</v>
      </c>
      <c r="C52" s="393"/>
      <c r="D52" s="393"/>
      <c r="E52" s="393"/>
      <c r="F52" s="393"/>
      <c r="G52" s="393"/>
      <c r="H52" s="393"/>
      <c r="I52" s="393"/>
      <c r="J52" s="434"/>
      <c r="K52" s="214"/>
      <c r="L52" s="214"/>
      <c r="M52" s="214"/>
      <c r="N52" s="214"/>
      <c r="O52" s="214"/>
      <c r="P52" s="214"/>
      <c r="Q52" s="214"/>
      <c r="R52" s="133"/>
      <c r="S52" s="133"/>
      <c r="T52" s="133"/>
      <c r="U52" s="133"/>
      <c r="V52" s="133"/>
      <c r="W52" s="133"/>
      <c r="X52" s="133"/>
      <c r="Y52" s="133"/>
      <c r="Z52" s="133"/>
      <c r="AJ52" s="283"/>
      <c r="AK52" s="283"/>
      <c r="AL52" s="283"/>
      <c r="AM52" s="283"/>
      <c r="AN52" s="283"/>
    </row>
    <row r="53" spans="1:40" ht="45" x14ac:dyDescent="0.25">
      <c r="A53" s="292"/>
      <c r="B53" s="276" t="s">
        <v>758</v>
      </c>
      <c r="C53" s="547"/>
      <c r="D53" s="428" t="s">
        <v>820</v>
      </c>
      <c r="E53" s="256" t="s">
        <v>666</v>
      </c>
      <c r="F53" s="256" t="s">
        <v>667</v>
      </c>
      <c r="G53" s="165" t="s">
        <v>777</v>
      </c>
      <c r="H53" s="165" t="s">
        <v>778</v>
      </c>
      <c r="I53" s="256" t="s">
        <v>779</v>
      </c>
      <c r="J53" s="434"/>
      <c r="K53" s="583" t="s">
        <v>856</v>
      </c>
      <c r="L53" s="428" t="s">
        <v>820</v>
      </c>
      <c r="M53" s="563" t="s">
        <v>666</v>
      </c>
      <c r="N53" s="563" t="s">
        <v>667</v>
      </c>
      <c r="O53" s="429" t="s">
        <v>777</v>
      </c>
      <c r="P53" s="429" t="s">
        <v>778</v>
      </c>
      <c r="Q53" s="563" t="s">
        <v>779</v>
      </c>
      <c r="R53" s="133"/>
      <c r="S53" s="133"/>
      <c r="T53" s="133"/>
      <c r="U53" s="133"/>
      <c r="V53" s="133"/>
      <c r="W53" s="133"/>
      <c r="X53" s="133"/>
      <c r="Y53" s="133"/>
      <c r="Z53" s="133"/>
      <c r="AJ53" s="283"/>
      <c r="AK53" s="283"/>
      <c r="AL53" s="283"/>
      <c r="AM53" s="283"/>
      <c r="AN53" s="283"/>
    </row>
    <row r="54" spans="1:40" x14ac:dyDescent="0.25">
      <c r="A54" s="292"/>
      <c r="B54" s="198" t="s">
        <v>1149</v>
      </c>
      <c r="C54" s="531"/>
      <c r="D54" s="128">
        <f>D64</f>
        <v>0</v>
      </c>
      <c r="E54" s="128">
        <f t="shared" ref="E54:I54" si="31">E64</f>
        <v>0</v>
      </c>
      <c r="F54" s="128">
        <f t="shared" si="31"/>
        <v>0</v>
      </c>
      <c r="G54" s="128">
        <f t="shared" si="31"/>
        <v>0</v>
      </c>
      <c r="H54" s="128">
        <f t="shared" si="31"/>
        <v>0</v>
      </c>
      <c r="I54" s="128">
        <f t="shared" si="31"/>
        <v>0</v>
      </c>
      <c r="J54" s="434"/>
      <c r="K54" s="595">
        <f>'Unit costs'!K17</f>
        <v>108</v>
      </c>
      <c r="L54" s="289">
        <f>(D54*$K$54)/1000</f>
        <v>0</v>
      </c>
      <c r="M54" s="289">
        <f t="shared" ref="M54:P54" si="32">(E54*$K$54)/1000</f>
        <v>0</v>
      </c>
      <c r="N54" s="289">
        <f t="shared" si="32"/>
        <v>0</v>
      </c>
      <c r="O54" s="289">
        <f t="shared" si="32"/>
        <v>0</v>
      </c>
      <c r="P54" s="289">
        <f t="shared" si="32"/>
        <v>0</v>
      </c>
      <c r="Q54" s="289">
        <f>(I54*$K$54)/1000</f>
        <v>0</v>
      </c>
      <c r="R54" s="133"/>
      <c r="S54" s="133"/>
      <c r="T54" s="133"/>
      <c r="U54" s="133"/>
      <c r="V54" s="133"/>
      <c r="W54" s="133"/>
      <c r="X54" s="133"/>
      <c r="Y54" s="133"/>
      <c r="Z54" s="133"/>
      <c r="AJ54" s="283"/>
      <c r="AK54" s="283"/>
      <c r="AL54" s="283"/>
      <c r="AM54" s="283"/>
      <c r="AN54" s="283"/>
    </row>
    <row r="55" spans="1:40" x14ac:dyDescent="0.25">
      <c r="A55" s="292"/>
      <c r="B55" s="277"/>
      <c r="C55" s="323"/>
      <c r="D55" s="186">
        <f t="shared" ref="D55:I55" si="33">SUM(D54:D54)</f>
        <v>0</v>
      </c>
      <c r="E55" s="186">
        <f t="shared" si="33"/>
        <v>0</v>
      </c>
      <c r="F55" s="186">
        <f t="shared" si="33"/>
        <v>0</v>
      </c>
      <c r="G55" s="186">
        <f t="shared" si="33"/>
        <v>0</v>
      </c>
      <c r="H55" s="186">
        <f t="shared" si="33"/>
        <v>0</v>
      </c>
      <c r="I55" s="186">
        <f t="shared" si="33"/>
        <v>0</v>
      </c>
      <c r="J55" s="434"/>
      <c r="K55" s="214"/>
      <c r="L55" s="290">
        <f t="shared" ref="L55:Q55" si="34">SUM(L54:L54)</f>
        <v>0</v>
      </c>
      <c r="M55" s="290">
        <f t="shared" si="34"/>
        <v>0</v>
      </c>
      <c r="N55" s="290">
        <f t="shared" si="34"/>
        <v>0</v>
      </c>
      <c r="O55" s="290">
        <f t="shared" si="34"/>
        <v>0</v>
      </c>
      <c r="P55" s="290">
        <f t="shared" si="34"/>
        <v>0</v>
      </c>
      <c r="Q55" s="290">
        <f t="shared" si="34"/>
        <v>0</v>
      </c>
      <c r="R55" s="133"/>
      <c r="S55" s="133"/>
      <c r="T55" s="133"/>
      <c r="U55" s="133"/>
      <c r="V55" s="133"/>
      <c r="W55" s="133"/>
      <c r="X55" s="133"/>
      <c r="Y55" s="133"/>
      <c r="Z55" s="133"/>
      <c r="AJ55" s="283"/>
      <c r="AK55" s="283"/>
      <c r="AL55" s="283"/>
      <c r="AM55" s="283"/>
      <c r="AN55" s="283"/>
    </row>
    <row r="56" spans="1:40" x14ac:dyDescent="0.25">
      <c r="A56" s="292"/>
      <c r="B56" s="305"/>
      <c r="C56" s="257"/>
      <c r="D56" s="282" t="s">
        <v>832</v>
      </c>
      <c r="E56" s="186">
        <f>E55-D55</f>
        <v>0</v>
      </c>
      <c r="F56" s="186">
        <f>F55-$D$55</f>
        <v>0</v>
      </c>
      <c r="G56" s="186">
        <f t="shared" ref="G56:I56" si="35">G55-$D$55</f>
        <v>0</v>
      </c>
      <c r="H56" s="186">
        <f t="shared" si="35"/>
        <v>0</v>
      </c>
      <c r="I56" s="186">
        <f t="shared" si="35"/>
        <v>0</v>
      </c>
      <c r="J56" s="434"/>
      <c r="K56" s="214"/>
      <c r="L56" s="569"/>
      <c r="M56" s="290">
        <f>M55-$L55</f>
        <v>0</v>
      </c>
      <c r="N56" s="290">
        <f t="shared" ref="N56:Q56" si="36">N55-$L55</f>
        <v>0</v>
      </c>
      <c r="O56" s="290">
        <f t="shared" si="36"/>
        <v>0</v>
      </c>
      <c r="P56" s="290">
        <f t="shared" si="36"/>
        <v>0</v>
      </c>
      <c r="Q56" s="290">
        <f t="shared" si="36"/>
        <v>0</v>
      </c>
      <c r="R56" s="133"/>
      <c r="S56" s="133"/>
      <c r="T56" s="133"/>
      <c r="U56" s="133"/>
      <c r="V56" s="133"/>
      <c r="W56" s="133"/>
      <c r="X56" s="133"/>
      <c r="Y56" s="133"/>
      <c r="Z56" s="133"/>
      <c r="AJ56" s="283"/>
      <c r="AK56" s="283"/>
      <c r="AL56" s="283"/>
      <c r="AM56" s="283"/>
      <c r="AN56" s="283"/>
    </row>
    <row r="57" spans="1:40" x14ac:dyDescent="0.25">
      <c r="A57" s="292"/>
      <c r="B57" s="322"/>
      <c r="C57" s="298"/>
      <c r="D57" s="297"/>
      <c r="E57" s="298"/>
      <c r="F57" s="299"/>
      <c r="G57" s="292"/>
      <c r="H57" s="292"/>
      <c r="I57" s="296"/>
      <c r="J57" s="214"/>
      <c r="K57" s="214"/>
      <c r="L57" s="214"/>
      <c r="M57" s="214"/>
      <c r="N57" s="214"/>
      <c r="O57" s="214"/>
      <c r="P57" s="214"/>
      <c r="Q57" s="214"/>
      <c r="R57" s="133"/>
      <c r="S57" s="133"/>
      <c r="T57" s="133"/>
      <c r="U57" s="133"/>
      <c r="V57" s="133"/>
      <c r="W57" s="133"/>
      <c r="X57" s="133"/>
      <c r="Y57" s="133"/>
      <c r="Z57" s="133"/>
      <c r="AJ57" s="283"/>
      <c r="AK57" s="283"/>
      <c r="AL57" s="283"/>
      <c r="AM57" s="283"/>
      <c r="AN57" s="283"/>
    </row>
    <row r="58" spans="1:40" x14ac:dyDescent="0.25">
      <c r="A58" s="300"/>
      <c r="B58" s="392" t="s">
        <v>833</v>
      </c>
      <c r="C58" s="393"/>
      <c r="D58" s="393"/>
      <c r="E58" s="393"/>
      <c r="F58" s="393"/>
      <c r="G58" s="393"/>
      <c r="H58" s="393"/>
      <c r="I58" s="393"/>
      <c r="J58" s="434"/>
      <c r="K58" s="214"/>
      <c r="L58" s="214"/>
      <c r="M58" s="214"/>
      <c r="N58" s="214"/>
      <c r="O58" s="214"/>
      <c r="P58" s="214"/>
      <c r="Q58" s="214"/>
      <c r="S58" s="133"/>
      <c r="T58" s="133"/>
      <c r="U58" s="133"/>
      <c r="V58" s="133"/>
      <c r="W58" s="133"/>
      <c r="X58" s="133"/>
      <c r="Y58" s="133"/>
      <c r="Z58" s="133"/>
      <c r="AJ58" s="283"/>
      <c r="AK58" s="283"/>
      <c r="AL58" s="283"/>
      <c r="AM58" s="283"/>
      <c r="AN58" s="283"/>
    </row>
    <row r="59" spans="1:40" ht="45" x14ac:dyDescent="0.25">
      <c r="A59" s="300"/>
      <c r="B59" s="276" t="s">
        <v>758</v>
      </c>
      <c r="C59" s="547"/>
      <c r="D59" s="428" t="s">
        <v>820</v>
      </c>
      <c r="E59" s="256" t="s">
        <v>666</v>
      </c>
      <c r="F59" s="256" t="s">
        <v>667</v>
      </c>
      <c r="G59" s="165" t="s">
        <v>777</v>
      </c>
      <c r="H59" s="165" t="s">
        <v>778</v>
      </c>
      <c r="I59" s="256" t="s">
        <v>779</v>
      </c>
      <c r="J59" s="434"/>
      <c r="K59" s="214"/>
      <c r="L59" s="214"/>
      <c r="M59" s="214"/>
      <c r="N59" s="214"/>
      <c r="O59" s="214"/>
      <c r="P59" s="214"/>
      <c r="Q59" s="214"/>
      <c r="V59" s="133"/>
      <c r="AJ59" s="283"/>
      <c r="AK59" s="283"/>
      <c r="AL59" s="283"/>
      <c r="AM59" s="283"/>
      <c r="AN59" s="283"/>
    </row>
    <row r="60" spans="1:40" x14ac:dyDescent="0.25">
      <c r="A60" s="300"/>
      <c r="B60" s="352" t="s">
        <v>1168</v>
      </c>
      <c r="C60" s="835"/>
      <c r="D60" s="128">
        <f>'Financial impact (cash)'!D41*'Unit costs'!H38</f>
        <v>0</v>
      </c>
      <c r="E60" s="128">
        <f>'Financial impact (cash)'!E41*'Unit costs'!H39</f>
        <v>0</v>
      </c>
      <c r="F60" s="128">
        <f>('Financial impact (cash)'!E41*'Unit costs'!H40)+(('Financial impact (cash)'!F41-'Financial impact (cash)'!E41)*'Unit costs'!H39)</f>
        <v>0</v>
      </c>
      <c r="G60" s="128">
        <f>('Financial impact (cash)'!E41*'Unit costs'!H41)+(('Financial impact (cash)'!F41-'Financial impact (cash)'!E41)*'Unit costs'!H40)+(('Financial impact (cash)'!G41-'Financial impact (cash)'!F41)*'Unit costs'!H39)</f>
        <v>0</v>
      </c>
      <c r="H60" s="128">
        <f>('Financial impact (cash)'!E41*'Unit costs'!H42)+(('Financial impact (cash)'!F41-'Financial impact (cash)'!E41)*'Unit costs'!H41)+(('Financial impact (cash)'!G41-'Financial impact (cash)'!F41)*'Unit costs'!H40)+(('Financial impact (cash)'!H41-'Financial impact (cash)'!G41)*'Unit costs'!H39)</f>
        <v>0</v>
      </c>
      <c r="I60" s="128">
        <f>('Financial impact (cash)'!E41*'Unit costs'!H43)+(('Financial impact (cash)'!F41-'Financial impact (cash)'!E41)*'Unit costs'!H42)+(('Financial impact (cash)'!G41-'Financial impact (cash)'!F41)*'Unit costs'!H41)+(('Financial impact (cash)'!H41-'Financial impact (cash)'!G41)*'Unit costs'!H40)+(('Financial impact (cash)'!I41-'Financial impact (cash)'!H41)*'Unit costs'!H39)</f>
        <v>0</v>
      </c>
      <c r="J60" s="434"/>
      <c r="K60" s="214"/>
      <c r="L60" s="214"/>
      <c r="M60" s="214"/>
      <c r="N60" s="214"/>
      <c r="O60" s="214"/>
      <c r="P60" s="214"/>
      <c r="Q60" s="214"/>
      <c r="V60" s="133"/>
      <c r="AJ60" s="283"/>
      <c r="AK60" s="283"/>
      <c r="AL60" s="283"/>
      <c r="AM60" s="283"/>
      <c r="AN60" s="283"/>
    </row>
    <row r="61" spans="1:40" x14ac:dyDescent="0.25">
      <c r="A61" s="300"/>
      <c r="B61" s="352" t="s">
        <v>1169</v>
      </c>
      <c r="C61" s="835"/>
      <c r="D61" s="128">
        <f>'Financial impact (cash)'!D42*'Unit costs'!H61</f>
        <v>0</v>
      </c>
      <c r="E61" s="128">
        <f>'Financial impact (cash)'!E42*'Unit costs'!H62</f>
        <v>0</v>
      </c>
      <c r="F61" s="128">
        <f>('Financial impact (cash)'!E42*'Unit costs'!H63)+(('Financial impact (cash)'!F42-'Financial impact (cash)'!E42)*'Unit costs'!H62)</f>
        <v>0</v>
      </c>
      <c r="G61" s="128">
        <f>('Financial impact (cash)'!E42*'Unit costs'!H64)+(('Financial impact (cash)'!F42-'Financial impact (cash)'!E42)*'Unit costs'!H63)+(('Financial impact (cash)'!G42-'Financial impact (cash)'!F42)*'Unit costs'!H62)</f>
        <v>0</v>
      </c>
      <c r="H61" s="128">
        <f>('Financial impact (cash)'!E42*'Unit costs'!H65)+(('Financial impact (cash)'!F42-'Financial impact (cash)'!E42)*'Unit costs'!H64)+(('Financial impact (cash)'!G42-'Financial impact (cash)'!F42)*'Unit costs'!H63)+(('Financial impact (cash)'!H42-'Financial impact (cash)'!G42)*'Unit costs'!H62)</f>
        <v>0</v>
      </c>
      <c r="I61" s="128">
        <f>('Financial impact (cash)'!E42*'Unit costs'!H66)+(('Financial impact (cash)'!F42-'Financial impact (cash)'!E42)*'Unit costs'!H65)+(('Financial impact (cash)'!G42-'Financial impact (cash)'!F42)*'Unit costs'!H64)+(('Financial impact (cash)'!H42-'Financial impact (cash)'!G42)*'Unit costs'!H63)+(('Financial impact (cash)'!I42-'Financial impact (cash)'!H42)*'Unit costs'!H62)</f>
        <v>0</v>
      </c>
      <c r="J61" s="434"/>
      <c r="K61" s="214"/>
      <c r="L61" s="214"/>
      <c r="M61" s="214"/>
      <c r="N61" s="214"/>
      <c r="O61" s="214"/>
      <c r="P61" s="214"/>
      <c r="Q61" s="214"/>
      <c r="V61" s="133"/>
      <c r="AJ61" s="283"/>
      <c r="AK61" s="283"/>
      <c r="AL61" s="283"/>
      <c r="AM61" s="283"/>
      <c r="AN61" s="283"/>
    </row>
    <row r="62" spans="1:40" x14ac:dyDescent="0.25">
      <c r="A62" s="300"/>
      <c r="B62" s="352" t="s">
        <v>1170</v>
      </c>
      <c r="C62" s="835"/>
      <c r="D62" s="128">
        <f>'Financial impact (cash)'!D43*'Unit costs'!H84</f>
        <v>0</v>
      </c>
      <c r="E62" s="128">
        <f>'Financial impact (cash)'!E43*'Unit costs'!H85</f>
        <v>0</v>
      </c>
      <c r="F62" s="128">
        <f>('Financial impact (cash)'!E43*'Unit costs'!H86)+(('Financial impact (cash)'!F43-'Financial impact (cash)'!E43)*'Unit costs'!H85)</f>
        <v>0</v>
      </c>
      <c r="G62" s="128">
        <f>('Financial impact (cash)'!E43*'Unit costs'!H87)+(('Financial impact (cash)'!F43-'Financial impact (cash)'!E43)*'Unit costs'!H86)+(('Financial impact (cash)'!G43-'Financial impact (cash)'!F43)*'Unit costs'!H85)</f>
        <v>0</v>
      </c>
      <c r="H62" s="128">
        <f>('Financial impact (cash)'!E43*'Unit costs'!H88)+(('Financial impact (cash)'!F43-'Financial impact (cash)'!E43)*'Unit costs'!H87)+(('Financial impact (cash)'!G43-'Financial impact (cash)'!F43)*'Unit costs'!H86)+(('Financial impact (cash)'!H43-'Financial impact (cash)'!G43)*'Unit costs'!H85)</f>
        <v>0</v>
      </c>
      <c r="I62" s="128">
        <f>('Financial impact (cash)'!E43*'Unit costs'!H89)+(('Financial impact (cash)'!F43-'Financial impact (cash)'!E43)*'Unit costs'!H88)+(('Financial impact (cash)'!G43-'Financial impact (cash)'!F43)*'Unit costs'!H87)+(('Financial impact (cash)'!H43-'Financial impact (cash)'!G43)*'Unit costs'!H86)+(('Financial impact (cash)'!I43-'Financial impact (cash)'!H43)*'Unit costs'!H85)</f>
        <v>0</v>
      </c>
      <c r="J62" s="214"/>
      <c r="K62" s="214"/>
      <c r="L62" s="214"/>
      <c r="M62" s="214"/>
      <c r="N62" s="214"/>
      <c r="O62" s="214"/>
      <c r="P62" s="214"/>
      <c r="Q62" s="214"/>
      <c r="V62" s="133"/>
      <c r="AJ62" s="283"/>
      <c r="AK62" s="283"/>
      <c r="AL62" s="283"/>
      <c r="AM62" s="283"/>
      <c r="AN62" s="283"/>
    </row>
    <row r="63" spans="1:40" x14ac:dyDescent="0.25">
      <c r="A63" s="300"/>
      <c r="B63" s="834" t="s">
        <v>1171</v>
      </c>
      <c r="C63" s="835"/>
      <c r="D63" s="128">
        <f>'Financial impact (cash)'!D44*'Unit costs'!H107</f>
        <v>0</v>
      </c>
      <c r="E63" s="128">
        <f>'Financial impact (cash)'!E44*'Unit costs'!H108</f>
        <v>0</v>
      </c>
      <c r="F63" s="128">
        <f>('Financial impact (cash)'!E44*'Unit costs'!H109)+(('Financial impact (cash)'!F44-'Financial impact (cash)'!E44)*'Unit costs'!H108)</f>
        <v>0</v>
      </c>
      <c r="G63" s="128">
        <f>('Financial impact (cash)'!E44*'Unit costs'!H110)+(('Financial impact (cash)'!F44-'Financial impact (cash)'!E44)*'Unit costs'!H109)+(('Financial impact (cash)'!G44-'Financial impact (cash)'!F44)*'Unit costs'!H108)</f>
        <v>0</v>
      </c>
      <c r="H63" s="128">
        <f>('Financial impact (cash)'!E44*'Unit costs'!H111)+(('Financial impact (cash)'!F44-'Financial impact (cash)'!E44)*'Unit costs'!H110)+(('Financial impact (cash)'!G44-'Financial impact (cash)'!F44)*'Unit costs'!H109)+(('Financial impact (cash)'!H44-'Financial impact (cash)'!G44)*'Unit costs'!H108)</f>
        <v>0</v>
      </c>
      <c r="I63" s="128">
        <f>('Financial impact (cash)'!E44*'Unit costs'!H112)+(('Financial impact (cash)'!F44-'Financial impact (cash)'!E44)*'Unit costs'!H111)+(('Financial impact (cash)'!G44-'Financial impact (cash)'!F44)*'Unit costs'!H110)+(('Financial impact (cash)'!H44-'Financial impact (cash)'!G44)*'Unit costs'!H109)+(('Financial impact (cash)'!I44-'Financial impact (cash)'!H44)*'Unit costs'!H108)</f>
        <v>0</v>
      </c>
      <c r="J63" s="292"/>
      <c r="K63" s="292"/>
      <c r="L63" s="292"/>
      <c r="M63" s="292"/>
      <c r="N63" s="292"/>
      <c r="O63" s="292"/>
      <c r="P63" s="292"/>
      <c r="Q63" s="292"/>
      <c r="V63" s="133"/>
      <c r="AJ63" s="283"/>
      <c r="AK63" s="283"/>
      <c r="AL63" s="283"/>
      <c r="AM63" s="283"/>
      <c r="AN63" s="283"/>
    </row>
    <row r="64" spans="1:40" x14ac:dyDescent="0.25">
      <c r="A64" s="300"/>
      <c r="B64" s="277"/>
      <c r="C64" s="323"/>
      <c r="D64" s="186">
        <f t="shared" ref="D64:I64" si="37">SUM(D60:D63)</f>
        <v>0</v>
      </c>
      <c r="E64" s="186">
        <f t="shared" si="37"/>
        <v>0</v>
      </c>
      <c r="F64" s="186">
        <f t="shared" si="37"/>
        <v>0</v>
      </c>
      <c r="G64" s="186">
        <f t="shared" si="37"/>
        <v>0</v>
      </c>
      <c r="H64" s="186">
        <f t="shared" si="37"/>
        <v>0</v>
      </c>
      <c r="I64" s="186">
        <f t="shared" si="37"/>
        <v>0</v>
      </c>
      <c r="J64" s="292"/>
      <c r="K64" s="292"/>
      <c r="L64" s="292"/>
      <c r="M64" s="292"/>
      <c r="N64" s="292"/>
      <c r="O64" s="292"/>
      <c r="P64" s="292"/>
      <c r="Q64" s="292"/>
      <c r="V64" s="133"/>
      <c r="AJ64" s="283"/>
      <c r="AK64" s="283"/>
      <c r="AL64" s="283"/>
      <c r="AM64" s="283"/>
      <c r="AN64" s="283"/>
    </row>
    <row r="65" spans="1:40" x14ac:dyDescent="0.25">
      <c r="A65" s="300"/>
      <c r="B65" s="257"/>
      <c r="C65" s="257"/>
      <c r="D65" s="282" t="s">
        <v>834</v>
      </c>
      <c r="E65" s="186">
        <f>E64-$D$64</f>
        <v>0</v>
      </c>
      <c r="F65" s="186">
        <f>F64-$D$64</f>
        <v>0</v>
      </c>
      <c r="G65" s="186">
        <f>G64-$D$64</f>
        <v>0</v>
      </c>
      <c r="H65" s="186">
        <f>H64-$D$64</f>
        <v>0</v>
      </c>
      <c r="I65" s="186">
        <f>I64-$D$64</f>
        <v>0</v>
      </c>
      <c r="J65" s="292"/>
      <c r="K65" s="292"/>
      <c r="L65" s="292"/>
      <c r="M65" s="292"/>
      <c r="N65" s="292"/>
      <c r="O65" s="292"/>
      <c r="P65" s="292"/>
      <c r="Q65" s="292"/>
      <c r="S65" s="133"/>
      <c r="T65" s="133"/>
      <c r="U65" s="133"/>
      <c r="V65" s="133"/>
      <c r="W65" s="133"/>
      <c r="X65" s="133"/>
      <c r="Y65" s="133"/>
      <c r="Z65" s="133"/>
      <c r="AJ65" s="283"/>
      <c r="AK65" s="283"/>
      <c r="AL65" s="283"/>
      <c r="AM65" s="283"/>
      <c r="AN65" s="283"/>
    </row>
    <row r="66" spans="1:40" x14ac:dyDescent="0.25">
      <c r="A66" s="292"/>
      <c r="B66" s="322"/>
      <c r="C66" s="298"/>
      <c r="D66" s="298"/>
      <c r="E66" s="299"/>
      <c r="F66" s="292"/>
      <c r="G66" s="292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S66" s="133"/>
      <c r="T66" s="133"/>
      <c r="U66" s="133"/>
      <c r="V66" s="133"/>
      <c r="W66" s="133"/>
      <c r="X66" s="133"/>
      <c r="Y66" s="133"/>
      <c r="Z66" s="133"/>
      <c r="AJ66" s="283"/>
      <c r="AK66" s="283"/>
      <c r="AL66" s="283"/>
      <c r="AM66" s="283"/>
      <c r="AN66" s="283"/>
    </row>
    <row r="67" spans="1:40" x14ac:dyDescent="0.25">
      <c r="A67" s="284"/>
      <c r="B67" s="324" t="s">
        <v>835</v>
      </c>
      <c r="C67" s="301"/>
      <c r="D67" s="301"/>
      <c r="E67" s="302"/>
      <c r="F67" s="303"/>
      <c r="G67" s="304"/>
      <c r="H67" s="304"/>
      <c r="I67" s="304"/>
      <c r="J67" s="441"/>
      <c r="K67" s="284"/>
      <c r="L67" s="284"/>
      <c r="M67" s="284"/>
      <c r="N67" s="284"/>
      <c r="O67" s="284"/>
      <c r="P67" s="284"/>
      <c r="Q67" s="216"/>
      <c r="V67" s="133"/>
    </row>
    <row r="68" spans="1:40" x14ac:dyDescent="0.25">
      <c r="A68" s="284"/>
      <c r="B68" s="394" t="s">
        <v>836</v>
      </c>
      <c r="C68" s="395"/>
      <c r="D68" s="395"/>
      <c r="E68" s="395"/>
      <c r="F68" s="395"/>
      <c r="G68" s="395"/>
      <c r="H68" s="395"/>
      <c r="I68" s="215"/>
      <c r="J68" s="436"/>
      <c r="K68" s="216"/>
      <c r="L68" s="284"/>
      <c r="M68" s="284"/>
      <c r="N68" s="284"/>
      <c r="O68" s="284"/>
      <c r="P68" s="284"/>
      <c r="Q68" s="216"/>
      <c r="V68" s="133"/>
    </row>
    <row r="69" spans="1:40" ht="60" x14ac:dyDescent="0.25">
      <c r="A69" s="284"/>
      <c r="B69" s="279" t="s">
        <v>758</v>
      </c>
      <c r="C69" s="166" t="s">
        <v>837</v>
      </c>
      <c r="D69" s="428" t="s">
        <v>820</v>
      </c>
      <c r="E69" s="256" t="s">
        <v>666</v>
      </c>
      <c r="F69" s="256" t="s">
        <v>667</v>
      </c>
      <c r="G69" s="165" t="s">
        <v>777</v>
      </c>
      <c r="H69" s="165" t="s">
        <v>778</v>
      </c>
      <c r="I69" s="256" t="s">
        <v>779</v>
      </c>
      <c r="J69" s="284"/>
      <c r="K69" s="284"/>
      <c r="L69" s="284"/>
      <c r="M69" s="284"/>
      <c r="N69" s="284"/>
      <c r="O69" s="284"/>
      <c r="P69" s="284"/>
      <c r="Q69" s="216"/>
      <c r="V69" s="133"/>
    </row>
    <row r="70" spans="1:40" x14ac:dyDescent="0.25">
      <c r="A70" s="284"/>
      <c r="B70" s="352" t="s">
        <v>1168</v>
      </c>
      <c r="C70" s="149">
        <f>'Inputs and eligible population'!K107</f>
        <v>0</v>
      </c>
      <c r="D70" s="128">
        <f>D60*$C70/60</f>
        <v>0</v>
      </c>
      <c r="E70" s="128">
        <f t="shared" ref="E70:I70" si="38">E60*$C70/60</f>
        <v>0</v>
      </c>
      <c r="F70" s="128">
        <f t="shared" si="38"/>
        <v>0</v>
      </c>
      <c r="G70" s="128">
        <f t="shared" si="38"/>
        <v>0</v>
      </c>
      <c r="H70" s="128">
        <f t="shared" si="38"/>
        <v>0</v>
      </c>
      <c r="I70" s="128">
        <f t="shared" si="38"/>
        <v>0</v>
      </c>
      <c r="J70" s="284"/>
      <c r="K70" s="284"/>
      <c r="L70" s="284"/>
      <c r="M70" s="284"/>
      <c r="N70" s="284"/>
      <c r="O70" s="284"/>
      <c r="P70" s="284"/>
      <c r="Q70" s="216"/>
      <c r="S70" s="133"/>
      <c r="T70" s="133"/>
      <c r="U70" s="133"/>
      <c r="V70" s="133"/>
      <c r="W70" s="133"/>
      <c r="X70" s="133"/>
      <c r="Y70" s="133"/>
      <c r="Z70" s="133"/>
      <c r="AJ70" s="283"/>
      <c r="AK70" s="283"/>
      <c r="AL70" s="283"/>
      <c r="AM70" s="283"/>
      <c r="AN70" s="283"/>
    </row>
    <row r="71" spans="1:40" x14ac:dyDescent="0.25">
      <c r="A71" s="284"/>
      <c r="B71" s="352" t="s">
        <v>1169</v>
      </c>
      <c r="C71" s="149">
        <f>'Inputs and eligible population'!L107</f>
        <v>0</v>
      </c>
      <c r="D71" s="128">
        <f t="shared" ref="D71:I71" si="39">D61*$C71/60</f>
        <v>0</v>
      </c>
      <c r="E71" s="128">
        <f t="shared" si="39"/>
        <v>0</v>
      </c>
      <c r="F71" s="128">
        <f t="shared" si="39"/>
        <v>0</v>
      </c>
      <c r="G71" s="128">
        <f t="shared" si="39"/>
        <v>0</v>
      </c>
      <c r="H71" s="128">
        <f t="shared" si="39"/>
        <v>0</v>
      </c>
      <c r="I71" s="128">
        <f t="shared" si="39"/>
        <v>0</v>
      </c>
      <c r="J71" s="284"/>
      <c r="K71" s="284"/>
      <c r="L71" s="284"/>
      <c r="M71" s="284"/>
      <c r="N71" s="284"/>
      <c r="O71" s="284"/>
      <c r="P71" s="284"/>
      <c r="Q71" s="216"/>
      <c r="S71" s="133"/>
      <c r="T71" s="133"/>
      <c r="U71" s="133"/>
      <c r="V71" s="133"/>
      <c r="W71" s="133"/>
      <c r="X71" s="133"/>
      <c r="Y71" s="133"/>
      <c r="Z71" s="133"/>
      <c r="AJ71" s="283"/>
      <c r="AK71" s="283"/>
      <c r="AL71" s="283"/>
      <c r="AM71" s="283"/>
      <c r="AN71" s="283"/>
    </row>
    <row r="72" spans="1:40" x14ac:dyDescent="0.25">
      <c r="A72" s="284"/>
      <c r="B72" s="352" t="s">
        <v>1170</v>
      </c>
      <c r="C72" s="149">
        <f>'Inputs and eligible population'!M107</f>
        <v>0</v>
      </c>
      <c r="D72" s="128">
        <f t="shared" ref="D72:I72" si="40">D62*$C72/60</f>
        <v>0</v>
      </c>
      <c r="E72" s="128">
        <f t="shared" si="40"/>
        <v>0</v>
      </c>
      <c r="F72" s="128">
        <f t="shared" si="40"/>
        <v>0</v>
      </c>
      <c r="G72" s="128">
        <f t="shared" si="40"/>
        <v>0</v>
      </c>
      <c r="H72" s="128">
        <f t="shared" si="40"/>
        <v>0</v>
      </c>
      <c r="I72" s="128">
        <f t="shared" si="40"/>
        <v>0</v>
      </c>
      <c r="J72" s="284"/>
      <c r="K72" s="284"/>
      <c r="L72" s="284"/>
      <c r="M72" s="284"/>
      <c r="N72" s="284"/>
      <c r="O72" s="284"/>
      <c r="P72" s="284"/>
      <c r="Q72" s="216"/>
      <c r="S72" s="133"/>
      <c r="T72" s="133"/>
      <c r="U72" s="133"/>
      <c r="V72" s="133"/>
      <c r="W72" s="133"/>
      <c r="X72" s="133"/>
      <c r="Y72" s="133"/>
      <c r="Z72" s="133"/>
      <c r="AJ72" s="283"/>
      <c r="AK72" s="283"/>
      <c r="AL72" s="283"/>
      <c r="AM72" s="283"/>
      <c r="AN72" s="283"/>
    </row>
    <row r="73" spans="1:40" x14ac:dyDescent="0.25">
      <c r="A73" s="284"/>
      <c r="B73" s="352" t="s">
        <v>1171</v>
      </c>
      <c r="C73" s="149">
        <f>'Inputs and eligible population'!N107</f>
        <v>0</v>
      </c>
      <c r="D73" s="128">
        <f t="shared" ref="D73:I73" si="41">D63*$C73/60</f>
        <v>0</v>
      </c>
      <c r="E73" s="128">
        <f t="shared" si="41"/>
        <v>0</v>
      </c>
      <c r="F73" s="128">
        <f t="shared" si="41"/>
        <v>0</v>
      </c>
      <c r="G73" s="128">
        <f t="shared" si="41"/>
        <v>0</v>
      </c>
      <c r="H73" s="128">
        <f t="shared" si="41"/>
        <v>0</v>
      </c>
      <c r="I73" s="128">
        <f t="shared" si="41"/>
        <v>0</v>
      </c>
      <c r="J73" s="284"/>
      <c r="K73" s="284"/>
      <c r="L73" s="284"/>
      <c r="M73" s="284"/>
      <c r="N73" s="284"/>
      <c r="O73" s="284"/>
      <c r="P73" s="284"/>
      <c r="Q73" s="216"/>
      <c r="S73" s="133"/>
      <c r="T73" s="133"/>
      <c r="U73" s="133"/>
      <c r="V73" s="133"/>
      <c r="W73" s="133"/>
      <c r="X73" s="133"/>
      <c r="Y73" s="133"/>
      <c r="Z73" s="133"/>
      <c r="AJ73" s="283"/>
      <c r="AK73" s="283"/>
      <c r="AL73" s="283"/>
      <c r="AM73" s="283"/>
      <c r="AN73" s="283"/>
    </row>
    <row r="74" spans="1:40" x14ac:dyDescent="0.25">
      <c r="A74" s="284"/>
      <c r="B74" s="280" t="s">
        <v>838</v>
      </c>
      <c r="C74" s="323"/>
      <c r="D74" s="186">
        <f>SUM(D70:D73)</f>
        <v>0</v>
      </c>
      <c r="E74" s="186">
        <f t="shared" ref="E74:I74" si="42">SUM(E70:E73)</f>
        <v>0</v>
      </c>
      <c r="F74" s="186">
        <f t="shared" si="42"/>
        <v>0</v>
      </c>
      <c r="G74" s="186">
        <f t="shared" si="42"/>
        <v>0</v>
      </c>
      <c r="H74" s="186">
        <f t="shared" si="42"/>
        <v>0</v>
      </c>
      <c r="I74" s="186">
        <f t="shared" si="42"/>
        <v>0</v>
      </c>
      <c r="J74" s="284"/>
      <c r="K74" s="284"/>
      <c r="L74" s="284"/>
      <c r="M74" s="284"/>
      <c r="N74" s="284"/>
      <c r="O74" s="284"/>
      <c r="P74" s="284"/>
      <c r="Q74" s="216"/>
      <c r="S74" s="133"/>
      <c r="T74" s="133"/>
      <c r="U74" s="133"/>
      <c r="V74" s="133"/>
      <c r="W74" s="133"/>
      <c r="X74" s="133"/>
      <c r="Y74" s="133"/>
      <c r="Z74" s="133"/>
      <c r="AJ74" s="283"/>
      <c r="AK74" s="283"/>
      <c r="AL74" s="283"/>
      <c r="AM74" s="283"/>
      <c r="AN74" s="283"/>
    </row>
    <row r="75" spans="1:40" x14ac:dyDescent="0.25">
      <c r="A75" s="284"/>
      <c r="B75" s="305"/>
      <c r="C75" s="257"/>
      <c r="D75" s="282" t="s">
        <v>839</v>
      </c>
      <c r="E75" s="186">
        <f>E74-$D$74</f>
        <v>0</v>
      </c>
      <c r="F75" s="186">
        <f>F74-$D$74</f>
        <v>0</v>
      </c>
      <c r="G75" s="186">
        <f>G74-$D$74</f>
        <v>0</v>
      </c>
      <c r="H75" s="186">
        <f>H74-$D$74</f>
        <v>0</v>
      </c>
      <c r="I75" s="186">
        <f>I74-$D$74</f>
        <v>0</v>
      </c>
      <c r="J75" s="284"/>
      <c r="K75" s="284"/>
      <c r="L75" s="284"/>
      <c r="M75" s="284"/>
      <c r="N75" s="284"/>
      <c r="O75" s="284"/>
      <c r="P75" s="284"/>
      <c r="Q75" s="216"/>
      <c r="S75" s="133"/>
      <c r="T75" s="133"/>
      <c r="U75" s="133"/>
      <c r="V75" s="133"/>
      <c r="W75" s="133"/>
      <c r="X75" s="133"/>
      <c r="Y75" s="133"/>
      <c r="Z75" s="133"/>
      <c r="AJ75" s="283"/>
      <c r="AK75" s="283"/>
      <c r="AL75" s="283"/>
      <c r="AM75" s="283"/>
      <c r="AN75" s="283"/>
    </row>
    <row r="76" spans="1:40" x14ac:dyDescent="0.25">
      <c r="A76" s="284"/>
      <c r="B76" s="325"/>
      <c r="C76" s="216"/>
      <c r="D76" s="216"/>
      <c r="E76" s="216"/>
      <c r="F76" s="216"/>
      <c r="G76" s="216"/>
      <c r="H76" s="216"/>
      <c r="I76" s="216"/>
      <c r="J76" s="216"/>
      <c r="K76" s="216"/>
      <c r="L76" s="284"/>
      <c r="M76" s="284"/>
      <c r="N76" s="284"/>
      <c r="O76" s="284"/>
      <c r="P76" s="284"/>
      <c r="Q76" s="216"/>
      <c r="S76" s="133"/>
      <c r="T76" s="133"/>
      <c r="U76" s="133"/>
      <c r="V76" s="133"/>
      <c r="W76" s="133"/>
      <c r="X76" s="133"/>
      <c r="Y76" s="133"/>
      <c r="Z76" s="133"/>
      <c r="AJ76" s="283"/>
      <c r="AK76" s="283"/>
      <c r="AL76" s="283"/>
      <c r="AM76" s="283"/>
      <c r="AN76" s="283"/>
    </row>
    <row r="77" spans="1:40" x14ac:dyDescent="0.25">
      <c r="A77" s="284"/>
      <c r="B77" s="396" t="s">
        <v>840</v>
      </c>
      <c r="C77" s="395"/>
      <c r="D77" s="395"/>
      <c r="E77" s="395"/>
      <c r="F77" s="395"/>
      <c r="G77" s="395"/>
      <c r="H77" s="395"/>
      <c r="I77" s="215"/>
      <c r="J77" s="436"/>
      <c r="K77" s="216"/>
      <c r="L77" s="284"/>
      <c r="M77" s="284"/>
      <c r="N77" s="284"/>
      <c r="O77" s="284"/>
      <c r="P77" s="284"/>
      <c r="Q77" s="216"/>
      <c r="S77" s="133"/>
      <c r="T77" s="133"/>
      <c r="U77" s="133"/>
      <c r="V77" s="133"/>
      <c r="W77" s="133"/>
      <c r="X77" s="133"/>
      <c r="Y77" s="133"/>
      <c r="Z77" s="133"/>
      <c r="AJ77" s="283"/>
      <c r="AK77" s="283"/>
      <c r="AL77" s="283"/>
      <c r="AM77" s="283"/>
      <c r="AN77" s="283"/>
    </row>
    <row r="78" spans="1:40" ht="75" x14ac:dyDescent="0.25">
      <c r="A78" s="284"/>
      <c r="B78" s="279" t="s">
        <v>758</v>
      </c>
      <c r="C78" s="166" t="s">
        <v>707</v>
      </c>
      <c r="D78" s="428" t="s">
        <v>820</v>
      </c>
      <c r="E78" s="256" t="s">
        <v>666</v>
      </c>
      <c r="F78" s="256" t="s">
        <v>667</v>
      </c>
      <c r="G78" s="165" t="s">
        <v>777</v>
      </c>
      <c r="H78" s="165" t="s">
        <v>778</v>
      </c>
      <c r="I78" s="256" t="s">
        <v>779</v>
      </c>
      <c r="J78" s="284"/>
      <c r="K78" s="284"/>
      <c r="L78" s="284"/>
      <c r="M78" s="284"/>
      <c r="N78" s="284"/>
      <c r="O78" s="284"/>
      <c r="P78" s="284"/>
      <c r="Q78" s="216"/>
      <c r="S78" s="133"/>
      <c r="T78" s="133"/>
      <c r="U78" s="133"/>
      <c r="V78" s="133"/>
      <c r="W78" s="133"/>
      <c r="X78" s="133"/>
      <c r="Y78" s="133"/>
      <c r="Z78" s="133"/>
      <c r="AJ78" s="283"/>
      <c r="AK78" s="283"/>
      <c r="AL78" s="283"/>
      <c r="AM78" s="283"/>
      <c r="AN78" s="283"/>
    </row>
    <row r="79" spans="1:40" x14ac:dyDescent="0.25">
      <c r="A79" s="284"/>
      <c r="B79" s="352" t="s">
        <v>1168</v>
      </c>
      <c r="C79" s="149">
        <f>'Inputs and eligible population'!K108</f>
        <v>0</v>
      </c>
      <c r="D79" s="128">
        <f>(D60*$C79/60)</f>
        <v>0</v>
      </c>
      <c r="E79" s="128">
        <f t="shared" ref="E79:I79" si="43">(E60*$C79/60)</f>
        <v>0</v>
      </c>
      <c r="F79" s="128">
        <f t="shared" si="43"/>
        <v>0</v>
      </c>
      <c r="G79" s="128">
        <f t="shared" si="43"/>
        <v>0</v>
      </c>
      <c r="H79" s="128">
        <f t="shared" si="43"/>
        <v>0</v>
      </c>
      <c r="I79" s="128">
        <f t="shared" si="43"/>
        <v>0</v>
      </c>
      <c r="J79" s="284"/>
      <c r="K79" s="284"/>
      <c r="L79" s="284"/>
      <c r="M79" s="284"/>
      <c r="N79" s="284"/>
      <c r="O79" s="284"/>
      <c r="P79" s="284"/>
      <c r="Q79" s="216"/>
      <c r="S79" s="133"/>
      <c r="T79" s="133"/>
      <c r="U79" s="133"/>
      <c r="V79" s="133"/>
      <c r="W79" s="133"/>
      <c r="X79" s="133"/>
      <c r="Y79" s="133"/>
      <c r="Z79" s="133"/>
      <c r="AJ79" s="283"/>
      <c r="AK79" s="283"/>
      <c r="AL79" s="283"/>
      <c r="AM79" s="283"/>
      <c r="AN79" s="283"/>
    </row>
    <row r="80" spans="1:40" x14ac:dyDescent="0.25">
      <c r="A80" s="284"/>
      <c r="B80" s="352" t="s">
        <v>1169</v>
      </c>
      <c r="C80" s="149">
        <f>'Inputs and eligible population'!L108</f>
        <v>0</v>
      </c>
      <c r="D80" s="128">
        <f t="shared" ref="D80:I82" si="44">(D61*$C80/60)</f>
        <v>0</v>
      </c>
      <c r="E80" s="128">
        <f t="shared" si="44"/>
        <v>0</v>
      </c>
      <c r="F80" s="128">
        <f t="shared" si="44"/>
        <v>0</v>
      </c>
      <c r="G80" s="128">
        <f t="shared" si="44"/>
        <v>0</v>
      </c>
      <c r="H80" s="128">
        <f t="shared" si="44"/>
        <v>0</v>
      </c>
      <c r="I80" s="128">
        <f t="shared" si="44"/>
        <v>0</v>
      </c>
      <c r="J80" s="284"/>
      <c r="K80" s="284"/>
      <c r="L80" s="284"/>
      <c r="M80" s="284"/>
      <c r="N80" s="284"/>
      <c r="O80" s="284"/>
      <c r="P80" s="284"/>
      <c r="Q80" s="216"/>
      <c r="S80" s="133"/>
      <c r="T80" s="133"/>
      <c r="U80" s="133"/>
      <c r="V80" s="133"/>
      <c r="W80" s="133"/>
      <c r="X80" s="133"/>
      <c r="Y80" s="133"/>
      <c r="Z80" s="133"/>
      <c r="AJ80" s="283"/>
      <c r="AK80" s="283"/>
      <c r="AL80" s="283"/>
      <c r="AM80" s="283"/>
      <c r="AN80" s="283"/>
    </row>
    <row r="81" spans="1:40" x14ac:dyDescent="0.25">
      <c r="A81" s="284"/>
      <c r="B81" s="352" t="s">
        <v>1170</v>
      </c>
      <c r="C81" s="149">
        <f>'Inputs and eligible population'!M108</f>
        <v>0</v>
      </c>
      <c r="D81" s="128">
        <f t="shared" si="44"/>
        <v>0</v>
      </c>
      <c r="E81" s="128">
        <f t="shared" si="44"/>
        <v>0</v>
      </c>
      <c r="F81" s="128">
        <f t="shared" si="44"/>
        <v>0</v>
      </c>
      <c r="G81" s="128">
        <f t="shared" si="44"/>
        <v>0</v>
      </c>
      <c r="H81" s="128">
        <f t="shared" si="44"/>
        <v>0</v>
      </c>
      <c r="I81" s="128">
        <f t="shared" si="44"/>
        <v>0</v>
      </c>
      <c r="J81" s="284"/>
      <c r="K81" s="284"/>
      <c r="L81" s="284"/>
      <c r="M81" s="284"/>
      <c r="N81" s="284"/>
      <c r="O81" s="284"/>
      <c r="P81" s="284"/>
      <c r="Q81" s="216"/>
      <c r="S81" s="133"/>
      <c r="T81" s="133"/>
      <c r="U81" s="133"/>
      <c r="V81" s="133"/>
      <c r="W81" s="133"/>
      <c r="X81" s="133"/>
      <c r="Y81" s="133"/>
      <c r="Z81" s="133"/>
      <c r="AJ81" s="283"/>
      <c r="AK81" s="283"/>
      <c r="AL81" s="283"/>
      <c r="AM81" s="283"/>
      <c r="AN81" s="283"/>
    </row>
    <row r="82" spans="1:40" x14ac:dyDescent="0.25">
      <c r="A82" s="284"/>
      <c r="B82" s="352" t="s">
        <v>1171</v>
      </c>
      <c r="C82" s="149">
        <f>'Inputs and eligible population'!N108</f>
        <v>0</v>
      </c>
      <c r="D82" s="128">
        <f t="shared" si="44"/>
        <v>0</v>
      </c>
      <c r="E82" s="128">
        <f>(E63*$C82/60)</f>
        <v>0</v>
      </c>
      <c r="F82" s="128">
        <f t="shared" si="44"/>
        <v>0</v>
      </c>
      <c r="G82" s="128">
        <f t="shared" si="44"/>
        <v>0</v>
      </c>
      <c r="H82" s="128">
        <f t="shared" si="44"/>
        <v>0</v>
      </c>
      <c r="I82" s="128">
        <f t="shared" si="44"/>
        <v>0</v>
      </c>
      <c r="J82" s="284"/>
      <c r="K82" s="284"/>
      <c r="L82" s="284"/>
      <c r="M82" s="284"/>
      <c r="N82" s="284"/>
      <c r="O82" s="284"/>
      <c r="P82" s="284"/>
      <c r="Q82" s="216"/>
      <c r="S82" s="133"/>
      <c r="T82" s="133"/>
      <c r="U82" s="133"/>
      <c r="V82" s="133"/>
      <c r="W82" s="133"/>
      <c r="X82" s="133"/>
      <c r="Y82" s="133"/>
      <c r="Z82" s="133"/>
      <c r="AJ82" s="283"/>
      <c r="AK82" s="283"/>
      <c r="AL82" s="283"/>
      <c r="AM82" s="283"/>
      <c r="AN82" s="283"/>
    </row>
    <row r="83" spans="1:40" x14ac:dyDescent="0.25">
      <c r="A83" s="284"/>
      <c r="B83" s="280"/>
      <c r="C83" s="280"/>
      <c r="D83" s="186">
        <f>SUM(D79:D82)</f>
        <v>0</v>
      </c>
      <c r="E83" s="186">
        <f t="shared" ref="E83:I83" si="45">SUM(E79:E82)</f>
        <v>0</v>
      </c>
      <c r="F83" s="186">
        <f t="shared" si="45"/>
        <v>0</v>
      </c>
      <c r="G83" s="186">
        <f t="shared" si="45"/>
        <v>0</v>
      </c>
      <c r="H83" s="186">
        <f t="shared" si="45"/>
        <v>0</v>
      </c>
      <c r="I83" s="186">
        <f t="shared" si="45"/>
        <v>0</v>
      </c>
      <c r="J83" s="284"/>
      <c r="K83" s="284"/>
      <c r="L83" s="284"/>
      <c r="M83" s="284"/>
      <c r="N83" s="284"/>
      <c r="O83" s="284"/>
      <c r="P83" s="284"/>
      <c r="Q83" s="216"/>
      <c r="S83" s="133"/>
      <c r="T83" s="133"/>
      <c r="U83" s="133"/>
      <c r="V83" s="133"/>
      <c r="W83" s="133"/>
      <c r="X83" s="133"/>
      <c r="Y83" s="133"/>
      <c r="Z83" s="133"/>
      <c r="AJ83" s="283"/>
      <c r="AK83" s="283"/>
      <c r="AL83" s="283"/>
      <c r="AM83" s="283"/>
      <c r="AN83" s="283"/>
    </row>
    <row r="84" spans="1:40" x14ac:dyDescent="0.25">
      <c r="A84" s="284"/>
      <c r="B84" s="280"/>
      <c r="C84" s="280"/>
      <c r="D84" s="282" t="s">
        <v>841</v>
      </c>
      <c r="E84" s="186">
        <f>E83-$D$83</f>
        <v>0</v>
      </c>
      <c r="F84" s="186">
        <f>F83-$D$83</f>
        <v>0</v>
      </c>
      <c r="G84" s="186">
        <f>G83-$D$83</f>
        <v>0</v>
      </c>
      <c r="H84" s="186">
        <f>H83-$D$83</f>
        <v>0</v>
      </c>
      <c r="I84" s="186">
        <f>I83-$D$83</f>
        <v>0</v>
      </c>
      <c r="J84" s="284"/>
      <c r="K84" s="284"/>
      <c r="L84" s="284"/>
      <c r="M84" s="284"/>
      <c r="N84" s="284"/>
      <c r="O84" s="284"/>
      <c r="P84" s="284"/>
      <c r="Q84" s="216"/>
      <c r="S84" s="133"/>
      <c r="T84" s="133"/>
      <c r="U84" s="133"/>
      <c r="V84" s="133"/>
      <c r="W84" s="133"/>
      <c r="X84" s="133"/>
      <c r="Y84" s="133"/>
      <c r="Z84" s="133"/>
      <c r="AJ84" s="283"/>
      <c r="AK84" s="283"/>
      <c r="AL84" s="283"/>
      <c r="AM84" s="283"/>
      <c r="AN84" s="283"/>
    </row>
    <row r="85" spans="1:40" x14ac:dyDescent="0.25">
      <c r="A85" s="284"/>
      <c r="B85" s="325"/>
      <c r="C85" s="216"/>
      <c r="D85" s="216"/>
      <c r="E85" s="216"/>
      <c r="F85" s="216"/>
      <c r="G85" s="216"/>
      <c r="H85" s="216"/>
      <c r="I85" s="216"/>
      <c r="J85" s="216"/>
      <c r="K85" s="216"/>
      <c r="L85" s="284"/>
      <c r="M85" s="284"/>
      <c r="N85" s="284"/>
      <c r="O85" s="284"/>
      <c r="P85" s="284"/>
      <c r="Q85" s="216"/>
      <c r="S85" s="133"/>
      <c r="T85" s="133"/>
      <c r="U85" s="133"/>
      <c r="V85" s="133"/>
      <c r="W85" s="133"/>
      <c r="X85" s="133"/>
      <c r="Y85" s="133"/>
      <c r="Z85" s="133"/>
      <c r="AJ85" s="283"/>
      <c r="AK85" s="283"/>
      <c r="AL85" s="283"/>
      <c r="AM85" s="283"/>
      <c r="AN85" s="283"/>
    </row>
    <row r="86" spans="1:40" x14ac:dyDescent="0.25">
      <c r="A86" s="284"/>
      <c r="B86" s="396" t="s">
        <v>801</v>
      </c>
      <c r="C86" s="395"/>
      <c r="D86" s="395"/>
      <c r="E86" s="395"/>
      <c r="F86" s="395"/>
      <c r="G86" s="395"/>
      <c r="H86" s="395"/>
      <c r="I86" s="215"/>
      <c r="J86" s="436"/>
      <c r="K86" s="216"/>
      <c r="L86" s="284"/>
      <c r="M86" s="284"/>
      <c r="N86" s="284"/>
      <c r="O86" s="284"/>
      <c r="P86" s="284"/>
      <c r="Q86" s="216"/>
      <c r="V86" s="133"/>
      <c r="AJ86" s="283"/>
      <c r="AK86" s="283"/>
      <c r="AL86" s="283"/>
      <c r="AM86" s="283"/>
      <c r="AN86" s="283"/>
    </row>
    <row r="87" spans="1:40" ht="60" x14ac:dyDescent="0.25">
      <c r="A87" s="284"/>
      <c r="B87" s="279" t="s">
        <v>758</v>
      </c>
      <c r="C87" s="166" t="s">
        <v>708</v>
      </c>
      <c r="D87" s="428" t="s">
        <v>820</v>
      </c>
      <c r="E87" s="256" t="s">
        <v>666</v>
      </c>
      <c r="F87" s="256" t="s">
        <v>667</v>
      </c>
      <c r="G87" s="165" t="s">
        <v>777</v>
      </c>
      <c r="H87" s="165" t="s">
        <v>778</v>
      </c>
      <c r="I87" s="256" t="s">
        <v>779</v>
      </c>
      <c r="J87" s="284"/>
      <c r="K87" s="284"/>
      <c r="L87" s="284"/>
      <c r="M87" s="284"/>
      <c r="N87" s="284"/>
      <c r="O87" s="284"/>
      <c r="P87" s="284"/>
      <c r="Q87" s="216"/>
      <c r="V87" s="133"/>
      <c r="AJ87" s="283"/>
      <c r="AK87" s="283"/>
      <c r="AL87" s="283"/>
      <c r="AM87" s="283"/>
      <c r="AN87" s="283"/>
    </row>
    <row r="88" spans="1:40" x14ac:dyDescent="0.25">
      <c r="A88" s="284"/>
      <c r="B88" s="352" t="s">
        <v>1168</v>
      </c>
      <c r="C88" s="149">
        <f>'Inputs and eligible population'!K109</f>
        <v>0</v>
      </c>
      <c r="D88" s="128">
        <f>(D60*$C88/60)</f>
        <v>0</v>
      </c>
      <c r="E88" s="128">
        <f t="shared" ref="E88:I88" si="46">(E60*$C88/60)</f>
        <v>0</v>
      </c>
      <c r="F88" s="128">
        <f t="shared" si="46"/>
        <v>0</v>
      </c>
      <c r="G88" s="128">
        <f t="shared" si="46"/>
        <v>0</v>
      </c>
      <c r="H88" s="128">
        <f t="shared" si="46"/>
        <v>0</v>
      </c>
      <c r="I88" s="128">
        <f t="shared" si="46"/>
        <v>0</v>
      </c>
      <c r="J88" s="284"/>
      <c r="K88" s="284"/>
      <c r="L88" s="284"/>
      <c r="M88" s="284"/>
      <c r="N88" s="284"/>
      <c r="O88" s="284"/>
      <c r="P88" s="284"/>
      <c r="Q88" s="216"/>
      <c r="V88" s="133"/>
      <c r="AJ88" s="283"/>
      <c r="AK88" s="283"/>
      <c r="AL88" s="283"/>
      <c r="AM88" s="283"/>
      <c r="AN88" s="283"/>
    </row>
    <row r="89" spans="1:40" x14ac:dyDescent="0.25">
      <c r="A89" s="284"/>
      <c r="B89" s="352" t="s">
        <v>1169</v>
      </c>
      <c r="C89" s="149">
        <f>'Inputs and eligible population'!L109</f>
        <v>0</v>
      </c>
      <c r="D89" s="128">
        <f t="shared" ref="D89:I89" si="47">(D61*$C89/60)</f>
        <v>0</v>
      </c>
      <c r="E89" s="128">
        <f t="shared" si="47"/>
        <v>0</v>
      </c>
      <c r="F89" s="128">
        <f t="shared" si="47"/>
        <v>0</v>
      </c>
      <c r="G89" s="128">
        <f t="shared" si="47"/>
        <v>0</v>
      </c>
      <c r="H89" s="128">
        <f t="shared" si="47"/>
        <v>0</v>
      </c>
      <c r="I89" s="128">
        <f t="shared" si="47"/>
        <v>0</v>
      </c>
      <c r="J89" s="284"/>
      <c r="K89" s="284"/>
      <c r="L89" s="284"/>
      <c r="M89" s="284"/>
      <c r="N89" s="284"/>
      <c r="O89" s="284"/>
      <c r="P89" s="284"/>
      <c r="Q89" s="216"/>
      <c r="V89" s="133"/>
      <c r="AJ89" s="283"/>
      <c r="AK89" s="283"/>
      <c r="AL89" s="283"/>
      <c r="AM89" s="283"/>
      <c r="AN89" s="283"/>
    </row>
    <row r="90" spans="1:40" x14ac:dyDescent="0.25">
      <c r="A90" s="284"/>
      <c r="B90" s="352" t="s">
        <v>1170</v>
      </c>
      <c r="C90" s="149">
        <f>'Inputs and eligible population'!M109</f>
        <v>0</v>
      </c>
      <c r="D90" s="128">
        <f t="shared" ref="D90:I90" si="48">(D62*$C90/60)</f>
        <v>0</v>
      </c>
      <c r="E90" s="128">
        <f t="shared" si="48"/>
        <v>0</v>
      </c>
      <c r="F90" s="128">
        <f t="shared" si="48"/>
        <v>0</v>
      </c>
      <c r="G90" s="128">
        <f t="shared" si="48"/>
        <v>0</v>
      </c>
      <c r="H90" s="128">
        <f t="shared" si="48"/>
        <v>0</v>
      </c>
      <c r="I90" s="128">
        <f t="shared" si="48"/>
        <v>0</v>
      </c>
      <c r="J90" s="284"/>
      <c r="K90" s="284"/>
      <c r="L90" s="284"/>
      <c r="M90" s="284"/>
      <c r="N90" s="284"/>
      <c r="O90" s="284"/>
      <c r="P90" s="284"/>
      <c r="Q90" s="216"/>
      <c r="V90" s="133"/>
      <c r="AJ90" s="283"/>
      <c r="AK90" s="283"/>
      <c r="AL90" s="283"/>
      <c r="AM90" s="283"/>
      <c r="AN90" s="283"/>
    </row>
    <row r="91" spans="1:40" x14ac:dyDescent="0.25">
      <c r="A91" s="284"/>
      <c r="B91" s="352" t="s">
        <v>1171</v>
      </c>
      <c r="C91" s="149">
        <f>'Inputs and eligible population'!N109</f>
        <v>0</v>
      </c>
      <c r="D91" s="128">
        <f t="shared" ref="D91:I91" si="49">(D63*$C91/60)</f>
        <v>0</v>
      </c>
      <c r="E91" s="128">
        <f t="shared" si="49"/>
        <v>0</v>
      </c>
      <c r="F91" s="128">
        <f t="shared" si="49"/>
        <v>0</v>
      </c>
      <c r="G91" s="128">
        <f t="shared" si="49"/>
        <v>0</v>
      </c>
      <c r="H91" s="128">
        <f t="shared" si="49"/>
        <v>0</v>
      </c>
      <c r="I91" s="128">
        <f t="shared" si="49"/>
        <v>0</v>
      </c>
      <c r="J91" s="284"/>
      <c r="K91" s="284"/>
      <c r="L91" s="284"/>
      <c r="M91" s="284"/>
      <c r="N91" s="284"/>
      <c r="O91" s="284"/>
      <c r="P91" s="284"/>
      <c r="Q91" s="216"/>
      <c r="V91" s="133"/>
      <c r="AJ91" s="283"/>
      <c r="AK91" s="283"/>
      <c r="AL91" s="283"/>
      <c r="AM91" s="283"/>
      <c r="AN91" s="283"/>
    </row>
    <row r="92" spans="1:40" x14ac:dyDescent="0.25">
      <c r="A92" s="284"/>
      <c r="B92" s="280"/>
      <c r="C92" s="280"/>
      <c r="D92" s="186">
        <f>SUM(D88:D91)</f>
        <v>0</v>
      </c>
      <c r="E92" s="186">
        <f t="shared" ref="E92:I92" si="50">SUM(E88:E91)</f>
        <v>0</v>
      </c>
      <c r="F92" s="186">
        <f t="shared" si="50"/>
        <v>0</v>
      </c>
      <c r="G92" s="186">
        <f t="shared" si="50"/>
        <v>0</v>
      </c>
      <c r="H92" s="186">
        <f t="shared" si="50"/>
        <v>0</v>
      </c>
      <c r="I92" s="186">
        <f t="shared" si="50"/>
        <v>0</v>
      </c>
      <c r="J92" s="284"/>
      <c r="K92" s="284"/>
      <c r="L92" s="284"/>
      <c r="M92" s="284"/>
      <c r="N92" s="284"/>
      <c r="O92" s="284"/>
      <c r="P92" s="284"/>
      <c r="Q92" s="216"/>
      <c r="R92" s="133"/>
      <c r="S92" s="133"/>
      <c r="T92" s="133"/>
      <c r="U92" s="133"/>
      <c r="V92" s="133"/>
      <c r="W92" s="133"/>
      <c r="X92" s="133"/>
      <c r="Y92" s="133"/>
      <c r="Z92" s="133"/>
      <c r="AJ92" s="283"/>
      <c r="AK92" s="283"/>
      <c r="AL92" s="283"/>
      <c r="AM92" s="283"/>
      <c r="AN92" s="283"/>
    </row>
    <row r="93" spans="1:40" x14ac:dyDescent="0.25">
      <c r="A93" s="284"/>
      <c r="B93" s="305"/>
      <c r="C93" s="280"/>
      <c r="D93" s="282" t="s">
        <v>842</v>
      </c>
      <c r="E93" s="186">
        <f>E92-$D$92</f>
        <v>0</v>
      </c>
      <c r="F93" s="186">
        <f>F92-$D$92</f>
        <v>0</v>
      </c>
      <c r="G93" s="186">
        <f>G92-$D$92</f>
        <v>0</v>
      </c>
      <c r="H93" s="186">
        <f>H92-$D$92</f>
        <v>0</v>
      </c>
      <c r="I93" s="186">
        <f>I92-$D$92</f>
        <v>0</v>
      </c>
      <c r="J93" s="284"/>
      <c r="K93" s="284"/>
      <c r="L93" s="284"/>
      <c r="M93" s="284"/>
      <c r="N93" s="284"/>
      <c r="O93" s="284"/>
      <c r="P93" s="284"/>
      <c r="Q93" s="216"/>
      <c r="R93" s="133"/>
      <c r="S93" s="133"/>
      <c r="T93" s="133"/>
      <c r="U93" s="133"/>
      <c r="V93" s="133"/>
      <c r="W93" s="133"/>
      <c r="X93" s="133"/>
      <c r="Y93" s="133"/>
      <c r="Z93" s="133"/>
      <c r="AJ93" s="283"/>
      <c r="AK93" s="283"/>
      <c r="AL93" s="283"/>
      <c r="AM93" s="283"/>
      <c r="AN93" s="283"/>
    </row>
    <row r="94" spans="1:40" x14ac:dyDescent="0.25">
      <c r="A94" s="284"/>
      <c r="B94" s="325"/>
      <c r="C94" s="216"/>
      <c r="D94" s="216"/>
      <c r="E94" s="216"/>
      <c r="F94" s="216"/>
      <c r="G94" s="216"/>
      <c r="H94" s="216"/>
      <c r="I94" s="216"/>
      <c r="J94" s="284"/>
      <c r="K94" s="284"/>
      <c r="L94" s="284"/>
      <c r="M94" s="284"/>
      <c r="N94" s="284"/>
      <c r="O94" s="284"/>
      <c r="P94" s="284"/>
      <c r="Q94" s="216"/>
      <c r="R94" s="133"/>
      <c r="S94" s="133"/>
      <c r="T94" s="133"/>
      <c r="U94" s="133"/>
      <c r="V94" s="133"/>
      <c r="W94" s="133"/>
      <c r="X94" s="133"/>
      <c r="Y94" s="133"/>
      <c r="Z94" s="133"/>
      <c r="AJ94" s="283"/>
      <c r="AK94" s="283"/>
      <c r="AL94" s="283"/>
      <c r="AM94" s="283"/>
      <c r="AN94" s="283"/>
    </row>
    <row r="95" spans="1:40" x14ac:dyDescent="0.25">
      <c r="A95" s="286"/>
      <c r="B95" s="326" t="s">
        <v>843</v>
      </c>
      <c r="C95" s="308"/>
      <c r="D95" s="307"/>
      <c r="E95" s="308"/>
      <c r="F95" s="309"/>
      <c r="G95" s="310"/>
      <c r="H95" s="310"/>
      <c r="I95" s="367"/>
      <c r="J95" s="286"/>
      <c r="K95" s="286"/>
      <c r="L95" s="286"/>
      <c r="M95" s="286"/>
      <c r="N95" s="286"/>
      <c r="O95" s="286"/>
      <c r="P95" s="286"/>
      <c r="Q95" s="286"/>
      <c r="R95" s="133"/>
      <c r="S95" s="133"/>
      <c r="T95" s="133"/>
      <c r="U95" s="133"/>
      <c r="V95" s="133"/>
      <c r="W95" s="133"/>
      <c r="X95" s="133"/>
      <c r="Y95" s="133"/>
      <c r="Z95" s="133"/>
      <c r="AJ95" s="283"/>
      <c r="AK95" s="283"/>
      <c r="AL95" s="283"/>
      <c r="AM95" s="283"/>
      <c r="AN95" s="283"/>
    </row>
    <row r="96" spans="1:40" x14ac:dyDescent="0.25">
      <c r="A96" s="286"/>
      <c r="B96" s="397" t="s">
        <v>844</v>
      </c>
      <c r="C96" s="398"/>
      <c r="D96" s="398"/>
      <c r="E96" s="398"/>
      <c r="F96" s="398"/>
      <c r="G96" s="398"/>
      <c r="H96" s="398"/>
      <c r="I96" s="219"/>
      <c r="J96" s="286"/>
      <c r="K96" s="286"/>
      <c r="L96" s="220"/>
      <c r="M96" s="220"/>
      <c r="N96" s="286"/>
      <c r="O96" s="220"/>
      <c r="P96" s="220"/>
      <c r="Q96" s="220"/>
      <c r="V96" s="133"/>
    </row>
    <row r="97" spans="1:40" ht="45" x14ac:dyDescent="0.25">
      <c r="A97" s="286"/>
      <c r="B97" s="276" t="s">
        <v>758</v>
      </c>
      <c r="C97" s="166" t="s">
        <v>710</v>
      </c>
      <c r="D97" s="428" t="s">
        <v>820</v>
      </c>
      <c r="E97" s="256" t="s">
        <v>666</v>
      </c>
      <c r="F97" s="256" t="s">
        <v>667</v>
      </c>
      <c r="G97" s="165" t="s">
        <v>777</v>
      </c>
      <c r="H97" s="165" t="s">
        <v>778</v>
      </c>
      <c r="I97" s="256" t="s">
        <v>779</v>
      </c>
      <c r="J97" s="286"/>
      <c r="K97" s="286"/>
      <c r="L97" s="220"/>
      <c r="M97" s="220"/>
      <c r="N97" s="286"/>
      <c r="O97" s="220"/>
      <c r="P97" s="220"/>
      <c r="Q97" s="220"/>
      <c r="V97" s="133"/>
    </row>
    <row r="98" spans="1:40" x14ac:dyDescent="0.25">
      <c r="A98" s="286"/>
      <c r="B98" s="352" t="s">
        <v>1168</v>
      </c>
      <c r="C98" s="149">
        <f>'Inputs and eligible population'!K110</f>
        <v>0</v>
      </c>
      <c r="D98" s="128">
        <f>D60*$C98/60</f>
        <v>0</v>
      </c>
      <c r="E98" s="128">
        <f t="shared" ref="E98:I98" si="51">E60*$C98/60</f>
        <v>0</v>
      </c>
      <c r="F98" s="128">
        <f t="shared" si="51"/>
        <v>0</v>
      </c>
      <c r="G98" s="128">
        <f t="shared" si="51"/>
        <v>0</v>
      </c>
      <c r="H98" s="128">
        <f t="shared" si="51"/>
        <v>0</v>
      </c>
      <c r="I98" s="128">
        <f t="shared" si="51"/>
        <v>0</v>
      </c>
      <c r="J98" s="286"/>
      <c r="K98" s="286"/>
      <c r="L98" s="220"/>
      <c r="M98" s="220"/>
      <c r="N98" s="286"/>
      <c r="O98" s="220"/>
      <c r="P98" s="220"/>
      <c r="Q98" s="220"/>
      <c r="V98" s="133"/>
    </row>
    <row r="99" spans="1:40" x14ac:dyDescent="0.25">
      <c r="A99" s="286"/>
      <c r="B99" s="352" t="s">
        <v>1169</v>
      </c>
      <c r="C99" s="149">
        <f>'Inputs and eligible population'!L110</f>
        <v>0</v>
      </c>
      <c r="D99" s="128">
        <f t="shared" ref="D99:I99" si="52">D61*$C99/60</f>
        <v>0</v>
      </c>
      <c r="E99" s="128">
        <f t="shared" si="52"/>
        <v>0</v>
      </c>
      <c r="F99" s="128">
        <f t="shared" si="52"/>
        <v>0</v>
      </c>
      <c r="G99" s="128">
        <f t="shared" si="52"/>
        <v>0</v>
      </c>
      <c r="H99" s="128">
        <f t="shared" si="52"/>
        <v>0</v>
      </c>
      <c r="I99" s="128">
        <f t="shared" si="52"/>
        <v>0</v>
      </c>
      <c r="J99" s="286"/>
      <c r="K99" s="286"/>
      <c r="L99" s="220"/>
      <c r="M99" s="220"/>
      <c r="N99" s="286"/>
      <c r="O99" s="220"/>
      <c r="P99" s="220"/>
      <c r="Q99" s="220"/>
      <c r="V99" s="133"/>
    </row>
    <row r="100" spans="1:40" x14ac:dyDescent="0.25">
      <c r="A100" s="286"/>
      <c r="B100" s="352" t="s">
        <v>1170</v>
      </c>
      <c r="C100" s="149">
        <f>'Inputs and eligible population'!M110</f>
        <v>0</v>
      </c>
      <c r="D100" s="128">
        <f t="shared" ref="D100:I100" si="53">D62*$C100/60</f>
        <v>0</v>
      </c>
      <c r="E100" s="128">
        <f t="shared" si="53"/>
        <v>0</v>
      </c>
      <c r="F100" s="128">
        <f t="shared" si="53"/>
        <v>0</v>
      </c>
      <c r="G100" s="128">
        <f t="shared" si="53"/>
        <v>0</v>
      </c>
      <c r="H100" s="128">
        <f t="shared" si="53"/>
        <v>0</v>
      </c>
      <c r="I100" s="128">
        <f t="shared" si="53"/>
        <v>0</v>
      </c>
      <c r="J100" s="286"/>
      <c r="K100" s="286"/>
      <c r="L100" s="220"/>
      <c r="M100" s="220"/>
      <c r="N100" s="286"/>
      <c r="O100" s="220"/>
      <c r="P100" s="220"/>
      <c r="Q100" s="220"/>
      <c r="V100" s="133"/>
    </row>
    <row r="101" spans="1:40" x14ac:dyDescent="0.25">
      <c r="A101" s="286"/>
      <c r="B101" s="352" t="s">
        <v>1171</v>
      </c>
      <c r="C101" s="149">
        <f>'Inputs and eligible population'!N110</f>
        <v>0</v>
      </c>
      <c r="D101" s="128">
        <f t="shared" ref="D101:I101" si="54">D63*$C101/60</f>
        <v>0</v>
      </c>
      <c r="E101" s="128">
        <f t="shared" si="54"/>
        <v>0</v>
      </c>
      <c r="F101" s="128">
        <f t="shared" si="54"/>
        <v>0</v>
      </c>
      <c r="G101" s="128">
        <f t="shared" si="54"/>
        <v>0</v>
      </c>
      <c r="H101" s="128">
        <f t="shared" si="54"/>
        <v>0</v>
      </c>
      <c r="I101" s="128">
        <f t="shared" si="54"/>
        <v>0</v>
      </c>
      <c r="J101" s="286"/>
      <c r="K101" s="286"/>
      <c r="L101" s="220"/>
      <c r="M101" s="220"/>
      <c r="N101" s="286"/>
      <c r="O101" s="220"/>
      <c r="P101" s="220"/>
      <c r="Q101" s="220"/>
      <c r="V101" s="133"/>
    </row>
    <row r="102" spans="1:40" x14ac:dyDescent="0.25">
      <c r="A102" s="286"/>
      <c r="B102" s="280"/>
      <c r="C102" s="206"/>
      <c r="D102" s="186">
        <f>SUM(D98:D101)</f>
        <v>0</v>
      </c>
      <c r="E102" s="186">
        <f t="shared" ref="E102:I102" si="55">SUM(E98:E101)</f>
        <v>0</v>
      </c>
      <c r="F102" s="186">
        <f t="shared" si="55"/>
        <v>0</v>
      </c>
      <c r="G102" s="186">
        <f t="shared" si="55"/>
        <v>0</v>
      </c>
      <c r="H102" s="186">
        <f t="shared" si="55"/>
        <v>0</v>
      </c>
      <c r="I102" s="186">
        <f t="shared" si="55"/>
        <v>0</v>
      </c>
      <c r="J102" s="286"/>
      <c r="K102" s="286"/>
      <c r="L102" s="220"/>
      <c r="M102" s="220"/>
      <c r="N102" s="286"/>
      <c r="O102" s="220"/>
      <c r="P102" s="220"/>
      <c r="Q102" s="220"/>
      <c r="V102" s="133"/>
    </row>
    <row r="103" spans="1:40" x14ac:dyDescent="0.25">
      <c r="A103" s="286"/>
      <c r="B103" s="305"/>
      <c r="C103" s="257"/>
      <c r="D103" s="282" t="s">
        <v>807</v>
      </c>
      <c r="E103" s="186">
        <f>E102-$D$102</f>
        <v>0</v>
      </c>
      <c r="F103" s="186">
        <f>F102-$D$102</f>
        <v>0</v>
      </c>
      <c r="G103" s="186">
        <f>G102-$D$102</f>
        <v>0</v>
      </c>
      <c r="H103" s="186">
        <f>H102-$D$102</f>
        <v>0</v>
      </c>
      <c r="I103" s="186">
        <f>I102-$D$102</f>
        <v>0</v>
      </c>
      <c r="J103" s="286"/>
      <c r="K103" s="286"/>
      <c r="L103" s="220"/>
      <c r="M103" s="220"/>
      <c r="N103" s="286"/>
      <c r="O103" s="220"/>
      <c r="P103" s="220"/>
      <c r="Q103" s="220"/>
      <c r="V103" s="133"/>
    </row>
    <row r="104" spans="1:40" x14ac:dyDescent="0.25">
      <c r="A104" s="286"/>
      <c r="B104" s="327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86"/>
      <c r="O104" s="220"/>
      <c r="P104" s="220"/>
      <c r="Q104" s="220"/>
      <c r="R104" s="133"/>
      <c r="S104" s="133"/>
      <c r="T104" s="133"/>
      <c r="U104" s="133"/>
      <c r="V104" s="133"/>
      <c r="W104" s="133"/>
      <c r="X104" s="133"/>
      <c r="Y104" s="133"/>
      <c r="Z104" s="133"/>
      <c r="AJ104" s="283"/>
      <c r="AK104" s="283"/>
      <c r="AL104" s="283"/>
      <c r="AM104" s="283"/>
      <c r="AN104" s="283"/>
    </row>
    <row r="105" spans="1:40" hidden="1" x14ac:dyDescent="0.25">
      <c r="A105" s="332"/>
      <c r="B105" s="333" t="s">
        <v>845</v>
      </c>
      <c r="C105" s="334"/>
      <c r="D105" s="334"/>
      <c r="E105" s="335"/>
      <c r="F105" s="336"/>
      <c r="G105" s="337"/>
      <c r="H105" s="337"/>
      <c r="I105" s="391"/>
      <c r="J105" s="332"/>
      <c r="K105" s="332"/>
      <c r="L105" s="332"/>
      <c r="M105" s="332"/>
      <c r="N105" s="332"/>
      <c r="O105" s="332"/>
      <c r="P105" s="332"/>
      <c r="Q105" s="412"/>
      <c r="R105" s="133"/>
      <c r="S105" s="133"/>
      <c r="T105" s="133"/>
      <c r="U105" s="133"/>
      <c r="V105" s="133"/>
      <c r="W105" s="133"/>
      <c r="X105" s="133"/>
      <c r="Y105" s="133"/>
      <c r="Z105" s="133"/>
      <c r="AJ105" s="283"/>
      <c r="AK105" s="283"/>
      <c r="AL105" s="283"/>
      <c r="AM105" s="283"/>
      <c r="AN105" s="283"/>
    </row>
    <row r="106" spans="1:40" hidden="1" x14ac:dyDescent="0.25">
      <c r="A106" s="332"/>
      <c r="B106" s="401" t="s">
        <v>846</v>
      </c>
      <c r="C106" s="402"/>
      <c r="D106" s="402"/>
      <c r="E106" s="402"/>
      <c r="F106" s="402"/>
      <c r="G106" s="402"/>
      <c r="H106" s="402"/>
      <c r="I106" s="338"/>
      <c r="J106" s="412"/>
      <c r="K106" s="412"/>
      <c r="L106" s="442"/>
      <c r="M106" s="442"/>
      <c r="N106" s="442"/>
      <c r="O106" s="442"/>
      <c r="P106" s="442"/>
      <c r="Q106" s="442"/>
      <c r="R106" s="133"/>
      <c r="S106" s="133"/>
      <c r="T106" s="133"/>
      <c r="U106" s="133"/>
      <c r="V106" s="133"/>
      <c r="W106" s="133"/>
      <c r="X106" s="133"/>
      <c r="Y106" s="133"/>
      <c r="Z106" s="133"/>
      <c r="AJ106" s="283"/>
      <c r="AK106" s="283"/>
      <c r="AL106" s="283"/>
      <c r="AM106" s="283"/>
      <c r="AN106" s="283"/>
    </row>
    <row r="107" spans="1:40" ht="45" hidden="1" x14ac:dyDescent="0.25">
      <c r="A107" s="332"/>
      <c r="B107" s="276" t="s">
        <v>758</v>
      </c>
      <c r="C107" s="166" t="s">
        <v>713</v>
      </c>
      <c r="D107" s="428" t="s">
        <v>820</v>
      </c>
      <c r="E107" s="256" t="s">
        <v>666</v>
      </c>
      <c r="F107" s="256" t="s">
        <v>667</v>
      </c>
      <c r="G107" s="165" t="s">
        <v>777</v>
      </c>
      <c r="H107" s="165" t="s">
        <v>778</v>
      </c>
      <c r="I107" s="256" t="s">
        <v>779</v>
      </c>
      <c r="J107" s="332"/>
      <c r="K107" s="583" t="s">
        <v>856</v>
      </c>
      <c r="L107" s="428" t="s">
        <v>820</v>
      </c>
      <c r="M107" s="256" t="s">
        <v>666</v>
      </c>
      <c r="N107" s="256" t="s">
        <v>667</v>
      </c>
      <c r="O107" s="165" t="s">
        <v>777</v>
      </c>
      <c r="P107" s="165" t="s">
        <v>778</v>
      </c>
      <c r="Q107" s="256" t="s">
        <v>779</v>
      </c>
      <c r="R107" s="133"/>
      <c r="S107" s="133"/>
      <c r="T107" s="133"/>
      <c r="U107" s="133"/>
      <c r="V107" s="133"/>
      <c r="W107" s="133"/>
      <c r="X107" s="133"/>
      <c r="Y107" s="133"/>
      <c r="Z107" s="133"/>
      <c r="AJ107" s="283"/>
      <c r="AK107" s="283"/>
      <c r="AL107" s="283"/>
      <c r="AM107" s="283"/>
      <c r="AN107" s="283"/>
    </row>
    <row r="108" spans="1:40" hidden="1" x14ac:dyDescent="0.25">
      <c r="A108" s="332"/>
      <c r="B108" s="352"/>
      <c r="C108" s="149"/>
      <c r="D108" s="128"/>
      <c r="E108" s="128"/>
      <c r="F108" s="128"/>
      <c r="G108" s="128"/>
      <c r="H108" s="128"/>
      <c r="I108" s="128"/>
      <c r="J108" s="332"/>
      <c r="K108" s="289">
        <f>(C108*'Unit costs'!$N$121)/1000</f>
        <v>0</v>
      </c>
      <c r="L108" s="289">
        <f>(D108*'Unit costs'!$N$127)/1000</f>
        <v>0</v>
      </c>
      <c r="M108" s="289">
        <f>(E108*'Unit costs'!$N$127)/1000</f>
        <v>0</v>
      </c>
      <c r="N108" s="289">
        <f>(F108*'Unit costs'!$N$127)/1000</f>
        <v>0</v>
      </c>
      <c r="O108" s="289">
        <f>(G108*'Unit costs'!$N$127)/1000</f>
        <v>0</v>
      </c>
      <c r="P108" s="289">
        <f>(H108*'Unit costs'!$N$127)/1000</f>
        <v>0</v>
      </c>
      <c r="Q108" s="289">
        <f>(I108*'Unit costs'!$N$127)/1000</f>
        <v>0</v>
      </c>
      <c r="R108" s="133"/>
      <c r="S108" s="133"/>
      <c r="T108" s="133"/>
      <c r="U108" s="133"/>
      <c r="V108" s="133"/>
      <c r="W108" s="133"/>
      <c r="X108" s="133"/>
      <c r="Y108" s="133"/>
      <c r="Z108" s="133"/>
      <c r="AJ108" s="283"/>
      <c r="AK108" s="283"/>
      <c r="AL108" s="283"/>
      <c r="AM108" s="283"/>
      <c r="AN108" s="283"/>
    </row>
    <row r="109" spans="1:40" hidden="1" x14ac:dyDescent="0.25">
      <c r="A109" s="332"/>
      <c r="B109" s="352"/>
      <c r="C109" s="149"/>
      <c r="D109" s="128"/>
      <c r="E109" s="128"/>
      <c r="F109" s="128"/>
      <c r="G109" s="128"/>
      <c r="H109" s="128"/>
      <c r="I109" s="128"/>
      <c r="J109" s="332"/>
      <c r="K109" s="289">
        <f>(C109*'Unit costs'!$N$121)/1000</f>
        <v>0</v>
      </c>
      <c r="L109" s="289">
        <f>(D109*'Unit costs'!$N$127)/1000</f>
        <v>0</v>
      </c>
      <c r="M109" s="289">
        <f>(E109*'Unit costs'!$N$127)/1000</f>
        <v>0</v>
      </c>
      <c r="N109" s="289">
        <f>(F109*'Unit costs'!$N$127)/1000</f>
        <v>0</v>
      </c>
      <c r="O109" s="289">
        <f>(G109*'Unit costs'!$N$127)/1000</f>
        <v>0</v>
      </c>
      <c r="P109" s="289">
        <f>(H109*'Unit costs'!$N$127)/1000</f>
        <v>0</v>
      </c>
      <c r="Q109" s="289">
        <f>(I109*'Unit costs'!$N$127)/1000</f>
        <v>0</v>
      </c>
      <c r="R109" s="133"/>
      <c r="S109" s="133"/>
      <c r="T109" s="133"/>
      <c r="U109" s="133"/>
      <c r="V109" s="133"/>
      <c r="W109" s="133"/>
      <c r="X109" s="133"/>
      <c r="Y109" s="133"/>
      <c r="Z109" s="133"/>
      <c r="AJ109" s="283"/>
      <c r="AK109" s="283"/>
      <c r="AL109" s="283"/>
      <c r="AM109" s="283"/>
      <c r="AN109" s="283"/>
    </row>
    <row r="110" spans="1:40" hidden="1" x14ac:dyDescent="0.25">
      <c r="A110" s="332"/>
      <c r="B110" s="352"/>
      <c r="C110" s="149"/>
      <c r="D110" s="128"/>
      <c r="E110" s="128"/>
      <c r="F110" s="128"/>
      <c r="G110" s="128"/>
      <c r="H110" s="128"/>
      <c r="I110" s="128"/>
      <c r="J110" s="332"/>
      <c r="K110" s="289">
        <f>(C110*'Unit costs'!$N$121)/1000</f>
        <v>0</v>
      </c>
      <c r="L110" s="289">
        <f>(D110*'Unit costs'!$N$127)/1000</f>
        <v>0</v>
      </c>
      <c r="M110" s="289">
        <f>(E110*'Unit costs'!$N$127)/1000</f>
        <v>0</v>
      </c>
      <c r="N110" s="289">
        <f>(F110*'Unit costs'!$N$127)/1000</f>
        <v>0</v>
      </c>
      <c r="O110" s="289">
        <f>(G110*'Unit costs'!$N$127)/1000</f>
        <v>0</v>
      </c>
      <c r="P110" s="289">
        <f>(H110*'Unit costs'!$N$127)/1000</f>
        <v>0</v>
      </c>
      <c r="Q110" s="289">
        <f>(I110*'Unit costs'!$N$127)/1000</f>
        <v>0</v>
      </c>
      <c r="R110" s="133"/>
      <c r="S110" s="133"/>
      <c r="T110" s="133"/>
      <c r="U110" s="133"/>
      <c r="V110" s="133"/>
      <c r="W110" s="133"/>
      <c r="X110" s="133"/>
      <c r="Y110" s="133"/>
      <c r="Z110" s="133"/>
      <c r="AJ110" s="283"/>
      <c r="AK110" s="283"/>
      <c r="AL110" s="283"/>
      <c r="AM110" s="283"/>
      <c r="AN110" s="283"/>
    </row>
    <row r="111" spans="1:40" hidden="1" x14ac:dyDescent="0.25">
      <c r="A111" s="332"/>
      <c r="B111" s="280"/>
      <c r="C111" s="206"/>
      <c r="D111" s="186">
        <f t="shared" ref="D111:I111" si="56">SUM(D108:D110)</f>
        <v>0</v>
      </c>
      <c r="E111" s="186">
        <f t="shared" si="56"/>
        <v>0</v>
      </c>
      <c r="F111" s="186">
        <f t="shared" si="56"/>
        <v>0</v>
      </c>
      <c r="G111" s="186">
        <f t="shared" si="56"/>
        <v>0</v>
      </c>
      <c r="H111" s="186">
        <f t="shared" si="56"/>
        <v>0</v>
      </c>
      <c r="I111" s="186">
        <f t="shared" si="56"/>
        <v>0</v>
      </c>
      <c r="J111" s="332"/>
      <c r="K111" s="290">
        <f>SUM(K108:K110)</f>
        <v>0</v>
      </c>
      <c r="L111" s="290">
        <f>SUM(L108:L110)</f>
        <v>0</v>
      </c>
      <c r="M111" s="290">
        <f t="shared" ref="M111:Q111" si="57">SUM(M108:M110)</f>
        <v>0</v>
      </c>
      <c r="N111" s="290">
        <f t="shared" si="57"/>
        <v>0</v>
      </c>
      <c r="O111" s="290">
        <f t="shared" si="57"/>
        <v>0</v>
      </c>
      <c r="P111" s="290">
        <f t="shared" si="57"/>
        <v>0</v>
      </c>
      <c r="Q111" s="290">
        <f t="shared" si="57"/>
        <v>0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3"/>
      <c r="AK111" s="283"/>
      <c r="AL111" s="283"/>
      <c r="AM111" s="283"/>
      <c r="AN111" s="283"/>
    </row>
    <row r="112" spans="1:40" hidden="1" x14ac:dyDescent="0.25">
      <c r="A112" s="332"/>
      <c r="B112" s="305"/>
      <c r="C112" s="257"/>
      <c r="D112" s="282" t="s">
        <v>847</v>
      </c>
      <c r="E112" s="186">
        <f>E111-$D$111</f>
        <v>0</v>
      </c>
      <c r="F112" s="186">
        <f>F111-$D$111</f>
        <v>0</v>
      </c>
      <c r="G112" s="186">
        <f>G111-$D$111</f>
        <v>0</v>
      </c>
      <c r="H112" s="186">
        <f>H111-$D$111</f>
        <v>0</v>
      </c>
      <c r="I112" s="186">
        <f>I111-$D$111</f>
        <v>0</v>
      </c>
      <c r="J112" s="332"/>
      <c r="K112" s="332"/>
      <c r="L112" s="566"/>
      <c r="M112" s="290">
        <f>M111-$L$111</f>
        <v>0</v>
      </c>
      <c r="N112" s="290">
        <f t="shared" ref="N112:Q112" si="58">N111-$L$111</f>
        <v>0</v>
      </c>
      <c r="O112" s="290">
        <f t="shared" si="58"/>
        <v>0</v>
      </c>
      <c r="P112" s="290">
        <f t="shared" si="58"/>
        <v>0</v>
      </c>
      <c r="Q112" s="290">
        <f t="shared" si="58"/>
        <v>0</v>
      </c>
      <c r="V112" s="133"/>
    </row>
    <row r="113" spans="1:40" hidden="1" x14ac:dyDescent="0.25">
      <c r="A113" s="332"/>
      <c r="B113" s="332"/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332"/>
      <c r="V113" s="133"/>
    </row>
    <row r="114" spans="1:40" hidden="1" x14ac:dyDescent="0.25">
      <c r="A114" s="287"/>
      <c r="B114" s="328" t="s">
        <v>848</v>
      </c>
      <c r="C114" s="311"/>
      <c r="D114" s="312"/>
      <c r="E114" s="313"/>
      <c r="F114" s="314"/>
      <c r="G114" s="314"/>
      <c r="H114" s="314"/>
      <c r="I114" s="443"/>
      <c r="J114" s="287"/>
      <c r="K114" s="287"/>
      <c r="L114" s="287"/>
      <c r="M114" s="287"/>
      <c r="N114" s="287"/>
      <c r="O114" s="287"/>
      <c r="P114" s="287"/>
      <c r="Q114" s="222"/>
      <c r="R114" s="133"/>
      <c r="S114" s="133"/>
      <c r="T114" s="133"/>
      <c r="U114" s="133"/>
      <c r="V114" s="133"/>
      <c r="W114" s="133"/>
      <c r="X114" s="133"/>
      <c r="Y114" s="133"/>
      <c r="Z114" s="133"/>
      <c r="AJ114" s="283"/>
      <c r="AK114" s="283"/>
      <c r="AL114" s="283"/>
      <c r="AM114" s="283"/>
      <c r="AN114" s="283"/>
    </row>
    <row r="115" spans="1:40" hidden="1" x14ac:dyDescent="0.25">
      <c r="A115" s="287"/>
      <c r="B115" s="403" t="s">
        <v>849</v>
      </c>
      <c r="C115" s="404"/>
      <c r="D115" s="404"/>
      <c r="E115" s="404"/>
      <c r="F115" s="404"/>
      <c r="G115" s="404"/>
      <c r="H115" s="404"/>
      <c r="I115" s="221"/>
      <c r="J115" s="222"/>
      <c r="K115" s="222"/>
      <c r="L115" s="437"/>
      <c r="M115" s="437"/>
      <c r="N115" s="437"/>
      <c r="O115" s="437"/>
      <c r="P115" s="437"/>
      <c r="Q115" s="437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3"/>
      <c r="AK115" s="283"/>
      <c r="AL115" s="283"/>
      <c r="AM115" s="283"/>
      <c r="AN115" s="283"/>
    </row>
    <row r="116" spans="1:40" ht="45" hidden="1" x14ac:dyDescent="0.25">
      <c r="A116" s="287"/>
      <c r="B116" s="276" t="s">
        <v>758</v>
      </c>
      <c r="C116" s="166" t="s">
        <v>849</v>
      </c>
      <c r="D116" s="428" t="s">
        <v>820</v>
      </c>
      <c r="E116" s="256" t="s">
        <v>666</v>
      </c>
      <c r="F116" s="256" t="s">
        <v>667</v>
      </c>
      <c r="G116" s="165" t="s">
        <v>777</v>
      </c>
      <c r="H116" s="165" t="s">
        <v>778</v>
      </c>
      <c r="I116" s="256" t="s">
        <v>779</v>
      </c>
      <c r="J116" s="287"/>
      <c r="K116" s="583" t="s">
        <v>856</v>
      </c>
      <c r="L116" s="428" t="s">
        <v>820</v>
      </c>
      <c r="M116" s="256" t="s">
        <v>666</v>
      </c>
      <c r="N116" s="256" t="s">
        <v>667</v>
      </c>
      <c r="O116" s="165" t="s">
        <v>777</v>
      </c>
      <c r="P116" s="165" t="s">
        <v>778</v>
      </c>
      <c r="Q116" s="256" t="s">
        <v>779</v>
      </c>
      <c r="R116" s="133"/>
      <c r="S116" s="133"/>
      <c r="T116" s="133"/>
      <c r="U116" s="133"/>
      <c r="V116" s="133"/>
      <c r="W116" s="133"/>
      <c r="X116" s="133"/>
      <c r="Y116" s="133"/>
      <c r="Z116" s="133"/>
      <c r="AJ116" s="283"/>
      <c r="AK116" s="283"/>
      <c r="AL116" s="283"/>
      <c r="AM116" s="283"/>
      <c r="AN116" s="283"/>
    </row>
    <row r="117" spans="1:40" hidden="1" x14ac:dyDescent="0.25">
      <c r="A117" s="287"/>
      <c r="B117" s="352"/>
      <c r="C117" s="149"/>
      <c r="D117" s="128"/>
      <c r="E117" s="128"/>
      <c r="F117" s="128"/>
      <c r="G117" s="128"/>
      <c r="H117" s="128"/>
      <c r="I117" s="128"/>
      <c r="J117" s="287"/>
      <c r="K117" s="289">
        <f>(C117*'Unit costs'!$N$121)/1000</f>
        <v>0</v>
      </c>
      <c r="L117" s="289">
        <f>(D117*'Unit costs'!$N$132)/1000</f>
        <v>0</v>
      </c>
      <c r="M117" s="289">
        <f>(E117*'Unit costs'!$N$132)/1000</f>
        <v>0</v>
      </c>
      <c r="N117" s="289">
        <f>(F117*'Unit costs'!$N$132)/1000</f>
        <v>0</v>
      </c>
      <c r="O117" s="289">
        <f>(G117*'Unit costs'!$N$132)/1000</f>
        <v>0</v>
      </c>
      <c r="P117" s="289">
        <f>(H117*'Unit costs'!$N$132)/1000</f>
        <v>0</v>
      </c>
      <c r="Q117" s="289">
        <f>(I117*'Unit costs'!$N$132)/1000</f>
        <v>0</v>
      </c>
      <c r="R117" s="133"/>
      <c r="S117" s="133"/>
      <c r="T117" s="133"/>
      <c r="U117" s="133"/>
      <c r="V117" s="133"/>
      <c r="W117" s="133"/>
      <c r="X117" s="133"/>
      <c r="Y117" s="133"/>
      <c r="Z117" s="133"/>
      <c r="AJ117" s="283"/>
      <c r="AK117" s="283"/>
      <c r="AL117" s="283"/>
      <c r="AM117" s="283"/>
      <c r="AN117" s="283"/>
    </row>
    <row r="118" spans="1:40" hidden="1" x14ac:dyDescent="0.25">
      <c r="A118" s="287"/>
      <c r="B118" s="352"/>
      <c r="C118" s="149"/>
      <c r="D118" s="128"/>
      <c r="E118" s="128"/>
      <c r="F118" s="128"/>
      <c r="G118" s="128"/>
      <c r="H118" s="128"/>
      <c r="I118" s="128"/>
      <c r="J118" s="287"/>
      <c r="K118" s="289">
        <f>(C118*'Unit costs'!$N$121)/1000</f>
        <v>0</v>
      </c>
      <c r="L118" s="289">
        <f>(D118*'Unit costs'!$N$132)/1000</f>
        <v>0</v>
      </c>
      <c r="M118" s="289">
        <f>(E118*'Unit costs'!$N$132)/1000</f>
        <v>0</v>
      </c>
      <c r="N118" s="289">
        <f>(F118*'Unit costs'!$N$132)/1000</f>
        <v>0</v>
      </c>
      <c r="O118" s="289">
        <f>(G118*'Unit costs'!$N$132)/1000</f>
        <v>0</v>
      </c>
      <c r="P118" s="289">
        <f>(H118*'Unit costs'!$N$132)/1000</f>
        <v>0</v>
      </c>
      <c r="Q118" s="289">
        <f>(I118*'Unit costs'!$N$132)/1000</f>
        <v>0</v>
      </c>
      <c r="R118" s="133"/>
      <c r="S118" s="133"/>
      <c r="T118" s="133"/>
      <c r="U118" s="133"/>
      <c r="V118" s="133"/>
      <c r="W118" s="133"/>
      <c r="X118" s="133"/>
      <c r="Y118" s="133"/>
      <c r="Z118" s="133"/>
      <c r="AJ118" s="283"/>
      <c r="AK118" s="283"/>
      <c r="AL118" s="283"/>
      <c r="AM118" s="283"/>
      <c r="AN118" s="283"/>
    </row>
    <row r="119" spans="1:40" hidden="1" x14ac:dyDescent="0.25">
      <c r="A119" s="287"/>
      <c r="B119" s="352"/>
      <c r="C119" s="149"/>
      <c r="D119" s="128"/>
      <c r="E119" s="128"/>
      <c r="F119" s="128"/>
      <c r="G119" s="128"/>
      <c r="H119" s="128"/>
      <c r="I119" s="128"/>
      <c r="J119" s="287"/>
      <c r="K119" s="289">
        <f>(C119*'Unit costs'!$N$121)/1000</f>
        <v>0</v>
      </c>
      <c r="L119" s="289">
        <f>(D119*'Unit costs'!$N$132)/1000</f>
        <v>0</v>
      </c>
      <c r="M119" s="289">
        <f>(E119*'Unit costs'!$N$132)/1000</f>
        <v>0</v>
      </c>
      <c r="N119" s="289">
        <f>(F119*'Unit costs'!$N$132)/1000</f>
        <v>0</v>
      </c>
      <c r="O119" s="289">
        <f>(G119*'Unit costs'!$N$132)/1000</f>
        <v>0</v>
      </c>
      <c r="P119" s="289">
        <f>(H119*'Unit costs'!$N$132)/1000</f>
        <v>0</v>
      </c>
      <c r="Q119" s="289">
        <f>(I119*'Unit costs'!$N$132)/1000</f>
        <v>0</v>
      </c>
      <c r="R119" s="133"/>
      <c r="S119" s="133"/>
      <c r="T119" s="133"/>
      <c r="U119" s="133"/>
      <c r="V119" s="133"/>
      <c r="W119" s="133"/>
      <c r="X119" s="133"/>
      <c r="Y119" s="133"/>
      <c r="Z119" s="133"/>
      <c r="AJ119" s="283"/>
      <c r="AK119" s="283"/>
      <c r="AL119" s="283"/>
      <c r="AM119" s="283"/>
      <c r="AN119" s="283"/>
    </row>
    <row r="120" spans="1:40" hidden="1" x14ac:dyDescent="0.25">
      <c r="A120" s="287"/>
      <c r="B120" s="280"/>
      <c r="C120" s="206"/>
      <c r="D120" s="186">
        <f t="shared" ref="D120:I120" si="59">SUM(D117:D119)</f>
        <v>0</v>
      </c>
      <c r="E120" s="186">
        <f t="shared" si="59"/>
        <v>0</v>
      </c>
      <c r="F120" s="186">
        <f t="shared" si="59"/>
        <v>0</v>
      </c>
      <c r="G120" s="186">
        <f t="shared" si="59"/>
        <v>0</v>
      </c>
      <c r="H120" s="186">
        <f t="shared" si="59"/>
        <v>0</v>
      </c>
      <c r="I120" s="186">
        <f t="shared" si="59"/>
        <v>0</v>
      </c>
      <c r="J120" s="287"/>
      <c r="K120" s="290">
        <f>SUM(K117:K119)</f>
        <v>0</v>
      </c>
      <c r="L120" s="290">
        <f>SUM(L117:L119)</f>
        <v>0</v>
      </c>
      <c r="M120" s="290">
        <f t="shared" ref="M120:Q120" si="60">SUM(M117:M119)</f>
        <v>0</v>
      </c>
      <c r="N120" s="290">
        <f t="shared" si="60"/>
        <v>0</v>
      </c>
      <c r="O120" s="290">
        <f t="shared" si="60"/>
        <v>0</v>
      </c>
      <c r="P120" s="290">
        <f t="shared" si="60"/>
        <v>0</v>
      </c>
      <c r="Q120" s="290">
        <f t="shared" si="60"/>
        <v>0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3"/>
      <c r="AK120" s="283"/>
      <c r="AL120" s="283"/>
      <c r="AM120" s="283"/>
      <c r="AN120" s="283"/>
    </row>
    <row r="121" spans="1:40" hidden="1" x14ac:dyDescent="0.25">
      <c r="A121" s="287"/>
      <c r="B121" s="305"/>
      <c r="C121" s="257"/>
      <c r="D121" s="282" t="s">
        <v>811</v>
      </c>
      <c r="E121" s="186">
        <f>E120-$D$120</f>
        <v>0</v>
      </c>
      <c r="F121" s="186">
        <f>F120-$D$120</f>
        <v>0</v>
      </c>
      <c r="G121" s="186">
        <f>G120-$D$120</f>
        <v>0</v>
      </c>
      <c r="H121" s="186">
        <f>H120-$D$120</f>
        <v>0</v>
      </c>
      <c r="I121" s="186">
        <f>I120-$D$120</f>
        <v>0</v>
      </c>
      <c r="J121" s="287"/>
      <c r="K121" s="287"/>
      <c r="L121" s="567"/>
      <c r="M121" s="290">
        <f>M120-$L$120</f>
        <v>0</v>
      </c>
      <c r="N121" s="290">
        <f t="shared" ref="N121:Q121" si="61">N120-$L$120</f>
        <v>0</v>
      </c>
      <c r="O121" s="290">
        <f t="shared" si="61"/>
        <v>0</v>
      </c>
      <c r="P121" s="290">
        <f t="shared" si="61"/>
        <v>0</v>
      </c>
      <c r="Q121" s="290">
        <f t="shared" si="61"/>
        <v>0</v>
      </c>
      <c r="V121" s="133"/>
    </row>
    <row r="122" spans="1:40" hidden="1" x14ac:dyDescent="0.25">
      <c r="A122" s="287"/>
      <c r="B122" s="329"/>
      <c r="C122" s="222"/>
      <c r="D122" s="222"/>
      <c r="E122" s="222"/>
      <c r="F122" s="222"/>
      <c r="G122" s="222"/>
      <c r="H122" s="222"/>
      <c r="I122" s="222"/>
      <c r="J122" s="287"/>
      <c r="K122" s="287"/>
      <c r="L122" s="222"/>
      <c r="M122" s="222"/>
      <c r="N122" s="222"/>
      <c r="O122" s="222"/>
      <c r="P122" s="222"/>
      <c r="Q122" s="222"/>
      <c r="V122" s="133"/>
    </row>
    <row r="123" spans="1:40" hidden="1" x14ac:dyDescent="0.25">
      <c r="A123" s="287"/>
      <c r="B123" s="403" t="s">
        <v>850</v>
      </c>
      <c r="C123" s="404"/>
      <c r="D123" s="404"/>
      <c r="E123" s="404"/>
      <c r="F123" s="404"/>
      <c r="G123" s="404"/>
      <c r="H123" s="404"/>
      <c r="I123" s="221"/>
      <c r="J123" s="287"/>
      <c r="K123" s="287"/>
      <c r="L123" s="222"/>
      <c r="M123" s="222"/>
      <c r="N123" s="222"/>
      <c r="O123" s="222"/>
      <c r="P123" s="222"/>
      <c r="Q123" s="222"/>
      <c r="R123" s="133"/>
      <c r="S123" s="133"/>
      <c r="T123" s="133"/>
      <c r="U123" s="133"/>
      <c r="V123" s="133"/>
      <c r="W123" s="133"/>
      <c r="X123" s="133"/>
      <c r="Y123" s="133"/>
      <c r="Z123" s="133"/>
      <c r="AJ123" s="283"/>
      <c r="AK123" s="283"/>
      <c r="AL123" s="283"/>
      <c r="AM123" s="283"/>
      <c r="AN123" s="283"/>
    </row>
    <row r="124" spans="1:40" ht="60" hidden="1" x14ac:dyDescent="0.25">
      <c r="A124" s="287"/>
      <c r="B124" s="276" t="s">
        <v>758</v>
      </c>
      <c r="C124" s="166" t="s">
        <v>851</v>
      </c>
      <c r="D124" s="428" t="s">
        <v>820</v>
      </c>
      <c r="E124" s="256" t="s">
        <v>666</v>
      </c>
      <c r="F124" s="256" t="s">
        <v>667</v>
      </c>
      <c r="G124" s="165" t="s">
        <v>777</v>
      </c>
      <c r="H124" s="165" t="s">
        <v>778</v>
      </c>
      <c r="I124" s="256" t="s">
        <v>779</v>
      </c>
      <c r="J124" s="287"/>
      <c r="K124" s="287"/>
      <c r="L124" s="222"/>
      <c r="M124" s="222"/>
      <c r="N124" s="222"/>
      <c r="O124" s="222"/>
      <c r="P124" s="222"/>
      <c r="Q124" s="222"/>
      <c r="R124" s="133"/>
      <c r="S124" s="133"/>
      <c r="T124" s="133"/>
      <c r="U124" s="133"/>
      <c r="V124" s="133"/>
      <c r="W124" s="133"/>
      <c r="X124" s="133"/>
      <c r="Y124" s="133"/>
      <c r="Z124" s="133"/>
      <c r="AJ124" s="283"/>
      <c r="AK124" s="283"/>
      <c r="AL124" s="283"/>
      <c r="AM124" s="283"/>
      <c r="AN124" s="283"/>
    </row>
    <row r="125" spans="1:40" hidden="1" x14ac:dyDescent="0.25">
      <c r="A125" s="287"/>
      <c r="B125" s="352"/>
      <c r="C125" s="149"/>
      <c r="D125" s="128"/>
      <c r="E125" s="128"/>
      <c r="F125" s="128"/>
      <c r="G125" s="128"/>
      <c r="H125" s="128"/>
      <c r="I125" s="128"/>
      <c r="J125" s="287"/>
      <c r="K125" s="287"/>
      <c r="L125" s="222"/>
      <c r="M125" s="222"/>
      <c r="N125" s="222"/>
      <c r="O125" s="222"/>
      <c r="P125" s="222"/>
      <c r="Q125" s="222"/>
      <c r="R125" s="133"/>
      <c r="S125" s="133"/>
      <c r="T125" s="133"/>
      <c r="U125" s="133"/>
      <c r="V125" s="133"/>
      <c r="W125" s="133"/>
      <c r="X125" s="133"/>
      <c r="Y125" s="133"/>
      <c r="Z125" s="133"/>
      <c r="AJ125" s="283"/>
      <c r="AK125" s="283"/>
      <c r="AL125" s="283"/>
      <c r="AM125" s="283"/>
      <c r="AN125" s="283"/>
    </row>
    <row r="126" spans="1:40" hidden="1" x14ac:dyDescent="0.25">
      <c r="A126" s="287"/>
      <c r="B126" s="352"/>
      <c r="C126" s="149"/>
      <c r="D126" s="128"/>
      <c r="E126" s="128"/>
      <c r="F126" s="128"/>
      <c r="G126" s="128"/>
      <c r="H126" s="128"/>
      <c r="I126" s="128"/>
      <c r="J126" s="287"/>
      <c r="K126" s="287"/>
      <c r="L126" s="222"/>
      <c r="M126" s="222"/>
      <c r="N126" s="222"/>
      <c r="O126" s="222"/>
      <c r="P126" s="222"/>
      <c r="Q126" s="222"/>
      <c r="R126" s="133"/>
      <c r="S126" s="133"/>
      <c r="T126" s="133"/>
      <c r="U126" s="133"/>
      <c r="V126" s="133"/>
      <c r="W126" s="133"/>
      <c r="X126" s="133"/>
      <c r="Y126" s="133"/>
      <c r="Z126" s="133"/>
      <c r="AJ126" s="283"/>
      <c r="AK126" s="283"/>
      <c r="AL126" s="283"/>
      <c r="AM126" s="283"/>
      <c r="AN126" s="283"/>
    </row>
    <row r="127" spans="1:40" hidden="1" x14ac:dyDescent="0.25">
      <c r="A127" s="287"/>
      <c r="B127" s="352"/>
      <c r="C127" s="149"/>
      <c r="D127" s="128"/>
      <c r="E127" s="128"/>
      <c r="F127" s="128"/>
      <c r="G127" s="128"/>
      <c r="H127" s="128"/>
      <c r="I127" s="128"/>
      <c r="J127" s="287"/>
      <c r="K127" s="287"/>
      <c r="L127" s="222"/>
      <c r="M127" s="222"/>
      <c r="N127" s="222"/>
      <c r="O127" s="222"/>
      <c r="P127" s="222"/>
      <c r="Q127" s="222"/>
      <c r="R127" s="133"/>
      <c r="S127" s="133"/>
      <c r="T127" s="133"/>
      <c r="U127" s="133"/>
      <c r="V127" s="133"/>
      <c r="W127" s="133"/>
      <c r="X127" s="133"/>
      <c r="Y127" s="133"/>
      <c r="Z127" s="133"/>
      <c r="AJ127" s="283"/>
      <c r="AK127" s="283"/>
      <c r="AL127" s="283"/>
      <c r="AM127" s="283"/>
      <c r="AN127" s="283"/>
    </row>
    <row r="128" spans="1:40" hidden="1" x14ac:dyDescent="0.25">
      <c r="A128" s="287"/>
      <c r="B128" s="280"/>
      <c r="C128" s="206"/>
      <c r="D128" s="186">
        <f t="shared" ref="D128:I128" si="62">SUM(D125:D127)</f>
        <v>0</v>
      </c>
      <c r="E128" s="186">
        <f t="shared" si="62"/>
        <v>0</v>
      </c>
      <c r="F128" s="186">
        <f t="shared" si="62"/>
        <v>0</v>
      </c>
      <c r="G128" s="186">
        <f t="shared" si="62"/>
        <v>0</v>
      </c>
      <c r="H128" s="186">
        <f t="shared" si="62"/>
        <v>0</v>
      </c>
      <c r="I128" s="186">
        <f t="shared" si="62"/>
        <v>0</v>
      </c>
      <c r="J128" s="287"/>
      <c r="K128" s="287"/>
      <c r="L128" s="222"/>
      <c r="M128" s="222"/>
      <c r="N128" s="222"/>
      <c r="O128" s="222"/>
      <c r="P128" s="222"/>
      <c r="Q128" s="222"/>
      <c r="R128" s="133"/>
      <c r="S128" s="133"/>
      <c r="T128" s="133"/>
      <c r="U128" s="133"/>
      <c r="V128" s="133"/>
      <c r="W128" s="133"/>
      <c r="X128" s="133"/>
      <c r="Y128" s="133"/>
      <c r="Z128" s="133"/>
      <c r="AJ128" s="283"/>
      <c r="AK128" s="283"/>
      <c r="AL128" s="283"/>
      <c r="AM128" s="283"/>
      <c r="AN128" s="283"/>
    </row>
    <row r="129" spans="1:40" hidden="1" x14ac:dyDescent="0.25">
      <c r="A129" s="287"/>
      <c r="B129" s="305"/>
      <c r="C129" s="257"/>
      <c r="D129" s="282" t="s">
        <v>812</v>
      </c>
      <c r="E129" s="186">
        <f>E128-$D$128</f>
        <v>0</v>
      </c>
      <c r="F129" s="186">
        <f>F128-$D$128</f>
        <v>0</v>
      </c>
      <c r="G129" s="186">
        <f>G128-$D$128</f>
        <v>0</v>
      </c>
      <c r="H129" s="186">
        <f>H128-$D$128</f>
        <v>0</v>
      </c>
      <c r="I129" s="186">
        <f>I128-$D$128</f>
        <v>0</v>
      </c>
      <c r="J129" s="287"/>
      <c r="K129" s="287"/>
      <c r="L129" s="222"/>
      <c r="M129" s="222"/>
      <c r="N129" s="222"/>
      <c r="O129" s="222"/>
      <c r="P129" s="222"/>
      <c r="Q129" s="222"/>
      <c r="V129" s="133"/>
    </row>
    <row r="130" spans="1:40" hidden="1" x14ac:dyDescent="0.25">
      <c r="A130" s="287"/>
      <c r="B130" s="329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V130" s="133"/>
    </row>
    <row r="131" spans="1:40" hidden="1" x14ac:dyDescent="0.25">
      <c r="A131" s="287"/>
      <c r="B131" s="403" t="s">
        <v>852</v>
      </c>
      <c r="C131" s="404"/>
      <c r="D131" s="404"/>
      <c r="E131" s="404"/>
      <c r="F131" s="404"/>
      <c r="G131" s="404"/>
      <c r="H131" s="404"/>
      <c r="I131" s="221"/>
      <c r="J131" s="222"/>
      <c r="K131" s="222"/>
      <c r="L131" s="222"/>
      <c r="M131" s="222"/>
      <c r="N131" s="222"/>
      <c r="O131" s="222"/>
      <c r="P131" s="222"/>
      <c r="Q131" s="222"/>
      <c r="R131" s="133"/>
      <c r="S131" s="133"/>
      <c r="T131" s="133"/>
      <c r="U131" s="133"/>
      <c r="V131" s="133"/>
      <c r="W131" s="133"/>
      <c r="X131" s="133"/>
      <c r="Y131" s="133"/>
      <c r="Z131" s="133"/>
      <c r="AJ131" s="283"/>
      <c r="AK131" s="283"/>
      <c r="AL131" s="283"/>
      <c r="AM131" s="283"/>
      <c r="AN131" s="283"/>
    </row>
    <row r="132" spans="1:40" ht="45" hidden="1" x14ac:dyDescent="0.25">
      <c r="A132" s="287"/>
      <c r="B132" s="276" t="s">
        <v>758</v>
      </c>
      <c r="C132" s="166" t="s">
        <v>852</v>
      </c>
      <c r="D132" s="428" t="s">
        <v>820</v>
      </c>
      <c r="E132" s="256" t="s">
        <v>666</v>
      </c>
      <c r="F132" s="256" t="s">
        <v>667</v>
      </c>
      <c r="G132" s="165" t="s">
        <v>777</v>
      </c>
      <c r="H132" s="165" t="s">
        <v>778</v>
      </c>
      <c r="I132" s="256" t="s">
        <v>779</v>
      </c>
      <c r="J132" s="287"/>
      <c r="K132" s="287"/>
      <c r="L132" s="222"/>
      <c r="M132" s="222"/>
      <c r="N132" s="222"/>
      <c r="O132" s="222"/>
      <c r="P132" s="222"/>
      <c r="Q132" s="222"/>
      <c r="R132" s="133"/>
      <c r="S132" s="133"/>
      <c r="T132" s="133"/>
      <c r="U132" s="133"/>
      <c r="V132" s="133"/>
      <c r="W132" s="133"/>
      <c r="X132" s="133"/>
      <c r="Y132" s="133"/>
      <c r="Z132" s="133"/>
      <c r="AJ132" s="283"/>
      <c r="AK132" s="283"/>
      <c r="AL132" s="283"/>
      <c r="AM132" s="283"/>
      <c r="AN132" s="283"/>
    </row>
    <row r="133" spans="1:40" hidden="1" x14ac:dyDescent="0.25">
      <c r="A133" s="287"/>
      <c r="B133" s="352"/>
      <c r="C133" s="149"/>
      <c r="D133" s="128"/>
      <c r="E133" s="128"/>
      <c r="F133" s="128"/>
      <c r="G133" s="128"/>
      <c r="H133" s="128"/>
      <c r="I133" s="128"/>
      <c r="J133" s="287"/>
      <c r="K133" s="287"/>
      <c r="L133" s="222"/>
      <c r="M133" s="222"/>
      <c r="N133" s="222"/>
      <c r="O133" s="222"/>
      <c r="P133" s="222"/>
      <c r="Q133" s="222"/>
      <c r="R133" s="133"/>
      <c r="S133" s="133"/>
      <c r="T133" s="133"/>
      <c r="U133" s="133"/>
      <c r="V133" s="133"/>
      <c r="W133" s="133"/>
      <c r="X133" s="133"/>
      <c r="Y133" s="133"/>
      <c r="Z133" s="133"/>
      <c r="AJ133" s="283"/>
      <c r="AK133" s="283"/>
      <c r="AL133" s="283"/>
      <c r="AM133" s="283"/>
      <c r="AN133" s="283"/>
    </row>
    <row r="134" spans="1:40" hidden="1" x14ac:dyDescent="0.25">
      <c r="A134" s="287"/>
      <c r="B134" s="352"/>
      <c r="C134" s="149"/>
      <c r="D134" s="128"/>
      <c r="E134" s="128"/>
      <c r="F134" s="128"/>
      <c r="G134" s="128"/>
      <c r="H134" s="128"/>
      <c r="I134" s="128"/>
      <c r="J134" s="287"/>
      <c r="K134" s="287"/>
      <c r="L134" s="222"/>
      <c r="M134" s="222"/>
      <c r="N134" s="222"/>
      <c r="O134" s="222"/>
      <c r="P134" s="222"/>
      <c r="Q134" s="222"/>
      <c r="R134" s="133"/>
      <c r="S134" s="133"/>
      <c r="T134" s="133"/>
      <c r="U134" s="133"/>
      <c r="V134" s="133"/>
      <c r="W134" s="133"/>
      <c r="X134" s="133"/>
      <c r="Y134" s="133"/>
      <c r="Z134" s="133"/>
      <c r="AJ134" s="283"/>
      <c r="AK134" s="283"/>
      <c r="AL134" s="283"/>
      <c r="AM134" s="283"/>
      <c r="AN134" s="283"/>
    </row>
    <row r="135" spans="1:40" hidden="1" x14ac:dyDescent="0.25">
      <c r="A135" s="287"/>
      <c r="B135" s="352"/>
      <c r="C135" s="149"/>
      <c r="D135" s="128"/>
      <c r="E135" s="128"/>
      <c r="F135" s="128"/>
      <c r="G135" s="128"/>
      <c r="H135" s="128"/>
      <c r="I135" s="128"/>
      <c r="J135" s="287"/>
      <c r="K135" s="287"/>
      <c r="L135" s="222"/>
      <c r="M135" s="222"/>
      <c r="N135" s="222"/>
      <c r="O135" s="222"/>
      <c r="P135" s="222"/>
      <c r="Q135" s="222"/>
      <c r="R135" s="133"/>
      <c r="S135" s="133"/>
      <c r="T135" s="133"/>
      <c r="U135" s="133"/>
      <c r="V135" s="133"/>
      <c r="W135" s="133"/>
      <c r="X135" s="133"/>
      <c r="Y135" s="133"/>
      <c r="Z135" s="133"/>
      <c r="AJ135" s="283"/>
      <c r="AK135" s="283"/>
      <c r="AL135" s="283"/>
      <c r="AM135" s="283"/>
      <c r="AN135" s="283"/>
    </row>
    <row r="136" spans="1:40" hidden="1" x14ac:dyDescent="0.25">
      <c r="A136" s="287"/>
      <c r="B136" s="280"/>
      <c r="C136" s="206"/>
      <c r="D136" s="186">
        <f t="shared" ref="D136:I136" si="63">SUM(D133:D135)</f>
        <v>0</v>
      </c>
      <c r="E136" s="186">
        <f t="shared" si="63"/>
        <v>0</v>
      </c>
      <c r="F136" s="186">
        <f t="shared" si="63"/>
        <v>0</v>
      </c>
      <c r="G136" s="186">
        <f t="shared" si="63"/>
        <v>0</v>
      </c>
      <c r="H136" s="186">
        <f t="shared" si="63"/>
        <v>0</v>
      </c>
      <c r="I136" s="186">
        <f t="shared" si="63"/>
        <v>0</v>
      </c>
      <c r="J136" s="287"/>
      <c r="K136" s="287"/>
      <c r="L136" s="222"/>
      <c r="M136" s="222"/>
      <c r="N136" s="222"/>
      <c r="O136" s="222"/>
      <c r="P136" s="222"/>
      <c r="Q136" s="222"/>
      <c r="R136" s="133"/>
      <c r="S136" s="133"/>
      <c r="T136" s="133"/>
      <c r="U136" s="133"/>
      <c r="V136" s="133"/>
      <c r="W136" s="133"/>
      <c r="X136" s="133"/>
      <c r="Y136" s="133"/>
      <c r="Z136" s="133"/>
      <c r="AJ136" s="283"/>
      <c r="AK136" s="283"/>
      <c r="AL136" s="283"/>
      <c r="AM136" s="283"/>
      <c r="AN136" s="283"/>
    </row>
    <row r="137" spans="1:40" hidden="1" x14ac:dyDescent="0.25">
      <c r="A137" s="287"/>
      <c r="B137" s="305"/>
      <c r="C137" s="257"/>
      <c r="D137" s="282" t="s">
        <v>813</v>
      </c>
      <c r="E137" s="186">
        <f>E136-$D$136</f>
        <v>0</v>
      </c>
      <c r="F137" s="186">
        <f>F136-$D$136</f>
        <v>0</v>
      </c>
      <c r="G137" s="186">
        <f>G136-$D$136</f>
        <v>0</v>
      </c>
      <c r="H137" s="186">
        <f>H136-$D$136</f>
        <v>0</v>
      </c>
      <c r="I137" s="186">
        <f>I136-$D$136</f>
        <v>0</v>
      </c>
      <c r="J137" s="287"/>
      <c r="K137" s="287"/>
      <c r="L137" s="222"/>
      <c r="M137" s="222"/>
      <c r="N137" s="222"/>
      <c r="O137" s="222"/>
      <c r="P137" s="222"/>
      <c r="Q137" s="222"/>
      <c r="V137" s="133"/>
    </row>
    <row r="138" spans="1:40" hidden="1" x14ac:dyDescent="0.25">
      <c r="A138" s="287"/>
      <c r="B138" s="287"/>
      <c r="C138" s="222"/>
      <c r="D138" s="287"/>
      <c r="E138" s="287"/>
      <c r="F138" s="287"/>
      <c r="G138" s="287"/>
      <c r="H138" s="287"/>
      <c r="I138" s="222"/>
      <c r="J138" s="222"/>
      <c r="K138" s="222"/>
      <c r="L138" s="222"/>
      <c r="M138" s="222"/>
      <c r="N138" s="222"/>
      <c r="O138" s="222"/>
      <c r="P138" s="222"/>
      <c r="Q138" s="222"/>
      <c r="V138" s="133"/>
    </row>
    <row r="139" spans="1:40" hidden="1" x14ac:dyDescent="0.25">
      <c r="A139" s="287"/>
      <c r="B139" s="403" t="s">
        <v>853</v>
      </c>
      <c r="C139" s="404"/>
      <c r="D139" s="404"/>
      <c r="E139" s="404"/>
      <c r="F139" s="404"/>
      <c r="G139" s="404"/>
      <c r="H139" s="404"/>
      <c r="I139" s="221"/>
      <c r="J139" s="222"/>
      <c r="K139" s="222"/>
      <c r="L139" s="437"/>
      <c r="M139" s="437"/>
      <c r="N139" s="437"/>
      <c r="O139" s="437"/>
      <c r="P139" s="437"/>
      <c r="Q139" s="437"/>
      <c r="V139" s="133"/>
    </row>
    <row r="140" spans="1:40" ht="75" hidden="1" x14ac:dyDescent="0.25">
      <c r="A140" s="287"/>
      <c r="B140" s="276" t="s">
        <v>758</v>
      </c>
      <c r="C140" s="166" t="s">
        <v>854</v>
      </c>
      <c r="D140" s="428" t="s">
        <v>820</v>
      </c>
      <c r="E140" s="256" t="s">
        <v>666</v>
      </c>
      <c r="F140" s="256" t="s">
        <v>667</v>
      </c>
      <c r="G140" s="165" t="s">
        <v>777</v>
      </c>
      <c r="H140" s="165" t="s">
        <v>778</v>
      </c>
      <c r="I140" s="256" t="s">
        <v>779</v>
      </c>
      <c r="J140" s="287"/>
      <c r="K140" s="583" t="s">
        <v>856</v>
      </c>
      <c r="L140" s="428" t="s">
        <v>820</v>
      </c>
      <c r="M140" s="256" t="s">
        <v>666</v>
      </c>
      <c r="N140" s="256" t="s">
        <v>667</v>
      </c>
      <c r="O140" s="165" t="s">
        <v>777</v>
      </c>
      <c r="P140" s="165" t="s">
        <v>778</v>
      </c>
      <c r="Q140" s="256" t="s">
        <v>779</v>
      </c>
      <c r="V140" s="133"/>
    </row>
    <row r="141" spans="1:40" hidden="1" x14ac:dyDescent="0.25">
      <c r="A141" s="287"/>
      <c r="B141" s="352"/>
      <c r="C141" s="149"/>
      <c r="D141" s="128"/>
      <c r="E141" s="128"/>
      <c r="F141" s="128"/>
      <c r="G141" s="128"/>
      <c r="H141" s="128"/>
      <c r="I141" s="128"/>
      <c r="J141" s="287"/>
      <c r="K141" s="289">
        <f>(C141*'Unit costs'!$N$121)/1000</f>
        <v>0</v>
      </c>
      <c r="L141" s="289">
        <f>(D141*C141*'Inputs and eligible population'!$F$118/60*'Inputs and eligible population'!$Q$118)/1000</f>
        <v>0</v>
      </c>
      <c r="M141" s="289">
        <f>(E141*D141*'Inputs and eligible population'!$F$118/60*'Inputs and eligible population'!$Q$118)/1000</f>
        <v>0</v>
      </c>
      <c r="N141" s="289">
        <f>(F141*E141*'Inputs and eligible population'!$F$118/60*'Inputs and eligible population'!$Q$118)/1000</f>
        <v>0</v>
      </c>
      <c r="O141" s="289">
        <f>(G141*F141*'Inputs and eligible population'!$F$118/60*'Inputs and eligible population'!$Q$118)/1000</f>
        <v>0</v>
      </c>
      <c r="P141" s="289">
        <f>(H141*G141*'Inputs and eligible population'!$F$118/60*'Inputs and eligible population'!$Q$118)/1000</f>
        <v>0</v>
      </c>
      <c r="Q141" s="289">
        <f>(I141*H141*'Inputs and eligible population'!$F$118/60*'Inputs and eligible population'!$Q$118)/1000</f>
        <v>0</v>
      </c>
      <c r="V141" s="133"/>
    </row>
    <row r="142" spans="1:40" hidden="1" x14ac:dyDescent="0.25">
      <c r="A142" s="287"/>
      <c r="B142" s="352"/>
      <c r="C142" s="149"/>
      <c r="D142" s="128"/>
      <c r="E142" s="128"/>
      <c r="F142" s="128"/>
      <c r="G142" s="128"/>
      <c r="H142" s="128"/>
      <c r="I142" s="128"/>
      <c r="J142" s="287"/>
      <c r="K142" s="289">
        <f>(C142*'Unit costs'!$N$121)/1000</f>
        <v>0</v>
      </c>
      <c r="L142" s="289">
        <f>(D142*C142*'Inputs and eligible population'!$G$118/60*'Inputs and eligible population'!$Q$118)/1000</f>
        <v>0</v>
      </c>
      <c r="M142" s="289">
        <f>(E142*D142*'Inputs and eligible population'!$G$118/60*'Inputs and eligible population'!$Q$118)/1000</f>
        <v>0</v>
      </c>
      <c r="N142" s="289">
        <f>(F142*E142*'Inputs and eligible population'!$G$118/60*'Inputs and eligible population'!$Q$118)/1000</f>
        <v>0</v>
      </c>
      <c r="O142" s="289">
        <f>(G142*F142*'Inputs and eligible population'!$G$118/60*'Inputs and eligible population'!$Q$118)/1000</f>
        <v>0</v>
      </c>
      <c r="P142" s="289">
        <f>(H142*G142*'Inputs and eligible population'!$G$118/60*'Inputs and eligible population'!$Q$118)/1000</f>
        <v>0</v>
      </c>
      <c r="Q142" s="289">
        <f>(I142*H142*'Inputs and eligible population'!$G$118/60*'Inputs and eligible population'!$Q$118)/1000</f>
        <v>0</v>
      </c>
      <c r="V142" s="133"/>
    </row>
    <row r="143" spans="1:40" hidden="1" x14ac:dyDescent="0.25">
      <c r="A143" s="287"/>
      <c r="B143" s="352"/>
      <c r="C143" s="149"/>
      <c r="D143" s="128"/>
      <c r="E143" s="128"/>
      <c r="F143" s="128"/>
      <c r="G143" s="128"/>
      <c r="H143" s="128"/>
      <c r="I143" s="128"/>
      <c r="J143" s="287"/>
      <c r="K143" s="289">
        <f>(C143*'Unit costs'!$N$121)/1000</f>
        <v>0</v>
      </c>
      <c r="L143" s="289">
        <f>(D143*C143*'Inputs and eligible population'!$H$118/60*'Inputs and eligible population'!$Q$118)/1000</f>
        <v>0</v>
      </c>
      <c r="M143" s="289">
        <f>(E143*D143*'Inputs and eligible population'!$H$118/60*'Inputs and eligible population'!$Q$118)/1000</f>
        <v>0</v>
      </c>
      <c r="N143" s="289">
        <f>(F143*E143*'Inputs and eligible population'!$H$118/60*'Inputs and eligible population'!$Q$118)/1000</f>
        <v>0</v>
      </c>
      <c r="O143" s="289">
        <f>(G143*F143*'Inputs and eligible population'!$H$118/60*'Inputs and eligible population'!$Q$118)/1000</f>
        <v>0</v>
      </c>
      <c r="P143" s="289">
        <f>(H143*G143*'Inputs and eligible population'!$H$118/60*'Inputs and eligible population'!$Q$118)/1000</f>
        <v>0</v>
      </c>
      <c r="Q143" s="289">
        <f>(I143*H143*'Inputs and eligible population'!$H$118/60*'Inputs and eligible population'!$Q$118)/1000</f>
        <v>0</v>
      </c>
      <c r="V143" s="133"/>
    </row>
    <row r="144" spans="1:40" hidden="1" x14ac:dyDescent="0.25">
      <c r="A144" s="287"/>
      <c r="B144" s="280"/>
      <c r="C144" s="206"/>
      <c r="D144" s="186">
        <f t="shared" ref="D144:I144" si="64">SUM(D141:D143)</f>
        <v>0</v>
      </c>
      <c r="E144" s="186">
        <f t="shared" si="64"/>
        <v>0</v>
      </c>
      <c r="F144" s="186">
        <f t="shared" si="64"/>
        <v>0</v>
      </c>
      <c r="G144" s="186">
        <f t="shared" si="64"/>
        <v>0</v>
      </c>
      <c r="H144" s="186">
        <f t="shared" si="64"/>
        <v>0</v>
      </c>
      <c r="I144" s="186">
        <f t="shared" si="64"/>
        <v>0</v>
      </c>
      <c r="J144" s="287"/>
      <c r="K144" s="290">
        <f>SUM(K141:K143)</f>
        <v>0</v>
      </c>
      <c r="L144" s="290">
        <f>SUM(L141:L143)</f>
        <v>0</v>
      </c>
      <c r="M144" s="290">
        <f t="shared" ref="M144:Q144" si="65">SUM(M141:M143)</f>
        <v>0</v>
      </c>
      <c r="N144" s="290">
        <f t="shared" si="65"/>
        <v>0</v>
      </c>
      <c r="O144" s="290">
        <f t="shared" si="65"/>
        <v>0</v>
      </c>
      <c r="P144" s="290">
        <f t="shared" si="65"/>
        <v>0</v>
      </c>
      <c r="Q144" s="290">
        <f t="shared" si="65"/>
        <v>0</v>
      </c>
      <c r="V144" s="133"/>
    </row>
    <row r="145" spans="1:40" hidden="1" x14ac:dyDescent="0.25">
      <c r="A145" s="287"/>
      <c r="B145" s="305"/>
      <c r="C145" s="257"/>
      <c r="D145" s="282" t="s">
        <v>860</v>
      </c>
      <c r="E145" s="186">
        <f>E144-$D$144</f>
        <v>0</v>
      </c>
      <c r="F145" s="186">
        <f>F144-$D$144</f>
        <v>0</v>
      </c>
      <c r="G145" s="186">
        <f>G144-$D$144</f>
        <v>0</v>
      </c>
      <c r="H145" s="186">
        <f>H144-$D$144</f>
        <v>0</v>
      </c>
      <c r="I145" s="186">
        <f>I144-$D$144</f>
        <v>0</v>
      </c>
      <c r="J145" s="287"/>
      <c r="K145" s="287"/>
      <c r="L145" s="567"/>
      <c r="M145" s="290">
        <f>M144-$L$144</f>
        <v>0</v>
      </c>
      <c r="N145" s="290">
        <f t="shared" ref="N145:Q145" si="66">N144-$L$144</f>
        <v>0</v>
      </c>
      <c r="O145" s="290">
        <f t="shared" si="66"/>
        <v>0</v>
      </c>
      <c r="P145" s="290">
        <f t="shared" si="66"/>
        <v>0</v>
      </c>
      <c r="Q145" s="290">
        <f t="shared" si="66"/>
        <v>0</v>
      </c>
      <c r="V145" s="133"/>
    </row>
    <row r="146" spans="1:40" hidden="1" x14ac:dyDescent="0.25">
      <c r="A146" s="287"/>
      <c r="B146" s="287"/>
      <c r="C146" s="222"/>
      <c r="D146" s="287"/>
      <c r="E146" s="287"/>
      <c r="F146" s="287"/>
      <c r="G146" s="287"/>
      <c r="H146" s="287"/>
      <c r="I146" s="222"/>
      <c r="J146" s="222"/>
      <c r="K146" s="222"/>
      <c r="L146" s="222"/>
      <c r="M146" s="222"/>
      <c r="N146" s="222"/>
      <c r="O146" s="222"/>
      <c r="P146" s="222"/>
      <c r="Q146" s="222"/>
      <c r="V146" s="133"/>
    </row>
    <row r="147" spans="1:40" hidden="1" x14ac:dyDescent="0.25">
      <c r="A147" s="288"/>
      <c r="B147" s="330" t="s">
        <v>719</v>
      </c>
      <c r="C147" s="315"/>
      <c r="D147" s="316"/>
      <c r="E147" s="317"/>
      <c r="F147" s="318"/>
      <c r="G147" s="318"/>
      <c r="H147" s="318"/>
      <c r="I147" s="438"/>
      <c r="J147" s="446"/>
      <c r="K147" s="288"/>
      <c r="L147" s="288"/>
      <c r="M147" s="288"/>
      <c r="N147" s="288"/>
      <c r="O147" s="288"/>
      <c r="P147" s="288"/>
      <c r="Q147" s="288"/>
      <c r="R147" s="133"/>
      <c r="S147" s="133"/>
      <c r="T147" s="133"/>
      <c r="U147" s="133"/>
      <c r="V147" s="133"/>
      <c r="W147" s="133"/>
      <c r="X147" s="133"/>
      <c r="Y147" s="133"/>
      <c r="Z147" s="133"/>
      <c r="AJ147" s="283"/>
      <c r="AK147" s="283"/>
      <c r="AL147" s="283"/>
      <c r="AM147" s="283"/>
      <c r="AN147" s="283"/>
    </row>
    <row r="148" spans="1:40" hidden="1" x14ac:dyDescent="0.25">
      <c r="A148" s="288"/>
      <c r="B148" s="405" t="s">
        <v>855</v>
      </c>
      <c r="C148" s="406"/>
      <c r="D148" s="406"/>
      <c r="E148" s="406"/>
      <c r="F148" s="406"/>
      <c r="G148" s="406"/>
      <c r="H148" s="406"/>
      <c r="I148" s="223"/>
      <c r="J148" s="444"/>
      <c r="K148" s="444"/>
      <c r="L148" s="445"/>
      <c r="M148" s="445"/>
      <c r="N148" s="445"/>
      <c r="O148" s="445"/>
      <c r="P148" s="445"/>
      <c r="Q148" s="445"/>
      <c r="R148" s="133"/>
      <c r="S148" s="133"/>
      <c r="T148" s="133"/>
      <c r="U148" s="133"/>
      <c r="V148" s="133"/>
      <c r="W148" s="133"/>
      <c r="X148" s="133"/>
      <c r="Y148" s="133"/>
      <c r="Z148" s="133"/>
      <c r="AJ148" s="283"/>
      <c r="AK148" s="283"/>
      <c r="AL148" s="283"/>
      <c r="AM148" s="283"/>
      <c r="AN148" s="283"/>
    </row>
    <row r="149" spans="1:40" ht="45" hidden="1" x14ac:dyDescent="0.25">
      <c r="A149" s="288"/>
      <c r="B149" s="276" t="s">
        <v>758</v>
      </c>
      <c r="C149" s="208"/>
      <c r="D149" s="428" t="s">
        <v>820</v>
      </c>
      <c r="E149" s="256" t="s">
        <v>666</v>
      </c>
      <c r="F149" s="256" t="s">
        <v>667</v>
      </c>
      <c r="G149" s="165" t="s">
        <v>777</v>
      </c>
      <c r="H149" s="165" t="s">
        <v>778</v>
      </c>
      <c r="I149" s="256" t="s">
        <v>779</v>
      </c>
      <c r="J149" s="288"/>
      <c r="K149" s="583" t="s">
        <v>856</v>
      </c>
      <c r="L149" s="428" t="s">
        <v>820</v>
      </c>
      <c r="M149" s="256" t="s">
        <v>666</v>
      </c>
      <c r="N149" s="256" t="s">
        <v>667</v>
      </c>
      <c r="O149" s="165" t="s">
        <v>777</v>
      </c>
      <c r="P149" s="165" t="s">
        <v>778</v>
      </c>
      <c r="Q149" s="256" t="s">
        <v>779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83"/>
      <c r="AK149" s="283"/>
      <c r="AL149" s="283"/>
      <c r="AM149" s="283"/>
      <c r="AN149" s="283"/>
    </row>
    <row r="150" spans="1:40" hidden="1" x14ac:dyDescent="0.25">
      <c r="A150" s="288"/>
      <c r="B150" s="250"/>
      <c r="C150" s="168"/>
      <c r="D150" s="128"/>
      <c r="E150" s="128"/>
      <c r="F150" s="128"/>
      <c r="G150" s="128"/>
      <c r="H150" s="128"/>
      <c r="I150" s="128"/>
      <c r="J150" s="288"/>
      <c r="K150" s="289">
        <f>(C150*'Unit costs'!$N$121)/1000</f>
        <v>0</v>
      </c>
      <c r="L150" s="289">
        <f>(D150*'Unit costs'!$G138)/1000</f>
        <v>0</v>
      </c>
      <c r="M150" s="289">
        <f>(E150*'Unit costs'!$G138)/1000</f>
        <v>0</v>
      </c>
      <c r="N150" s="289">
        <f>(F150*'Unit costs'!$G138)/1000</f>
        <v>0</v>
      </c>
      <c r="O150" s="289">
        <f>(G150*'Unit costs'!$G138)/1000</f>
        <v>0</v>
      </c>
      <c r="P150" s="289">
        <f>(H150*'Unit costs'!$G138)/1000</f>
        <v>0</v>
      </c>
      <c r="Q150" s="289">
        <f>(I150*'Unit costs'!$G138)/1000</f>
        <v>0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3"/>
      <c r="AK150" s="283"/>
      <c r="AL150" s="283"/>
      <c r="AM150" s="283"/>
      <c r="AN150" s="283"/>
    </row>
    <row r="151" spans="1:40" hidden="1" x14ac:dyDescent="0.25">
      <c r="A151" s="288"/>
      <c r="B151" s="250"/>
      <c r="C151" s="168"/>
      <c r="D151" s="128"/>
      <c r="E151" s="128"/>
      <c r="F151" s="128"/>
      <c r="G151" s="128"/>
      <c r="H151" s="128"/>
      <c r="I151" s="128"/>
      <c r="J151" s="288"/>
      <c r="K151" s="289">
        <f>(C151*'Unit costs'!$N$121)/1000</f>
        <v>0</v>
      </c>
      <c r="L151" s="289">
        <f>(D151*'Unit costs'!$G139)/1000</f>
        <v>0</v>
      </c>
      <c r="M151" s="289">
        <f>(E151*'Unit costs'!$G139)/1000</f>
        <v>0</v>
      </c>
      <c r="N151" s="289">
        <f>(F151*'Unit costs'!$G139)/1000</f>
        <v>0</v>
      </c>
      <c r="O151" s="289">
        <f>(G151*'Unit costs'!$G139)/1000</f>
        <v>0</v>
      </c>
      <c r="P151" s="289">
        <f>(H151*'Unit costs'!$G139)/1000</f>
        <v>0</v>
      </c>
      <c r="Q151" s="289">
        <f>(I151*'Unit costs'!$G139)/1000</f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3"/>
      <c r="AK151" s="283"/>
      <c r="AL151" s="283"/>
      <c r="AM151" s="283"/>
      <c r="AN151" s="283"/>
    </row>
    <row r="152" spans="1:40" hidden="1" x14ac:dyDescent="0.25">
      <c r="A152" s="288"/>
      <c r="B152" s="250"/>
      <c r="C152" s="168"/>
      <c r="D152" s="128"/>
      <c r="E152" s="128"/>
      <c r="F152" s="128"/>
      <c r="G152" s="128"/>
      <c r="H152" s="128"/>
      <c r="I152" s="128"/>
      <c r="J152" s="288"/>
      <c r="K152" s="289">
        <f>(C152*'Unit costs'!$N$121)/1000</f>
        <v>0</v>
      </c>
      <c r="L152" s="289">
        <f>(D152*'Unit costs'!$G140)/1000</f>
        <v>0</v>
      </c>
      <c r="M152" s="289">
        <f>(E152*'Unit costs'!$G140)/1000</f>
        <v>0</v>
      </c>
      <c r="N152" s="289">
        <f>(F152*'Unit costs'!$G140)/1000</f>
        <v>0</v>
      </c>
      <c r="O152" s="289">
        <f>(G152*'Unit costs'!$G140)/1000</f>
        <v>0</v>
      </c>
      <c r="P152" s="289">
        <f>(H152*'Unit costs'!$G140)/1000</f>
        <v>0</v>
      </c>
      <c r="Q152" s="289">
        <f>(I152*'Unit costs'!$G140)/1000</f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3"/>
      <c r="AK152" s="283"/>
      <c r="AL152" s="283"/>
      <c r="AM152" s="283"/>
      <c r="AN152" s="283"/>
    </row>
    <row r="153" spans="1:40" hidden="1" x14ac:dyDescent="0.25">
      <c r="A153" s="288"/>
      <c r="B153" s="250"/>
      <c r="C153" s="168"/>
      <c r="D153" s="128"/>
      <c r="E153" s="128"/>
      <c r="F153" s="128"/>
      <c r="G153" s="128"/>
      <c r="H153" s="128"/>
      <c r="I153" s="128"/>
      <c r="J153" s="288"/>
      <c r="K153" s="290">
        <f>SUM(K150:K152)</f>
        <v>0</v>
      </c>
      <c r="L153" s="289">
        <f>(D153*'Unit costs'!$G141)/1000</f>
        <v>0</v>
      </c>
      <c r="M153" s="289">
        <f>(E153*'Unit costs'!$G141)/1000</f>
        <v>0</v>
      </c>
      <c r="N153" s="289">
        <f>(F153*'Unit costs'!$G141)/1000</f>
        <v>0</v>
      </c>
      <c r="O153" s="289">
        <f>(G153*'Unit costs'!$G141)/1000</f>
        <v>0</v>
      </c>
      <c r="P153" s="289">
        <f>(H153*'Unit costs'!$G141)/1000</f>
        <v>0</v>
      </c>
      <c r="Q153" s="289">
        <f>(I153*'Unit costs'!$G141)/1000</f>
        <v>0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3"/>
      <c r="AK153" s="283"/>
      <c r="AL153" s="283"/>
      <c r="AM153" s="283"/>
      <c r="AN153" s="283"/>
    </row>
    <row r="154" spans="1:40" hidden="1" x14ac:dyDescent="0.25">
      <c r="A154" s="288"/>
      <c r="B154" s="250"/>
      <c r="C154" s="168"/>
      <c r="D154" s="128"/>
      <c r="E154" s="128"/>
      <c r="F154" s="128"/>
      <c r="G154" s="128"/>
      <c r="H154" s="128"/>
      <c r="I154" s="128"/>
      <c r="J154" s="288"/>
      <c r="K154" s="290">
        <f t="shared" ref="K154:K156" si="67">SUM(K151:K153)</f>
        <v>0</v>
      </c>
      <c r="L154" s="289">
        <f>(D154*'Unit costs'!$G142)/1000</f>
        <v>0</v>
      </c>
      <c r="M154" s="289">
        <f>(E154*'Unit costs'!$G142)/1000</f>
        <v>0</v>
      </c>
      <c r="N154" s="289">
        <f>(F154*'Unit costs'!$G142)/1000</f>
        <v>0</v>
      </c>
      <c r="O154" s="289">
        <f>(G154*'Unit costs'!$G142)/1000</f>
        <v>0</v>
      </c>
      <c r="P154" s="289">
        <f>(H154*'Unit costs'!$G142)/1000</f>
        <v>0</v>
      </c>
      <c r="Q154" s="289">
        <f>(I154*'Unit costs'!$G142)/1000</f>
        <v>0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83"/>
      <c r="AK154" s="283"/>
      <c r="AL154" s="283"/>
      <c r="AM154" s="283"/>
      <c r="AN154" s="283"/>
    </row>
    <row r="155" spans="1:40" hidden="1" x14ac:dyDescent="0.25">
      <c r="A155" s="288"/>
      <c r="B155" s="250"/>
      <c r="C155" s="168"/>
      <c r="D155" s="128"/>
      <c r="E155" s="128"/>
      <c r="F155" s="128"/>
      <c r="G155" s="128"/>
      <c r="H155" s="128"/>
      <c r="I155" s="128"/>
      <c r="J155" s="288"/>
      <c r="K155" s="290">
        <f t="shared" si="67"/>
        <v>0</v>
      </c>
      <c r="L155" s="289">
        <f>(D155*'Unit costs'!$G143)/1000</f>
        <v>0</v>
      </c>
      <c r="M155" s="289">
        <f>(E155*'Unit costs'!$G143)/1000</f>
        <v>0</v>
      </c>
      <c r="N155" s="289">
        <f>(F155*'Unit costs'!$G143)/1000</f>
        <v>0</v>
      </c>
      <c r="O155" s="289">
        <f>(G155*'Unit costs'!$G143)/1000</f>
        <v>0</v>
      </c>
      <c r="P155" s="289">
        <f>(H155*'Unit costs'!$G143)/1000</f>
        <v>0</v>
      </c>
      <c r="Q155" s="289">
        <f>(I155*'Unit costs'!$G143)/1000</f>
        <v>0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83"/>
      <c r="AK155" s="283"/>
      <c r="AL155" s="283"/>
      <c r="AM155" s="283"/>
      <c r="AN155" s="283"/>
    </row>
    <row r="156" spans="1:40" hidden="1" x14ac:dyDescent="0.25">
      <c r="A156" s="288"/>
      <c r="B156" s="250"/>
      <c r="C156" s="168"/>
      <c r="D156" s="128"/>
      <c r="E156" s="128"/>
      <c r="F156" s="128"/>
      <c r="G156" s="128"/>
      <c r="H156" s="128"/>
      <c r="I156" s="128"/>
      <c r="J156" s="288"/>
      <c r="K156" s="290">
        <f t="shared" si="67"/>
        <v>0</v>
      </c>
      <c r="L156" s="289">
        <f>(D156*'Unit costs'!$G144)/1000</f>
        <v>0</v>
      </c>
      <c r="M156" s="289">
        <f>(E156*'Unit costs'!$G144)/1000</f>
        <v>0</v>
      </c>
      <c r="N156" s="289">
        <f>(F156*'Unit costs'!$G144)/1000</f>
        <v>0</v>
      </c>
      <c r="O156" s="289">
        <f>(G156*'Unit costs'!$G144)/1000</f>
        <v>0</v>
      </c>
      <c r="P156" s="289">
        <f>(H156*'Unit costs'!$G144)/1000</f>
        <v>0</v>
      </c>
      <c r="Q156" s="289">
        <f>(I156*'Unit costs'!$G144)/1000</f>
        <v>0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83"/>
      <c r="AK156" s="283"/>
      <c r="AL156" s="283"/>
      <c r="AM156" s="283"/>
      <c r="AN156" s="283"/>
    </row>
    <row r="157" spans="1:40" hidden="1" x14ac:dyDescent="0.25">
      <c r="A157" s="288"/>
      <c r="B157" s="277"/>
      <c r="C157" s="208"/>
      <c r="D157" s="186">
        <f t="shared" ref="D157:I157" si="68">SUM(D150:D156)</f>
        <v>0</v>
      </c>
      <c r="E157" s="186">
        <f t="shared" si="68"/>
        <v>0</v>
      </c>
      <c r="F157" s="186">
        <f t="shared" si="68"/>
        <v>0</v>
      </c>
      <c r="G157" s="186">
        <f t="shared" si="68"/>
        <v>0</v>
      </c>
      <c r="H157" s="186">
        <f t="shared" si="68"/>
        <v>0</v>
      </c>
      <c r="I157" s="186">
        <f t="shared" si="68"/>
        <v>0</v>
      </c>
      <c r="J157" s="288"/>
      <c r="K157" s="288"/>
      <c r="L157" s="290">
        <f>SUM(L150:L156)</f>
        <v>0</v>
      </c>
      <c r="M157" s="290">
        <f t="shared" ref="M157:Q157" si="69">SUM(M150:M156)</f>
        <v>0</v>
      </c>
      <c r="N157" s="290">
        <f t="shared" si="69"/>
        <v>0</v>
      </c>
      <c r="O157" s="290">
        <f t="shared" si="69"/>
        <v>0</v>
      </c>
      <c r="P157" s="290">
        <f t="shared" si="69"/>
        <v>0</v>
      </c>
      <c r="Q157" s="290">
        <f t="shared" si="69"/>
        <v>0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83"/>
      <c r="AK157" s="283"/>
      <c r="AL157" s="283"/>
      <c r="AM157" s="283"/>
      <c r="AN157" s="283"/>
    </row>
    <row r="158" spans="1:40" hidden="1" x14ac:dyDescent="0.25">
      <c r="A158" s="288"/>
      <c r="B158" s="305"/>
      <c r="C158" s="208"/>
      <c r="D158" s="282" t="s">
        <v>857</v>
      </c>
      <c r="E158" s="186">
        <f>E157-$D$157</f>
        <v>0</v>
      </c>
      <c r="F158" s="186">
        <f>F157-$D$157</f>
        <v>0</v>
      </c>
      <c r="G158" s="186">
        <f>G157-$D$157</f>
        <v>0</v>
      </c>
      <c r="H158" s="186">
        <f>H157-$D$157</f>
        <v>0</v>
      </c>
      <c r="I158" s="186">
        <f>I157-$D$157</f>
        <v>0</v>
      </c>
      <c r="J158" s="288"/>
      <c r="K158" s="288"/>
      <c r="L158" s="568"/>
      <c r="M158" s="290">
        <f>M157-$L$157</f>
        <v>0</v>
      </c>
      <c r="N158" s="290">
        <f t="shared" ref="N158:Q158" si="70">N157-$L$157</f>
        <v>0</v>
      </c>
      <c r="O158" s="290">
        <f t="shared" si="70"/>
        <v>0</v>
      </c>
      <c r="P158" s="290">
        <f t="shared" si="70"/>
        <v>0</v>
      </c>
      <c r="Q158" s="290">
        <f t="shared" si="70"/>
        <v>0</v>
      </c>
    </row>
    <row r="159" spans="1:40" hidden="1" x14ac:dyDescent="0.25">
      <c r="A159" s="288"/>
      <c r="B159" s="288"/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</row>
    <row r="160" spans="1:40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</sheetData>
  <sheetProtection algorithmName="SHA-512" hashValue="7XrAPCWo9zAOSDCazsvbK0j10E7EpLiPYE/T2EyoChAZA3fpFvh8RUdWdHF0VE2f83ht/qedZOnsjyFxa1sMHw==" saltValue="hCQtVuep+gShTGKZkZZmrQ==" spinCount="100000" sheet="1" objects="1" scenarios="1"/>
  <protectedRanges>
    <protectedRange sqref="B150:B156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04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c1f338ac-e338-414f-952c-f74dcc6d59e1"/>
    <ds:schemaRef ds:uri="http://purl.org/dc/terms/"/>
    <ds:schemaRef ds:uri="http://schemas.microsoft.com/office/2006/metadata/properties"/>
    <ds:schemaRef ds:uri="0eb656aa-4e79-4e95-9076-bc119a23e0cc"/>
    <ds:schemaRef ds:uri="acaf4567-dc07-471f-892c-2bcb86ef35ae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QOF DM 5 years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NG242 Diabetic retinopathy: management and monitoring: Resource impact template 13/08/2024</dc:title>
  <dc:subject/>
  <dc:creator/>
  <cp:keywords/>
  <dc:description/>
  <cp:lastModifiedBy/>
  <cp:revision/>
  <dcterms:created xsi:type="dcterms:W3CDTF">2022-07-27T12:38:28Z</dcterms:created>
  <dcterms:modified xsi:type="dcterms:W3CDTF">2024-08-09T16:04:04Z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