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nice.nhs.uk\Data\Communications\Publishing\PUBLISHED VERSIONS\Final production artwork\NICE guidelines (NG)\NG252 (CG) Rehabilitation for CND\20251015 - first published\"/>
    </mc:Choice>
  </mc:AlternateContent>
  <xr:revisionPtr revIDLastSave="0" documentId="13_ncr:1_{50DD007C-C006-4A2C-B590-CA82B28323EA}" xr6:coauthVersionLast="47" xr6:coauthVersionMax="47" xr10:uidLastSave="{00000000-0000-0000-0000-000000000000}"/>
  <bookViews>
    <workbookView xWindow="-108" yWindow="-108" windowWidth="23256" windowHeight="12456" xr2:uid="{DE5ED962-5C6B-41B7-B5F5-323795F55173}"/>
  </bookViews>
  <sheets>
    <sheet name="Costing template" sheetId="2" r:id="rId1"/>
    <sheet name="payscales" sheetId="3" r:id="rId2"/>
    <sheet name="Cost collection data " sheetId="1" r:id="rId3"/>
  </sheets>
  <externalReferences>
    <externalReference r:id="rId4"/>
    <externalReference r:id="rId5"/>
  </externalReferences>
  <definedNames>
    <definedName name="LOCALAUTHNORTHI">'[1]Population selection'!$B$1700:$B$1710</definedName>
    <definedName name="ORGTYPE">'[1]Population selection'!$L$5:$L$14</definedName>
    <definedName name="ORGTYPE2">'[2]Population selection'!$L$12:$L$19</definedName>
    <definedName name="ORGTYPE3">'[2]Population selection'!$L$12:$L$19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3" l="1"/>
  <c r="G51" i="3"/>
  <c r="I46" i="3"/>
  <c r="I48" i="3" s="1"/>
  <c r="J48" i="3" s="1"/>
  <c r="K48" i="3" s="1"/>
  <c r="H48" i="3"/>
  <c r="H47" i="3"/>
  <c r="H46" i="3"/>
  <c r="J46" i="3" s="1"/>
  <c r="K46" i="3" s="1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I15" i="2"/>
  <c r="I16" i="2"/>
  <c r="I8" i="2"/>
  <c r="D7" i="2"/>
  <c r="I7" i="2" s="1"/>
  <c r="F7" i="2"/>
  <c r="D6" i="2"/>
  <c r="I6" i="2" s="1"/>
  <c r="J6" i="2" s="1"/>
  <c r="H10" i="2"/>
  <c r="I11" i="2"/>
  <c r="G12" i="2"/>
  <c r="I12" i="2" s="1"/>
  <c r="I13" i="2"/>
  <c r="D14" i="2"/>
  <c r="I14" i="2" s="1"/>
  <c r="D17" i="2"/>
  <c r="F17" i="2"/>
  <c r="F48" i="3"/>
  <c r="E48" i="3"/>
  <c r="D48" i="3"/>
  <c r="G48" i="3"/>
  <c r="F47" i="3"/>
  <c r="G47" i="3"/>
  <c r="E47" i="3"/>
  <c r="D47" i="3"/>
  <c r="F46" i="3"/>
  <c r="E46" i="3"/>
  <c r="G46" i="3"/>
  <c r="D46" i="3"/>
  <c r="I45" i="3"/>
  <c r="J45" i="3"/>
  <c r="H45" i="3"/>
  <c r="F45" i="3"/>
  <c r="E45" i="3"/>
  <c r="G45" i="3"/>
  <c r="D45" i="3"/>
  <c r="I44" i="3"/>
  <c r="J44" i="3"/>
  <c r="H44" i="3"/>
  <c r="F44" i="3"/>
  <c r="E44" i="3"/>
  <c r="G44" i="3"/>
  <c r="D44" i="3"/>
  <c r="I43" i="3"/>
  <c r="J43" i="3"/>
  <c r="H43" i="3"/>
  <c r="F43" i="3"/>
  <c r="E43" i="3"/>
  <c r="G43" i="3"/>
  <c r="D43" i="3"/>
  <c r="J42" i="3"/>
  <c r="C42" i="3"/>
  <c r="F42" i="3"/>
  <c r="J41" i="3"/>
  <c r="C41" i="3"/>
  <c r="E41" i="3"/>
  <c r="J40" i="3"/>
  <c r="C40" i="3"/>
  <c r="D40" i="3"/>
  <c r="J39" i="3"/>
  <c r="C39" i="3"/>
  <c r="J38" i="3"/>
  <c r="C38" i="3"/>
  <c r="F38" i="3"/>
  <c r="J37" i="3"/>
  <c r="F37" i="3"/>
  <c r="C37" i="3"/>
  <c r="E37" i="3"/>
  <c r="V36" i="3"/>
  <c r="J36" i="3"/>
  <c r="F36" i="3"/>
  <c r="C36" i="3"/>
  <c r="E36" i="3"/>
  <c r="J35" i="3"/>
  <c r="F35" i="3"/>
  <c r="E35" i="3"/>
  <c r="C35" i="3"/>
  <c r="D35" i="3"/>
  <c r="G35" i="3"/>
  <c r="J34" i="3"/>
  <c r="F34" i="3"/>
  <c r="D34" i="3"/>
  <c r="C34" i="3"/>
  <c r="J33" i="3"/>
  <c r="E33" i="3"/>
  <c r="C33" i="3"/>
  <c r="F33" i="3"/>
  <c r="J32" i="3"/>
  <c r="F32" i="3"/>
  <c r="D32" i="3"/>
  <c r="C32" i="3"/>
  <c r="E32" i="3"/>
  <c r="J31" i="3"/>
  <c r="C31" i="3"/>
  <c r="D31" i="3"/>
  <c r="J30" i="3"/>
  <c r="D30" i="3"/>
  <c r="C30" i="3"/>
  <c r="F30" i="3"/>
  <c r="J29" i="3"/>
  <c r="C29" i="3"/>
  <c r="F29" i="3"/>
  <c r="V28" i="3"/>
  <c r="J28" i="3"/>
  <c r="C28" i="3"/>
  <c r="F28" i="3"/>
  <c r="J27" i="3"/>
  <c r="F27" i="3"/>
  <c r="E27" i="3"/>
  <c r="C27" i="3"/>
  <c r="D27" i="3"/>
  <c r="G27" i="3"/>
  <c r="J26" i="3"/>
  <c r="E26" i="3"/>
  <c r="D26" i="3"/>
  <c r="C26" i="3"/>
  <c r="F26" i="3"/>
  <c r="G26" i="3"/>
  <c r="J25" i="3"/>
  <c r="F25" i="3"/>
  <c r="D25" i="3"/>
  <c r="C25" i="3"/>
  <c r="J24" i="3"/>
  <c r="E24" i="3"/>
  <c r="C24" i="3"/>
  <c r="F24" i="3"/>
  <c r="J23" i="3"/>
  <c r="F23" i="3"/>
  <c r="D23" i="3"/>
  <c r="C23" i="3"/>
  <c r="E23" i="3"/>
  <c r="J22" i="3"/>
  <c r="C22" i="3"/>
  <c r="D22" i="3"/>
  <c r="J21" i="3"/>
  <c r="D21" i="3"/>
  <c r="C21" i="3"/>
  <c r="F21" i="3"/>
  <c r="V20" i="3"/>
  <c r="J20" i="3"/>
  <c r="D20" i="3"/>
  <c r="C20" i="3"/>
  <c r="F20" i="3"/>
  <c r="J19" i="3"/>
  <c r="C19" i="3"/>
  <c r="F19" i="3"/>
  <c r="J18" i="3"/>
  <c r="F18" i="3"/>
  <c r="E18" i="3"/>
  <c r="D18" i="3"/>
  <c r="G18" i="3"/>
  <c r="C18" i="3"/>
  <c r="J17" i="3"/>
  <c r="E17" i="3"/>
  <c r="D17" i="3"/>
  <c r="C17" i="3"/>
  <c r="F17" i="3"/>
  <c r="G17" i="3"/>
  <c r="J16" i="3"/>
  <c r="F16" i="3"/>
  <c r="D16" i="3"/>
  <c r="C16" i="3"/>
  <c r="J15" i="3"/>
  <c r="E15" i="3"/>
  <c r="C15" i="3"/>
  <c r="F15" i="3"/>
  <c r="J14" i="3"/>
  <c r="F14" i="3"/>
  <c r="D14" i="3"/>
  <c r="C14" i="3"/>
  <c r="E14" i="3"/>
  <c r="J13" i="3"/>
  <c r="C13" i="3"/>
  <c r="D13" i="3"/>
  <c r="G25" i="3"/>
  <c r="G20" i="3"/>
  <c r="E13" i="3"/>
  <c r="E22" i="3"/>
  <c r="E31" i="3"/>
  <c r="G31" i="3"/>
  <c r="D39" i="3"/>
  <c r="G39" i="3"/>
  <c r="E40" i="3"/>
  <c r="F41" i="3"/>
  <c r="F13" i="3"/>
  <c r="G14" i="3"/>
  <c r="D19" i="3"/>
  <c r="G19" i="3"/>
  <c r="E20" i="3"/>
  <c r="E21" i="3"/>
  <c r="G21" i="3"/>
  <c r="F22" i="3"/>
  <c r="G23" i="3"/>
  <c r="D28" i="3"/>
  <c r="D29" i="3"/>
  <c r="E30" i="3"/>
  <c r="G30" i="3"/>
  <c r="F31" i="3"/>
  <c r="G32" i="3"/>
  <c r="D38" i="3"/>
  <c r="E39" i="3"/>
  <c r="F40" i="3"/>
  <c r="G13" i="3"/>
  <c r="E19" i="3"/>
  <c r="G22" i="3"/>
  <c r="E28" i="3"/>
  <c r="E29" i="3"/>
  <c r="D36" i="3"/>
  <c r="G36" i="3"/>
  <c r="D37" i="3"/>
  <c r="G37" i="3"/>
  <c r="E38" i="3"/>
  <c r="F39" i="3"/>
  <c r="G40" i="3"/>
  <c r="D15" i="3"/>
  <c r="G15" i="3"/>
  <c r="E16" i="3"/>
  <c r="G16" i="3"/>
  <c r="D24" i="3"/>
  <c r="G24" i="3"/>
  <c r="E25" i="3"/>
  <c r="D33" i="3"/>
  <c r="G33" i="3"/>
  <c r="E34" i="3"/>
  <c r="G34" i="3"/>
  <c r="D42" i="3"/>
  <c r="G42" i="3"/>
  <c r="D41" i="3"/>
  <c r="G41" i="3"/>
  <c r="E42" i="3"/>
  <c r="G29" i="3"/>
  <c r="G28" i="3"/>
  <c r="G38" i="3"/>
  <c r="C26" i="1"/>
  <c r="B26" i="1"/>
  <c r="D26" i="1" s="1"/>
  <c r="D15" i="1"/>
  <c r="D16" i="1"/>
  <c r="D17" i="1"/>
  <c r="D18" i="1"/>
  <c r="D19" i="1"/>
  <c r="D20" i="1"/>
  <c r="D21" i="1"/>
  <c r="D22" i="1"/>
  <c r="D23" i="1"/>
  <c r="D24" i="1"/>
  <c r="D25" i="1"/>
  <c r="D14" i="1"/>
  <c r="C7" i="1"/>
  <c r="D7" i="1"/>
  <c r="B7" i="1"/>
  <c r="C6" i="1"/>
  <c r="D6" i="1" s="1"/>
  <c r="B6" i="1"/>
  <c r="C5" i="1"/>
  <c r="D5" i="1"/>
  <c r="B5" i="1"/>
  <c r="C4" i="1"/>
  <c r="D4" i="1" s="1"/>
  <c r="B4" i="1"/>
  <c r="B8" i="1" s="1"/>
  <c r="C3" i="1"/>
  <c r="B3" i="1"/>
  <c r="P8" i="1"/>
  <c r="O8" i="1"/>
  <c r="N8" i="1"/>
  <c r="N9" i="1" s="1"/>
  <c r="M8" i="1"/>
  <c r="L8" i="1"/>
  <c r="L9" i="1" s="1"/>
  <c r="K8" i="1"/>
  <c r="J8" i="1"/>
  <c r="J9" i="1" s="1"/>
  <c r="I8" i="1"/>
  <c r="H8" i="1"/>
  <c r="H9" i="1" s="1"/>
  <c r="G8" i="1"/>
  <c r="E8" i="1"/>
  <c r="F8" i="1"/>
  <c r="F9" i="1"/>
  <c r="D3" i="1"/>
  <c r="G10" i="2" s="1"/>
  <c r="P9" i="1"/>
  <c r="I10" i="2" l="1"/>
  <c r="C8" i="1"/>
  <c r="C9" i="1" s="1"/>
  <c r="I47" i="3"/>
  <c r="J47" i="3" s="1"/>
  <c r="K47" i="3" s="1"/>
  <c r="J7" i="2"/>
  <c r="J8" i="2" s="1"/>
  <c r="J10" i="2" s="1"/>
  <c r="J11" i="2" s="1"/>
  <c r="J12" i="2" s="1"/>
  <c r="J13" i="2" s="1"/>
  <c r="J14" i="2" s="1"/>
  <c r="J15" i="2" s="1"/>
  <c r="J16" i="2" s="1"/>
  <c r="E17" i="2" l="1"/>
  <c r="I17" i="2" s="1"/>
  <c r="J17" i="2" s="1"/>
</calcChain>
</file>

<file path=xl/sharedStrings.xml><?xml version="1.0" encoding="utf-8"?>
<sst xmlns="http://schemas.openxmlformats.org/spreadsheetml/2006/main" count="177" uniqueCount="153">
  <si>
    <t xml:space="preserve">The costs below are for illustration only, users can amend any of the blue cells </t>
  </si>
  <si>
    <t>1) The reduction in therapy time required has been calculated to create a cumulative net impact of £0 cost. This is for illustration only and each blue cell on this row can be amended</t>
  </si>
  <si>
    <t>2) The payscale rates are based on the AfC payscales for 2025/26 and the hour assumptions in this tab entered in column V, users can amend the proportion of hours that are direct patient care for each grade of staff and can</t>
  </si>
  <si>
    <t>also select HCAS or Non HCAS payscales in cell C6 on the payscales tab.</t>
  </si>
  <si>
    <t>Net impact for 1 year of complex case manager</t>
  </si>
  <si>
    <t>Note</t>
  </si>
  <si>
    <t>Staff grade</t>
  </si>
  <si>
    <t>Hourly cost</t>
  </si>
  <si>
    <t>Hours per week required per person</t>
  </si>
  <si>
    <t>Wks per year</t>
  </si>
  <si>
    <t>Weighed cost/cost of activity</t>
  </si>
  <si>
    <t>Activity avoided per year</t>
  </si>
  <si>
    <t>Annual cost per person</t>
  </si>
  <si>
    <t>Cumulative net impact</t>
  </si>
  <si>
    <t>Complex case manager</t>
  </si>
  <si>
    <t>Band 7 Mid</t>
  </si>
  <si>
    <t>Admin support for case manager</t>
  </si>
  <si>
    <t>Band 3 Top</t>
  </si>
  <si>
    <t>Non pay costs - e.g. reduction in lost equipment</t>
  </si>
  <si>
    <t>Other non pay costs</t>
  </si>
  <si>
    <t>Reduction in admissions (AA25C - Cerebral Degenerations or Miscellaneous Disorders of Nervous System, with CC Score 14+)</t>
  </si>
  <si>
    <t xml:space="preserve">Reduction in length of stay - bed days </t>
  </si>
  <si>
    <t>Reduction in A&amp;E attendances (VB03Z - Emergency Medicine, Category 3 Investigation with Category 1-3 Treatment)</t>
  </si>
  <si>
    <t>Reduction in cancelled/missed outpatient appointments</t>
  </si>
  <si>
    <t>Reduction in cancelled/missed GP appointments appointments</t>
  </si>
  <si>
    <t>GP Mid</t>
  </si>
  <si>
    <t>Reduction in duplication of assessments</t>
  </si>
  <si>
    <t>Reduction in duplication of investigations</t>
  </si>
  <si>
    <t>Reduction in therapy time required (calculated number, after all other cost and benefits considered above)</t>
  </si>
  <si>
    <t>Band 6 Mid</t>
  </si>
  <si>
    <t>Notes</t>
  </si>
  <si>
    <t>1 - weighted cost is linked to the costs calculated on the cost collection data tab</t>
  </si>
  <si>
    <t>2 - calculation for hours per week is based on the amount required if the cumulative net financial impact is required to be £0</t>
  </si>
  <si>
    <t>Payscales</t>
  </si>
  <si>
    <t>Amend blue cells where required to relect local values</t>
  </si>
  <si>
    <t>Drop down look up list</t>
  </si>
  <si>
    <t>Inputs</t>
  </si>
  <si>
    <t xml:space="preserve">Non HCAS </t>
  </si>
  <si>
    <t>Payscale required</t>
  </si>
  <si>
    <t>Select required payscale using the drop down in the blue cell</t>
  </si>
  <si>
    <t>HCAS inner</t>
  </si>
  <si>
    <t>Employer NI threshold</t>
  </si>
  <si>
    <t>HCAS outer</t>
  </si>
  <si>
    <t>Employer NI contribution</t>
  </si>
  <si>
    <t>HCAS fringe</t>
  </si>
  <si>
    <t>Employer Pension contribution</t>
  </si>
  <si>
    <t>Apprenticeship levy</t>
  </si>
  <si>
    <t xml:space="preserve">      For information</t>
  </si>
  <si>
    <t>Payscale rate</t>
  </si>
  <si>
    <t>Band</t>
  </si>
  <si>
    <t>Pay scale</t>
  </si>
  <si>
    <t>AfC Salary with 2025/26 pay award</t>
  </si>
  <si>
    <t xml:space="preserve">Employers NI </t>
  </si>
  <si>
    <t>Employer Pension</t>
  </si>
  <si>
    <t xml:space="preserve">Appren 
ticeship 
levy </t>
  </si>
  <si>
    <t>Total salary cost incl. oncosts</t>
  </si>
  <si>
    <t>Annual working hours 
(based on data in column V)</t>
  </si>
  <si>
    <t>% of hours that are directly clinical (exclude admin time)</t>
  </si>
  <si>
    <t>Hours used to calculate hourly rate</t>
  </si>
  <si>
    <t>Hourly rate used in costing</t>
  </si>
  <si>
    <t>Enhancements 
Mon-Fri</t>
  </si>
  <si>
    <t>Enhancements Sun</t>
  </si>
  <si>
    <t>HCAS Inner</t>
  </si>
  <si>
    <t>HCAS Outer</t>
  </si>
  <si>
    <t>HCAS Fringe</t>
  </si>
  <si>
    <t xml:space="preserve"> Annual hours worked calculations</t>
  </si>
  <si>
    <t>Band 2 Bottom</t>
  </si>
  <si>
    <t>Band 2 Top</t>
  </si>
  <si>
    <t>Non medical staffing</t>
  </si>
  <si>
    <t>Band 3 Bottom</t>
  </si>
  <si>
    <t>Day per year</t>
  </si>
  <si>
    <t>Annual leave/bank holidays</t>
  </si>
  <si>
    <t>Band 4 Bottom</t>
  </si>
  <si>
    <t>Mandatory training</t>
  </si>
  <si>
    <t>Band 4 Top</t>
  </si>
  <si>
    <t>Sickness at 4%</t>
  </si>
  <si>
    <t>Band 5 Bottom</t>
  </si>
  <si>
    <t>Band 5 Mid</t>
  </si>
  <si>
    <t>Annual hours per year</t>
  </si>
  <si>
    <t>Band 5 Top</t>
  </si>
  <si>
    <t>Band 6 Bottom</t>
  </si>
  <si>
    <t>Consultant</t>
  </si>
  <si>
    <t>Band 6 Top</t>
  </si>
  <si>
    <t>Weeks worked (net of annual leave/training leave)</t>
  </si>
  <si>
    <t>Band 7 Bottom</t>
  </si>
  <si>
    <t>Sessions worked per week (4 hour sessions)</t>
  </si>
  <si>
    <t>Less SPA sessions (4 hour sessions)</t>
  </si>
  <si>
    <t>Band 7 Top</t>
  </si>
  <si>
    <t>8A</t>
  </si>
  <si>
    <t>Band 8a Bottom</t>
  </si>
  <si>
    <t>Hours of clinical work per year</t>
  </si>
  <si>
    <t>Band 8a Mid</t>
  </si>
  <si>
    <t>Band 8a Top</t>
  </si>
  <si>
    <t>8B</t>
  </si>
  <si>
    <t>Band 8b Bottom</t>
  </si>
  <si>
    <t>GP</t>
  </si>
  <si>
    <t>Band 8b Mid</t>
  </si>
  <si>
    <t>Number of working weeks per year</t>
  </si>
  <si>
    <t>Band 8b Top</t>
  </si>
  <si>
    <t>Average working hours per week</t>
  </si>
  <si>
    <t>8C</t>
  </si>
  <si>
    <t>Band 8c Bottom</t>
  </si>
  <si>
    <t>Total hours per year</t>
  </si>
  <si>
    <t>Band 8c Mid</t>
  </si>
  <si>
    <t>% that is direct patient care</t>
  </si>
  <si>
    <t>Band 8c Top</t>
  </si>
  <si>
    <t>Number of hours of direct patient care</t>
  </si>
  <si>
    <t>8D</t>
  </si>
  <si>
    <t>Band 8d Bottom</t>
  </si>
  <si>
    <t>Band 8d Mid</t>
  </si>
  <si>
    <t>Band 8d Top</t>
  </si>
  <si>
    <t>Band 9 Bottom</t>
  </si>
  <si>
    <t>Band 9 Mid</t>
  </si>
  <si>
    <t>Band 9 Top</t>
  </si>
  <si>
    <t>GP Bottom</t>
  </si>
  <si>
    <t>Consultant bottom</t>
  </si>
  <si>
    <t>Consultant mid</t>
  </si>
  <si>
    <t>Consultant top</t>
  </si>
  <si>
    <t>Cost collection data for 2023/24</t>
  </si>
  <si>
    <t>Total all - Activity</t>
  </si>
  <si>
    <t>Total all - Cost</t>
  </si>
  <si>
    <t>Weighted cost</t>
  </si>
  <si>
    <t>Non Elective Long Stay - Activity</t>
  </si>
  <si>
    <t>Non Elective Long Stay - Cost</t>
  </si>
  <si>
    <t>Non Elective Short Stay - Activity</t>
  </si>
  <si>
    <t>Non Elective Short Stay - Cost</t>
  </si>
  <si>
    <t>Rehab inpatient - Activity</t>
  </si>
  <si>
    <t>Rehab inpatient - Cost</t>
  </si>
  <si>
    <t>Elective inpatient - Activity</t>
  </si>
  <si>
    <t>Elective inpatient - Cost</t>
  </si>
  <si>
    <t>Day case - Activity</t>
  </si>
  <si>
    <t>Day case - Cost</t>
  </si>
  <si>
    <t>Regular day/ night admissions - Activity</t>
  </si>
  <si>
    <t>Regular day/ night admissions - Cost</t>
  </si>
  <si>
    <t>AA25C - Cerebral Degenerations or Miscellaneous Disorders of Nervous System, with CC Score 14+</t>
  </si>
  <si>
    <t>AA25D - Cerebral Degenerations or Miscellaneous Disorders of Nervous System, with CC Score 11-13</t>
  </si>
  <si>
    <t>AA25E - Cerebral Degenerations or Miscellaneous Disorders of Nervous System, with CC Score 8-10</t>
  </si>
  <si>
    <t>AA25F - Cerebral Degenerations or Miscellaneous Disorders of Nervous System, with CC Score 5-7</t>
  </si>
  <si>
    <t>AA25G - Cerebral Degenerations or Miscellaneous Disorders of Nervous System, with CC Score 0-4</t>
  </si>
  <si>
    <t>Weighted average cost</t>
  </si>
  <si>
    <t>VB01Z - Emergency Medicine, Any Investigation with Category 5 Treatment</t>
  </si>
  <si>
    <t>VB02Z - Emergency Medicine, Category 3 Investigation with Category 4 Treatment</t>
  </si>
  <si>
    <t>VB03Z - Emergency Medicine, Category 3 Investigation with Category 1-3 Treatment</t>
  </si>
  <si>
    <t>VB04Z - Emergency Medicine, Category 2 Investigation with Category 4 Treatment</t>
  </si>
  <si>
    <t>VB05Z - Emergency Medicine, Category 2 Investigation with Category 3 Treatment</t>
  </si>
  <si>
    <t>VB06Z - Emergency Medicine, Category 1 Investigation with Category 3-4 Treatment</t>
  </si>
  <si>
    <t>VB07Z - Emergency Medicine, Category 2 Investigation with Category 2 Treatment</t>
  </si>
  <si>
    <t>VB08Z - Emergency Medicine, Category 2 Investigation with Category 1 Treatment</t>
  </si>
  <si>
    <t>VB09Z - Emergency Medicine, Category 1 Investigation with Category 1-2 Treatment</t>
  </si>
  <si>
    <t>VB10Z - Emergency Medicine, Dental Care</t>
  </si>
  <si>
    <t>VB11Z - Emergency Medicine, No Investigation with No Significant Treatment</t>
  </si>
  <si>
    <t>VB99Z - Emergency Medicine, Patient Dead On Arrival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</si>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</sst>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£&quot;#,##0;\-&quot;£&quot;#,##0"/>
    <numFmt numFmtId="7" formatCode="&quot;£&quot;#,##0.00;\-&quot;£&quot;#,##0.00"/>
    <numFmt numFmtId="43" formatCode="_-* #,##0.00_-;\-* #,##0.00_-;_-* &quot;-&quot;??_-;_-@_-"/>
    <numFmt numFmtId="164" formatCode="&quot;£&quot;#,##0"/>
    <numFmt numFmtId="165" formatCode="_(* #,##0_);_(* \(#,##0\);_(* &quot;-&quot;??_);_(@_)"/>
    <numFmt numFmtId="166" formatCode="&quot;£&quot;#,##0.00"/>
    <numFmt numFmtId="167" formatCode="#,##0.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0"/>
      <name val="Arial"/>
      <family val="2"/>
    </font>
    <font>
      <b/>
      <sz val="11"/>
      <color theme="1"/>
      <name val="Aptos Narrow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b/>
      <sz val="11"/>
      <name val="Aptos Narrow"/>
      <family val="2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u/>
      <sz val="16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8080"/>
        <bgColor indexed="64"/>
      </patternFill>
    </fill>
  </fills>
  <borders count="4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</cellStyleXfs>
  <cellXfs count="146">
    <xf numFmtId="0" fontId="0" fillId="0" borderId="0" xfId="0"/>
    <xf numFmtId="0" fontId="0" fillId="0" borderId="1" xfId="0" applyBorder="1"/>
    <xf numFmtId="3" fontId="0" fillId="0" borderId="0" xfId="0" applyNumberFormat="1"/>
    <xf numFmtId="7" fontId="0" fillId="0" borderId="0" xfId="0" applyNumberFormat="1"/>
    <xf numFmtId="3" fontId="0" fillId="0" borderId="4" xfId="0" applyNumberFormat="1" applyBorder="1"/>
    <xf numFmtId="5" fontId="0" fillId="0" borderId="5" xfId="0" applyNumberFormat="1" applyBorder="1"/>
    <xf numFmtId="0" fontId="0" fillId="0" borderId="6" xfId="0" applyBorder="1"/>
    <xf numFmtId="3" fontId="0" fillId="0" borderId="7" xfId="0" applyNumberFormat="1" applyBorder="1"/>
    <xf numFmtId="5" fontId="0" fillId="0" borderId="8" xfId="0" applyNumberFormat="1" applyBorder="1"/>
    <xf numFmtId="3" fontId="0" fillId="0" borderId="10" xfId="0" applyNumberFormat="1" applyBorder="1"/>
    <xf numFmtId="5" fontId="0" fillId="0" borderId="11" xfId="0" applyNumberFormat="1" applyBorder="1"/>
    <xf numFmtId="3" fontId="0" fillId="0" borderId="9" xfId="0" applyNumberFormat="1" applyBorder="1"/>
    <xf numFmtId="0" fontId="0" fillId="0" borderId="12" xfId="0" applyBorder="1"/>
    <xf numFmtId="3" fontId="0" fillId="0" borderId="13" xfId="0" applyNumberFormat="1" applyBorder="1"/>
    <xf numFmtId="5" fontId="0" fillId="0" borderId="14" xfId="0" applyNumberFormat="1" applyBorder="1"/>
    <xf numFmtId="164" fontId="0" fillId="0" borderId="8" xfId="0" applyNumberFormat="1" applyBorder="1"/>
    <xf numFmtId="0" fontId="0" fillId="0" borderId="10" xfId="0" applyBorder="1"/>
    <xf numFmtId="164" fontId="0" fillId="0" borderId="11" xfId="0" applyNumberFormat="1" applyBorder="1"/>
    <xf numFmtId="0" fontId="0" fillId="0" borderId="13" xfId="0" applyBorder="1"/>
    <xf numFmtId="164" fontId="0" fillId="0" borderId="14" xfId="0" applyNumberForma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3" fontId="0" fillId="0" borderId="15" xfId="0" applyNumberFormat="1" applyBorder="1"/>
    <xf numFmtId="5" fontId="0" fillId="0" borderId="16" xfId="0" applyNumberFormat="1" applyBorder="1"/>
    <xf numFmtId="7" fontId="0" fillId="0" borderId="5" xfId="0" applyNumberFormat="1" applyBorder="1"/>
    <xf numFmtId="3" fontId="0" fillId="0" borderId="22" xfId="0" applyNumberFormat="1" applyBorder="1"/>
    <xf numFmtId="5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0" fontId="0" fillId="0" borderId="0" xfId="0" applyAlignment="1">
      <alignment wrapText="1"/>
    </xf>
    <xf numFmtId="7" fontId="0" fillId="0" borderId="19" xfId="0" applyNumberFormat="1" applyBorder="1"/>
    <xf numFmtId="7" fontId="0" fillId="0" borderId="20" xfId="0" applyNumberFormat="1" applyBorder="1"/>
    <xf numFmtId="7" fontId="0" fillId="0" borderId="18" xfId="0" applyNumberFormat="1" applyBorder="1"/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2" xfId="0" applyBorder="1"/>
    <xf numFmtId="7" fontId="0" fillId="0" borderId="23" xfId="0" applyNumberFormat="1" applyBorder="1"/>
    <xf numFmtId="7" fontId="0" fillId="0" borderId="11" xfId="0" applyNumberFormat="1" applyBorder="1"/>
    <xf numFmtId="7" fontId="0" fillId="0" borderId="14" xfId="0" applyNumberFormat="1" applyBorder="1"/>
    <xf numFmtId="0" fontId="0" fillId="0" borderId="26" xfId="0" applyBorder="1" applyAlignment="1">
      <alignment horizontal="center" wrapText="1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165" fontId="6" fillId="0" borderId="27" xfId="2" applyNumberFormat="1" applyFont="1" applyFill="1" applyBorder="1" applyProtection="1"/>
    <xf numFmtId="0" fontId="7" fillId="0" borderId="0" xfId="0" applyFont="1" applyAlignment="1">
      <alignment vertical="center"/>
    </xf>
    <xf numFmtId="165" fontId="6" fillId="0" borderId="29" xfId="2" applyNumberFormat="1" applyFont="1" applyFill="1" applyBorder="1" applyProtection="1"/>
    <xf numFmtId="3" fontId="0" fillId="0" borderId="0" xfId="0" applyNumberFormat="1" applyAlignment="1">
      <alignment horizontal="right"/>
    </xf>
    <xf numFmtId="0" fontId="2" fillId="3" borderId="22" xfId="0" applyFont="1" applyFill="1" applyBorder="1"/>
    <xf numFmtId="0" fontId="0" fillId="3" borderId="23" xfId="0" applyFill="1" applyBorder="1"/>
    <xf numFmtId="43" fontId="0" fillId="0" borderId="0" xfId="0" applyNumberFormat="1"/>
    <xf numFmtId="0" fontId="2" fillId="3" borderId="31" xfId="0" applyFont="1" applyFill="1" applyBorder="1" applyAlignment="1">
      <alignment horizontal="center"/>
    </xf>
    <xf numFmtId="0" fontId="2" fillId="3" borderId="32" xfId="3" applyFont="1" applyFill="1" applyBorder="1" applyAlignment="1">
      <alignment horizontal="center"/>
    </xf>
    <xf numFmtId="0" fontId="2" fillId="3" borderId="32" xfId="4" applyFont="1" applyFill="1" applyBorder="1" applyAlignment="1">
      <alignment horizontal="center" wrapText="1"/>
    </xf>
    <xf numFmtId="3" fontId="2" fillId="3" borderId="32" xfId="4" applyNumberFormat="1" applyFont="1" applyFill="1" applyBorder="1" applyAlignment="1">
      <alignment horizontal="center" wrapText="1"/>
    </xf>
    <xf numFmtId="0" fontId="2" fillId="3" borderId="33" xfId="4" applyFont="1" applyFill="1" applyBorder="1" applyAlignment="1">
      <alignment horizontal="center" wrapText="1"/>
    </xf>
    <xf numFmtId="0" fontId="2" fillId="3" borderId="31" xfId="0" applyFont="1" applyFill="1" applyBorder="1" applyAlignment="1">
      <alignment horizontal="center" wrapText="1"/>
    </xf>
    <xf numFmtId="0" fontId="2" fillId="3" borderId="34" xfId="0" applyFont="1" applyFill="1" applyBorder="1" applyAlignment="1">
      <alignment horizontal="center" wrapText="1"/>
    </xf>
    <xf numFmtId="0" fontId="2" fillId="4" borderId="33" xfId="0" applyFont="1" applyFill="1" applyBorder="1" applyAlignment="1">
      <alignment horizontal="center" wrapText="1"/>
    </xf>
    <xf numFmtId="0" fontId="2" fillId="3" borderId="35" xfId="0" applyFont="1" applyFill="1" applyBorder="1" applyAlignment="1">
      <alignment horizontal="center" wrapText="1"/>
    </xf>
    <xf numFmtId="0" fontId="2" fillId="3" borderId="36" xfId="0" applyFont="1" applyFill="1" applyBorder="1" applyAlignment="1">
      <alignment horizontal="center" wrapText="1"/>
    </xf>
    <xf numFmtId="0" fontId="0" fillId="0" borderId="37" xfId="0" applyBorder="1" applyAlignment="1">
      <alignment horizontal="center"/>
    </xf>
    <xf numFmtId="0" fontId="2" fillId="3" borderId="15" xfId="0" applyFont="1" applyFill="1" applyBorder="1"/>
    <xf numFmtId="0" fontId="0" fillId="3" borderId="17" xfId="0" applyFill="1" applyBorder="1"/>
    <xf numFmtId="0" fontId="0" fillId="3" borderId="16" xfId="0" applyFill="1" applyBorder="1"/>
    <xf numFmtId="0" fontId="0" fillId="0" borderId="38" xfId="0" applyBorder="1" applyAlignment="1">
      <alignment horizontal="center"/>
    </xf>
    <xf numFmtId="165" fontId="6" fillId="0" borderId="39" xfId="2" applyNumberFormat="1" applyFont="1" applyFill="1" applyBorder="1" applyProtection="1"/>
    <xf numFmtId="164" fontId="6" fillId="0" borderId="39" xfId="3" applyNumberFormat="1" applyFont="1" applyBorder="1"/>
    <xf numFmtId="164" fontId="6" fillId="0" borderId="39" xfId="3" applyNumberFormat="1" applyFont="1" applyBorder="1" applyAlignment="1">
      <alignment horizontal="right"/>
    </xf>
    <xf numFmtId="164" fontId="6" fillId="0" borderId="40" xfId="3" applyNumberFormat="1" applyFont="1" applyBorder="1"/>
    <xf numFmtId="3" fontId="0" fillId="0" borderId="39" xfId="0" applyNumberFormat="1" applyBorder="1"/>
    <xf numFmtId="166" fontId="0" fillId="0" borderId="40" xfId="0" applyNumberFormat="1" applyBorder="1" applyAlignment="1" applyProtection="1">
      <alignment horizontal="right" vertical="center"/>
      <protection locked="0"/>
    </xf>
    <xf numFmtId="9" fontId="0" fillId="0" borderId="38" xfId="0" applyNumberFormat="1" applyBorder="1"/>
    <xf numFmtId="9" fontId="0" fillId="0" borderId="40" xfId="0" applyNumberFormat="1" applyBorder="1"/>
    <xf numFmtId="165" fontId="0" fillId="0" borderId="0" xfId="0" applyNumberFormat="1"/>
    <xf numFmtId="0" fontId="0" fillId="0" borderId="41" xfId="0" applyBorder="1"/>
    <xf numFmtId="0" fontId="0" fillId="0" borderId="27" xfId="0" applyBorder="1" applyAlignment="1">
      <alignment horizontal="center"/>
    </xf>
    <xf numFmtId="165" fontId="6" fillId="0" borderId="37" xfId="2" applyNumberFormat="1" applyFont="1" applyFill="1" applyBorder="1" applyProtection="1"/>
    <xf numFmtId="164" fontId="6" fillId="0" borderId="37" xfId="3" applyNumberFormat="1" applyFont="1" applyBorder="1"/>
    <xf numFmtId="164" fontId="6" fillId="0" borderId="37" xfId="3" applyNumberFormat="1" applyFont="1" applyBorder="1" applyAlignment="1">
      <alignment horizontal="right"/>
    </xf>
    <xf numFmtId="9" fontId="0" fillId="0" borderId="27" xfId="0" applyNumberFormat="1" applyBorder="1"/>
    <xf numFmtId="9" fontId="0" fillId="0" borderId="28" xfId="0" applyNumberFormat="1" applyBorder="1"/>
    <xf numFmtId="165" fontId="8" fillId="0" borderId="41" xfId="3" applyNumberFormat="1" applyFont="1" applyBorder="1"/>
    <xf numFmtId="165" fontId="6" fillId="0" borderId="41" xfId="3" applyNumberFormat="1" applyFont="1" applyBorder="1"/>
    <xf numFmtId="3" fontId="2" fillId="0" borderId="0" xfId="0" applyNumberFormat="1" applyFont="1"/>
    <xf numFmtId="0" fontId="2" fillId="0" borderId="12" xfId="0" applyFont="1" applyBorder="1" applyAlignment="1">
      <alignment horizontal="right"/>
    </xf>
    <xf numFmtId="0" fontId="0" fillId="0" borderId="42" xfId="0" applyBorder="1"/>
    <xf numFmtId="0" fontId="0" fillId="0" borderId="43" xfId="0" applyBorder="1"/>
    <xf numFmtId="0" fontId="0" fillId="0" borderId="37" xfId="0" applyBorder="1"/>
    <xf numFmtId="9" fontId="1" fillId="0" borderId="27" xfId="1" applyFont="1" applyFill="1" applyBorder="1" applyAlignment="1" applyProtection="1">
      <alignment horizontal="right" vertical="center"/>
      <protection locked="0"/>
    </xf>
    <xf numFmtId="9" fontId="1" fillId="0" borderId="28" xfId="1" applyFont="1" applyFill="1" applyBorder="1" applyAlignment="1" applyProtection="1">
      <alignment horizontal="right" vertical="center"/>
      <protection locked="0"/>
    </xf>
    <xf numFmtId="0" fontId="0" fillId="0" borderId="44" xfId="0" applyBorder="1" applyAlignment="1">
      <alignment horizontal="center"/>
    </xf>
    <xf numFmtId="0" fontId="0" fillId="0" borderId="45" xfId="0" applyBorder="1"/>
    <xf numFmtId="164" fontId="6" fillId="0" borderId="45" xfId="3" applyNumberFormat="1" applyFont="1" applyBorder="1"/>
    <xf numFmtId="0" fontId="0" fillId="0" borderId="29" xfId="0" applyBorder="1" applyAlignment="1">
      <alignment horizontal="center"/>
    </xf>
    <xf numFmtId="0" fontId="0" fillId="0" borderId="46" xfId="0" applyBorder="1"/>
    <xf numFmtId="164" fontId="6" fillId="0" borderId="46" xfId="3" applyNumberFormat="1" applyFont="1" applyBorder="1"/>
    <xf numFmtId="164" fontId="6" fillId="0" borderId="46" xfId="3" applyNumberFormat="1" applyFont="1" applyBorder="1" applyAlignment="1">
      <alignment horizontal="right"/>
    </xf>
    <xf numFmtId="164" fontId="6" fillId="0" borderId="30" xfId="3" applyNumberFormat="1" applyFont="1" applyBorder="1"/>
    <xf numFmtId="3" fontId="0" fillId="0" borderId="46" xfId="0" applyNumberFormat="1" applyBorder="1"/>
    <xf numFmtId="166" fontId="0" fillId="0" borderId="30" xfId="0" applyNumberFormat="1" applyBorder="1" applyAlignment="1" applyProtection="1">
      <alignment horizontal="right" vertical="center"/>
      <protection locked="0"/>
    </xf>
    <xf numFmtId="9" fontId="1" fillId="0" borderId="29" xfId="1" applyFont="1" applyFill="1" applyBorder="1" applyAlignment="1" applyProtection="1">
      <alignment horizontal="right" vertical="center"/>
      <protection locked="0"/>
    </xf>
    <xf numFmtId="9" fontId="1" fillId="0" borderId="30" xfId="1" applyFont="1" applyFill="1" applyBorder="1" applyAlignment="1" applyProtection="1">
      <alignment horizontal="right" vertical="center"/>
      <protection locked="0"/>
    </xf>
    <xf numFmtId="0" fontId="2" fillId="3" borderId="37" xfId="0" applyFont="1" applyFill="1" applyBorder="1" applyAlignment="1">
      <alignment horizontal="center" wrapText="1"/>
    </xf>
    <xf numFmtId="166" fontId="0" fillId="0" borderId="37" xfId="0" applyNumberFormat="1" applyBorder="1" applyProtection="1">
      <protection locked="0"/>
    </xf>
    <xf numFmtId="0" fontId="0" fillId="0" borderId="37" xfId="0" applyBorder="1" applyAlignment="1">
      <alignment horizontal="center" wrapText="1"/>
    </xf>
    <xf numFmtId="164" fontId="0" fillId="0" borderId="37" xfId="0" applyNumberFormat="1" applyBorder="1"/>
    <xf numFmtId="166" fontId="0" fillId="0" borderId="45" xfId="0" applyNumberFormat="1" applyBorder="1" applyProtection="1">
      <protection locked="0"/>
    </xf>
    <xf numFmtId="164" fontId="0" fillId="0" borderId="45" xfId="0" applyNumberFormat="1" applyBorder="1"/>
    <xf numFmtId="0" fontId="0" fillId="5" borderId="37" xfId="0" applyFill="1" applyBorder="1" applyAlignment="1" applyProtection="1">
      <alignment horizontal="left" wrapText="1"/>
      <protection locked="0"/>
    </xf>
    <xf numFmtId="0" fontId="0" fillId="0" borderId="37" xfId="0" applyBorder="1" applyAlignment="1">
      <alignment horizontal="right" wrapText="1"/>
    </xf>
    <xf numFmtId="0" fontId="0" fillId="0" borderId="45" xfId="0" applyBorder="1" applyAlignment="1">
      <alignment horizontal="center" wrapText="1"/>
    </xf>
    <xf numFmtId="0" fontId="0" fillId="0" borderId="47" xfId="0" applyBorder="1"/>
    <xf numFmtId="5" fontId="0" fillId="0" borderId="37" xfId="0" applyNumberFormat="1" applyBorder="1"/>
    <xf numFmtId="0" fontId="0" fillId="0" borderId="48" xfId="0" applyBorder="1"/>
    <xf numFmtId="0" fontId="2" fillId="0" borderId="37" xfId="0" applyFont="1" applyBorder="1"/>
    <xf numFmtId="0" fontId="2" fillId="0" borderId="0" xfId="0" applyFont="1"/>
    <xf numFmtId="0" fontId="0" fillId="0" borderId="47" xfId="0" applyBorder="1" applyAlignment="1">
      <alignment horizontal="center"/>
    </xf>
    <xf numFmtId="0" fontId="9" fillId="0" borderId="0" xfId="0" applyFont="1"/>
    <xf numFmtId="0" fontId="10" fillId="6" borderId="0" xfId="0" applyFont="1" applyFill="1"/>
    <xf numFmtId="167" fontId="0" fillId="5" borderId="45" xfId="0" applyNumberFormat="1" applyFill="1" applyBorder="1" applyProtection="1">
      <protection locked="0"/>
    </xf>
    <xf numFmtId="0" fontId="0" fillId="5" borderId="45" xfId="0" applyFill="1" applyBorder="1" applyProtection="1">
      <protection locked="0"/>
    </xf>
    <xf numFmtId="0" fontId="0" fillId="5" borderId="37" xfId="0" applyFill="1" applyBorder="1" applyProtection="1">
      <protection locked="0"/>
    </xf>
    <xf numFmtId="5" fontId="0" fillId="5" borderId="37" xfId="0" applyNumberFormat="1" applyFill="1" applyBorder="1" applyProtection="1">
      <protection locked="0"/>
    </xf>
    <xf numFmtId="167" fontId="0" fillId="5" borderId="37" xfId="0" applyNumberFormat="1" applyFill="1" applyBorder="1" applyProtection="1">
      <protection locked="0"/>
    </xf>
    <xf numFmtId="7" fontId="0" fillId="5" borderId="37" xfId="0" applyNumberFormat="1" applyFill="1" applyBorder="1" applyProtection="1">
      <protection locked="0"/>
    </xf>
    <xf numFmtId="2" fontId="0" fillId="5" borderId="37" xfId="0" applyNumberFormat="1" applyFill="1" applyBorder="1" applyProtection="1">
      <protection locked="0"/>
    </xf>
    <xf numFmtId="165" fontId="6" fillId="5" borderId="28" xfId="2" applyNumberFormat="1" applyFont="1" applyFill="1" applyBorder="1" applyAlignment="1" applyProtection="1">
      <alignment horizontal="right"/>
      <protection locked="0"/>
    </xf>
    <xf numFmtId="165" fontId="6" fillId="5" borderId="28" xfId="2" applyNumberFormat="1" applyFont="1" applyFill="1" applyBorder="1" applyProtection="1">
      <protection locked="0"/>
    </xf>
    <xf numFmtId="10" fontId="6" fillId="5" borderId="28" xfId="1" applyNumberFormat="1" applyFont="1" applyFill="1" applyBorder="1" applyProtection="1">
      <protection locked="0"/>
    </xf>
    <xf numFmtId="10" fontId="6" fillId="5" borderId="30" xfId="1" applyNumberFormat="1" applyFont="1" applyFill="1" applyBorder="1" applyProtection="1">
      <protection locked="0"/>
    </xf>
    <xf numFmtId="3" fontId="0" fillId="5" borderId="38" xfId="0" applyNumberFormat="1" applyFill="1" applyBorder="1" applyProtection="1">
      <protection locked="0"/>
    </xf>
    <xf numFmtId="9" fontId="0" fillId="5" borderId="39" xfId="1" applyFont="1" applyFill="1" applyBorder="1" applyProtection="1">
      <protection locked="0"/>
    </xf>
    <xf numFmtId="3" fontId="0" fillId="5" borderId="27" xfId="0" applyNumberFormat="1" applyFill="1" applyBorder="1" applyProtection="1">
      <protection locked="0"/>
    </xf>
    <xf numFmtId="3" fontId="0" fillId="5" borderId="29" xfId="0" applyNumberFormat="1" applyFill="1" applyBorder="1" applyProtection="1">
      <protection locked="0"/>
    </xf>
    <xf numFmtId="9" fontId="0" fillId="5" borderId="46" xfId="1" applyFont="1" applyFill="1" applyBorder="1" applyProtection="1">
      <protection locked="0"/>
    </xf>
    <xf numFmtId="164" fontId="6" fillId="5" borderId="39" xfId="3" applyNumberFormat="1" applyFont="1" applyFill="1" applyBorder="1" applyProtection="1">
      <protection locked="0"/>
    </xf>
    <xf numFmtId="164" fontId="6" fillId="5" borderId="37" xfId="3" applyNumberFormat="1" applyFont="1" applyFill="1" applyBorder="1" applyProtection="1">
      <protection locked="0"/>
    </xf>
    <xf numFmtId="164" fontId="6" fillId="5" borderId="46" xfId="3" applyNumberFormat="1" applyFont="1" applyFill="1" applyBorder="1" applyProtection="1">
      <protection locked="0"/>
    </xf>
    <xf numFmtId="0" fontId="0" fillId="5" borderId="0" xfId="0" applyFill="1" applyProtection="1">
      <protection locked="0"/>
    </xf>
    <xf numFmtId="9" fontId="0" fillId="5" borderId="0" xfId="0" applyNumberFormat="1" applyFill="1" applyProtection="1">
      <protection locked="0"/>
    </xf>
  </cellXfs>
  <cellStyles count="5">
    <cellStyle name="Comma 2" xfId="2" xr:uid="{0B394635-4093-4CED-8EAA-E9B0CFF23061}"/>
    <cellStyle name="Normal" xfId="0" builtinId="0"/>
    <cellStyle name="Normal 2" xfId="3" xr:uid="{431940BC-589D-49AF-AB62-8A3B11E33520}"/>
    <cellStyle name="Normal 38" xfId="4" xr:uid="{BA1E9428-3E60-42E7-A3D4-E5CDECA3C2F0}"/>
    <cellStyle name="Per cent" xfId="1" builtinId="5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iceuk.sharepoint.com/sites/Resource_Impact_Assessment/Shared%20Documents/Operational%20resources/RIA%20product%20templates/RI%20template%20v30.xlsx" TargetMode="External"/><Relationship Id="rId1" Type="http://schemas.openxmlformats.org/officeDocument/2006/relationships/externalLinkPath" Target="https://niceuk.sharepoint.com/sites/Resource_Impact_Assessment/Shared%20Documents/Operational%20resources/RIA%20product%20templates/RI%20template%20v3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pulation selection"/>
      <sheetName val="Uptake phasing"/>
      <sheetName val="Cover"/>
      <sheetName val="Contents"/>
      <sheetName val="Inputs and population"/>
      <sheetName val="Capacity inputs"/>
      <sheetName val="Events"/>
      <sheetName val="Unit costs"/>
      <sheetName val="Summary"/>
      <sheetName val="Financial impact (cash)"/>
      <sheetName val="Capacity (local prices)"/>
      <sheetName val="Capacity (national prices)"/>
      <sheetName val="paysc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D5465-02D9-4DF4-A94A-8CC1D3549BA3}">
  <dimension ref="A1:J21"/>
  <sheetViews>
    <sheetView tabSelected="1" zoomScale="75" zoomScaleNormal="75" workbookViewId="0">
      <selection activeCell="A30" sqref="A30"/>
    </sheetView>
  </sheetViews>
  <sheetFormatPr defaultRowHeight="14.4" x14ac:dyDescent="0.3"/>
  <cols>
    <col min="1" max="1" width="110.21875" customWidth="1"/>
    <col min="2" max="2" width="9.21875" customWidth="1"/>
    <col min="3" max="3" width="17.5546875" customWidth="1"/>
    <col min="10" max="10" width="11.5546875" customWidth="1"/>
  </cols>
  <sheetData>
    <row r="1" spans="1:10" ht="21" x14ac:dyDescent="0.4">
      <c r="A1" s="124" t="s">
        <v>0</v>
      </c>
    </row>
    <row r="2" spans="1:10" ht="15.6" x14ac:dyDescent="0.3">
      <c r="A2" s="123" t="s">
        <v>1</v>
      </c>
    </row>
    <row r="3" spans="1:10" ht="15.6" x14ac:dyDescent="0.3">
      <c r="A3" s="123" t="s">
        <v>2</v>
      </c>
    </row>
    <row r="4" spans="1:10" ht="15.6" x14ac:dyDescent="0.3">
      <c r="A4" s="123" t="s">
        <v>3</v>
      </c>
    </row>
    <row r="5" spans="1:10" ht="72" x14ac:dyDescent="0.3">
      <c r="A5" s="120" t="s">
        <v>4</v>
      </c>
      <c r="B5" s="120" t="s">
        <v>5</v>
      </c>
      <c r="C5" s="108" t="s">
        <v>6</v>
      </c>
      <c r="D5" s="108" t="s">
        <v>7</v>
      </c>
      <c r="E5" s="115" t="s">
        <v>8</v>
      </c>
      <c r="F5" s="115" t="s">
        <v>9</v>
      </c>
      <c r="G5" s="116" t="s">
        <v>10</v>
      </c>
      <c r="H5" s="110" t="s">
        <v>11</v>
      </c>
      <c r="I5" s="115" t="s">
        <v>12</v>
      </c>
      <c r="J5" s="115" t="s">
        <v>13</v>
      </c>
    </row>
    <row r="6" spans="1:10" x14ac:dyDescent="0.3">
      <c r="A6" s="97" t="s">
        <v>14</v>
      </c>
      <c r="C6" s="114" t="s">
        <v>15</v>
      </c>
      <c r="D6" s="112">
        <f>VLOOKUP(C6,payscales!B:K,10,0)</f>
        <v>44.4</v>
      </c>
      <c r="E6" s="125">
        <v>2.46</v>
      </c>
      <c r="F6" s="126">
        <v>52.143000000000001</v>
      </c>
      <c r="G6" s="97"/>
      <c r="H6" s="97"/>
      <c r="I6" s="113">
        <f>D6*E6*F6</f>
        <v>5695.2670319999997</v>
      </c>
      <c r="J6" s="111">
        <f>I6</f>
        <v>5695.2670319999997</v>
      </c>
    </row>
    <row r="7" spans="1:10" x14ac:dyDescent="0.3">
      <c r="A7" s="93" t="s">
        <v>16</v>
      </c>
      <c r="B7" s="117"/>
      <c r="C7" s="114" t="s">
        <v>17</v>
      </c>
      <c r="D7" s="109">
        <f>VLOOKUP(C7,payscales!B:K,10,0)</f>
        <v>23.27</v>
      </c>
      <c r="E7" s="127">
        <v>0.5</v>
      </c>
      <c r="F7" s="127">
        <f>F6</f>
        <v>52.143000000000001</v>
      </c>
      <c r="G7" s="93"/>
      <c r="H7" s="93"/>
      <c r="I7" s="111">
        <f>D7*E7*F7</f>
        <v>606.68380500000001</v>
      </c>
      <c r="J7" s="111">
        <f>I7+J6</f>
        <v>6301.9508369999994</v>
      </c>
    </row>
    <row r="8" spans="1:10" x14ac:dyDescent="0.3">
      <c r="A8" s="117" t="s">
        <v>18</v>
      </c>
      <c r="B8" s="117"/>
      <c r="C8" s="93"/>
      <c r="D8" s="93"/>
      <c r="E8" s="93"/>
      <c r="F8" s="93"/>
      <c r="G8" s="127"/>
      <c r="H8" s="127"/>
      <c r="I8" s="111">
        <f>D8*E8*F8</f>
        <v>0</v>
      </c>
      <c r="J8" s="111">
        <f>I8+J7</f>
        <v>6301.9508369999994</v>
      </c>
    </row>
    <row r="9" spans="1:10" x14ac:dyDescent="0.3">
      <c r="A9" s="117" t="s">
        <v>19</v>
      </c>
      <c r="B9" s="117"/>
      <c r="C9" s="93"/>
      <c r="D9" s="93"/>
      <c r="E9" s="93"/>
      <c r="F9" s="93"/>
      <c r="G9" s="127"/>
      <c r="H9" s="127"/>
      <c r="I9" s="111"/>
      <c r="J9" s="111"/>
    </row>
    <row r="10" spans="1:10" x14ac:dyDescent="0.3">
      <c r="A10" s="117" t="s">
        <v>20</v>
      </c>
      <c r="B10" s="122">
        <v>1</v>
      </c>
      <c r="C10" s="93"/>
      <c r="D10" s="93"/>
      <c r="E10" s="93"/>
      <c r="F10" s="93"/>
      <c r="G10" s="128">
        <f>'Cost collection data '!D3</f>
        <v>4232.6437834373437</v>
      </c>
      <c r="H10" s="129">
        <f>-0.99</f>
        <v>-0.99</v>
      </c>
      <c r="I10" s="118">
        <f>G10*H10</f>
        <v>-4190.3173456029699</v>
      </c>
      <c r="J10" s="111">
        <f>J8+I10</f>
        <v>2111.6334913970295</v>
      </c>
    </row>
    <row r="11" spans="1:10" x14ac:dyDescent="0.3">
      <c r="A11" s="117" t="s">
        <v>21</v>
      </c>
      <c r="B11" s="122"/>
      <c r="C11" s="93"/>
      <c r="D11" s="93"/>
      <c r="E11" s="93"/>
      <c r="F11" s="93"/>
      <c r="G11" s="128">
        <v>350</v>
      </c>
      <c r="H11" s="129">
        <v>-2</v>
      </c>
      <c r="I11" s="118">
        <f>G11*H11</f>
        <v>-700</v>
      </c>
      <c r="J11" s="111">
        <f>J10+I11</f>
        <v>1411.6334913970295</v>
      </c>
    </row>
    <row r="12" spans="1:10" x14ac:dyDescent="0.3">
      <c r="A12" s="117" t="s">
        <v>22</v>
      </c>
      <c r="B12" s="122">
        <v>1</v>
      </c>
      <c r="C12" s="93"/>
      <c r="D12" s="93"/>
      <c r="E12" s="93"/>
      <c r="F12" s="93"/>
      <c r="G12" s="130">
        <f>'Cost collection data '!D16</f>
        <v>497.66970508211813</v>
      </c>
      <c r="H12" s="129">
        <v>-1.2</v>
      </c>
      <c r="I12" s="118">
        <f>G12*H12</f>
        <v>-597.20364609854175</v>
      </c>
      <c r="J12" s="111">
        <f t="shared" ref="J12:J16" si="0">J11+I12</f>
        <v>814.42984529848775</v>
      </c>
    </row>
    <row r="13" spans="1:10" x14ac:dyDescent="0.3">
      <c r="A13" s="117" t="s">
        <v>23</v>
      </c>
      <c r="B13" s="117"/>
      <c r="C13" s="93"/>
      <c r="D13" s="93"/>
      <c r="E13" s="93"/>
      <c r="F13" s="93"/>
      <c r="G13" s="130">
        <v>120</v>
      </c>
      <c r="H13" s="129">
        <v>-2</v>
      </c>
      <c r="I13" s="118">
        <f>G13*H13</f>
        <v>-240</v>
      </c>
      <c r="J13" s="111">
        <f t="shared" si="0"/>
        <v>574.42984529848775</v>
      </c>
    </row>
    <row r="14" spans="1:10" x14ac:dyDescent="0.3">
      <c r="A14" s="119" t="s">
        <v>24</v>
      </c>
      <c r="B14" s="119"/>
      <c r="C14" s="114" t="s">
        <v>25</v>
      </c>
      <c r="D14" s="112">
        <f>VLOOKUP(C14,payscales!B:K,10,0)</f>
        <v>96.44</v>
      </c>
      <c r="E14" s="126">
        <v>0</v>
      </c>
      <c r="F14" s="126">
        <v>52.143000000000001</v>
      </c>
      <c r="G14" s="97"/>
      <c r="H14" s="97"/>
      <c r="I14" s="113">
        <f>D14*E14*F14</f>
        <v>0</v>
      </c>
      <c r="J14" s="111">
        <f t="shared" si="0"/>
        <v>574.42984529848775</v>
      </c>
    </row>
    <row r="15" spans="1:10" x14ac:dyDescent="0.3">
      <c r="A15" s="117" t="s">
        <v>26</v>
      </c>
      <c r="B15" s="117"/>
      <c r="C15" s="93"/>
      <c r="D15" s="97"/>
      <c r="E15" s="97"/>
      <c r="F15" s="97"/>
      <c r="G15" s="97"/>
      <c r="H15" s="126"/>
      <c r="I15" s="113">
        <f t="shared" ref="I15:I16" si="1">D15*E15*F15</f>
        <v>0</v>
      </c>
      <c r="J15" s="111">
        <f t="shared" si="0"/>
        <v>574.42984529848775</v>
      </c>
    </row>
    <row r="16" spans="1:10" x14ac:dyDescent="0.3">
      <c r="A16" s="117" t="s">
        <v>27</v>
      </c>
      <c r="B16" s="117"/>
      <c r="C16" s="93"/>
      <c r="D16" s="97"/>
      <c r="E16" s="97"/>
      <c r="F16" s="97"/>
      <c r="G16" s="97"/>
      <c r="H16" s="126"/>
      <c r="I16" s="113">
        <f t="shared" si="1"/>
        <v>0</v>
      </c>
      <c r="J16" s="111">
        <f t="shared" si="0"/>
        <v>574.42984529848775</v>
      </c>
    </row>
    <row r="17" spans="1:10" x14ac:dyDescent="0.3">
      <c r="A17" s="93" t="s">
        <v>28</v>
      </c>
      <c r="B17" s="66">
        <v>2</v>
      </c>
      <c r="C17" s="114" t="s">
        <v>29</v>
      </c>
      <c r="D17" s="109">
        <f>VLOOKUP(C17,payscales!B:K,10,0)</f>
        <v>35.97</v>
      </c>
      <c r="E17" s="131">
        <f>IF(J16&lt;0,0,-J16/F17/D17)</f>
        <v>-0.30626723949233264</v>
      </c>
      <c r="F17" s="127">
        <f>F14</f>
        <v>52.143000000000001</v>
      </c>
      <c r="G17" s="93"/>
      <c r="H17" s="93"/>
      <c r="I17" s="111">
        <f>D17*E17*F17</f>
        <v>-574.42984529848775</v>
      </c>
      <c r="J17" s="111">
        <f t="shared" ref="J17" si="2">J16+I17</f>
        <v>0</v>
      </c>
    </row>
    <row r="19" spans="1:10" x14ac:dyDescent="0.3">
      <c r="A19" s="121" t="s">
        <v>30</v>
      </c>
    </row>
    <row r="20" spans="1:10" x14ac:dyDescent="0.3">
      <c r="A20" t="s">
        <v>31</v>
      </c>
    </row>
    <row r="21" spans="1:10" x14ac:dyDescent="0.3">
      <c r="A21" t="s">
        <v>32</v>
      </c>
    </row>
  </sheetData>
  <sheetProtection algorithmName="SHA-512" hashValue="z/GClY2SHua8mDNPP6EZPPXfWeIzfH5VXiHITa4TBmNyHJeHamUpDsFhjWQ3h7ixE3f3Exeg/2HJzeAQ8VA/jQ==" saltValue="JkQBg/t4qPQ6nqin6d8hWA==" spinCount="100000" sheet="1" objects="1" scenarios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6AC9AE5-3E90-4820-A6EC-F5337875C255}">
          <x14:formula1>
            <xm:f>payscales!$B$13:$B$48</xm:f>
          </x14:formula1>
          <xm:sqref>C6:C7 C14:C17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18E5C-60FA-404C-AFF0-44C5F9A721A9}">
  <sheetPr>
    <tabColor theme="1"/>
    <pageSetUpPr fitToPage="1"/>
  </sheetPr>
  <dimension ref="A1:W103"/>
  <sheetViews>
    <sheetView showGridLines="0" zoomScale="75" zoomScaleNormal="75" workbookViewId="0">
      <selection activeCell="D13" sqref="D13"/>
    </sheetView>
  </sheetViews>
  <sheetFormatPr defaultColWidth="8.5546875" defaultRowHeight="14.4" x14ac:dyDescent="0.3"/>
  <cols>
    <col min="1" max="1" width="13.5546875" customWidth="1"/>
    <col min="2" max="2" width="28.77734375" customWidth="1"/>
    <col min="3" max="4" width="12.5546875" customWidth="1"/>
    <col min="5" max="6" width="11.77734375" customWidth="1"/>
    <col min="7" max="7" width="10.44140625" style="52" customWidth="1"/>
    <col min="8" max="8" width="11.77734375" customWidth="1"/>
    <col min="9" max="9" width="12.5546875" customWidth="1"/>
    <col min="10" max="10" width="11" customWidth="1"/>
    <col min="11" max="11" width="10.21875" customWidth="1"/>
    <col min="12" max="12" width="2.77734375" customWidth="1"/>
    <col min="13" max="13" width="10.21875" customWidth="1"/>
    <col min="14" max="14" width="14.77734375" customWidth="1"/>
    <col min="15" max="15" width="9" hidden="1" customWidth="1"/>
    <col min="16" max="16" width="15.21875" hidden="1" customWidth="1"/>
    <col min="17" max="17" width="13.44140625" hidden="1" customWidth="1"/>
    <col min="18" max="18" width="14.44140625" hidden="1" customWidth="1"/>
    <col min="19" max="19" width="11.5546875" hidden="1" customWidth="1"/>
    <col min="20" max="20" width="2.77734375" customWidth="1"/>
    <col min="21" max="21" width="47.44140625" bestFit="1" customWidth="1"/>
    <col min="22" max="22" width="10" customWidth="1"/>
    <col min="23" max="23" width="0.77734375" customWidth="1"/>
  </cols>
  <sheetData>
    <row r="1" spans="1:23" ht="21" customHeight="1" x14ac:dyDescent="0.3">
      <c r="A1" s="44" t="s">
        <v>33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23" ht="14.55" customHeigh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M2" s="45"/>
      <c r="N2" s="45"/>
      <c r="O2" s="45"/>
    </row>
    <row r="3" spans="1:23" ht="14.55" customHeight="1" x14ac:dyDescent="0.3">
      <c r="A3" s="46" t="s">
        <v>34</v>
      </c>
      <c r="B3" s="45"/>
      <c r="C3" s="45"/>
      <c r="D3" s="45"/>
      <c r="E3" s="45"/>
      <c r="F3" s="45"/>
      <c r="G3" s="45"/>
      <c r="H3" s="45"/>
      <c r="I3" s="45"/>
      <c r="J3" s="45"/>
      <c r="K3" s="45"/>
      <c r="M3" s="45"/>
      <c r="N3" s="45"/>
      <c r="O3" s="45"/>
    </row>
    <row r="4" spans="1:23" ht="14.55" customHeight="1" thickBot="1" x14ac:dyDescent="0.3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M4" s="45"/>
      <c r="N4" s="45"/>
      <c r="O4" s="45"/>
      <c r="P4" t="s">
        <v>35</v>
      </c>
    </row>
    <row r="5" spans="1:23" ht="14.55" customHeight="1" x14ac:dyDescent="0.3">
      <c r="A5" s="45"/>
      <c r="B5" s="47" t="s">
        <v>36</v>
      </c>
      <c r="C5" s="48"/>
      <c r="D5" s="45"/>
      <c r="E5" s="45"/>
      <c r="F5" s="45"/>
      <c r="G5" s="45"/>
      <c r="H5" s="45"/>
      <c r="I5" s="45"/>
      <c r="J5" s="45"/>
      <c r="K5" s="45"/>
      <c r="M5" s="45"/>
      <c r="N5" s="45"/>
      <c r="O5" s="45"/>
      <c r="P5" t="s">
        <v>37</v>
      </c>
    </row>
    <row r="6" spans="1:23" ht="14.55" customHeight="1" x14ac:dyDescent="0.3">
      <c r="A6" s="45"/>
      <c r="B6" s="49" t="s">
        <v>38</v>
      </c>
      <c r="C6" s="132" t="s">
        <v>37</v>
      </c>
      <c r="D6" s="50" t="s">
        <v>39</v>
      </c>
      <c r="E6" s="45"/>
      <c r="F6" s="45"/>
      <c r="G6" s="45"/>
      <c r="H6" s="45"/>
      <c r="I6" s="45"/>
      <c r="J6" s="45"/>
      <c r="K6" s="45"/>
      <c r="M6" s="45"/>
      <c r="N6" s="45"/>
      <c r="O6" s="45"/>
      <c r="P6" t="s">
        <v>40</v>
      </c>
    </row>
    <row r="7" spans="1:23" ht="14.55" customHeight="1" x14ac:dyDescent="0.3">
      <c r="A7" s="45"/>
      <c r="B7" s="49" t="s">
        <v>41</v>
      </c>
      <c r="C7" s="133">
        <v>5000</v>
      </c>
      <c r="D7" s="45"/>
      <c r="E7" s="45"/>
      <c r="F7" s="45"/>
      <c r="G7" s="45"/>
      <c r="H7" s="45"/>
      <c r="I7" s="45"/>
      <c r="J7" s="45"/>
      <c r="K7" s="45"/>
      <c r="M7" s="45"/>
      <c r="N7" s="45"/>
      <c r="O7" s="45"/>
      <c r="P7" t="s">
        <v>42</v>
      </c>
    </row>
    <row r="8" spans="1:23" ht="14.55" customHeight="1" x14ac:dyDescent="0.3">
      <c r="A8" s="45"/>
      <c r="B8" s="49" t="s">
        <v>43</v>
      </c>
      <c r="C8" s="134">
        <v>0.15</v>
      </c>
      <c r="D8" s="45"/>
      <c r="E8" s="45"/>
      <c r="F8" s="45"/>
      <c r="G8" s="45"/>
      <c r="H8" s="45"/>
      <c r="I8" s="45"/>
      <c r="J8" s="45"/>
      <c r="K8" s="45"/>
      <c r="M8" s="45"/>
      <c r="N8" s="45"/>
      <c r="O8" s="45"/>
      <c r="P8" t="s">
        <v>44</v>
      </c>
    </row>
    <row r="9" spans="1:23" ht="14.55" customHeight="1" x14ac:dyDescent="0.3">
      <c r="A9" s="45"/>
      <c r="B9" s="49" t="s">
        <v>45</v>
      </c>
      <c r="C9" s="134">
        <v>0.23780000000000001</v>
      </c>
      <c r="D9" s="45"/>
      <c r="E9" s="45"/>
      <c r="F9" s="45"/>
      <c r="G9" s="45"/>
      <c r="H9" s="45"/>
      <c r="I9" s="45"/>
      <c r="J9" s="45"/>
      <c r="K9" s="45"/>
      <c r="M9" s="45"/>
      <c r="N9" s="45"/>
      <c r="O9" s="45"/>
    </row>
    <row r="10" spans="1:23" ht="14.55" customHeight="1" thickBot="1" x14ac:dyDescent="0.35">
      <c r="A10" s="45"/>
      <c r="B10" s="51" t="s">
        <v>46</v>
      </c>
      <c r="C10" s="135">
        <v>5.0000000000000001E-3</v>
      </c>
      <c r="D10" s="45"/>
      <c r="E10" s="45"/>
      <c r="F10" s="45"/>
      <c r="G10" s="45"/>
      <c r="H10" s="45"/>
      <c r="I10" s="45"/>
      <c r="J10" s="45"/>
      <c r="K10" s="45"/>
      <c r="M10" s="45"/>
      <c r="N10" s="45"/>
      <c r="O10" s="45"/>
    </row>
    <row r="11" spans="1:23" ht="15" thickBot="1" x14ac:dyDescent="0.35">
      <c r="M11" s="53" t="s">
        <v>47</v>
      </c>
      <c r="N11" s="54"/>
      <c r="P11" t="s">
        <v>48</v>
      </c>
      <c r="Q11" s="55"/>
      <c r="S11" s="55"/>
    </row>
    <row r="12" spans="1:23" ht="109.8" customHeight="1" thickBot="1" x14ac:dyDescent="0.35">
      <c r="A12" s="56" t="s">
        <v>49</v>
      </c>
      <c r="B12" s="57" t="s">
        <v>50</v>
      </c>
      <c r="C12" s="58" t="s">
        <v>51</v>
      </c>
      <c r="D12" s="58" t="s">
        <v>52</v>
      </c>
      <c r="E12" s="58" t="s">
        <v>53</v>
      </c>
      <c r="F12" s="59" t="s">
        <v>54</v>
      </c>
      <c r="G12" s="60" t="s">
        <v>55</v>
      </c>
      <c r="H12" s="61" t="s">
        <v>56</v>
      </c>
      <c r="I12" s="62" t="s">
        <v>57</v>
      </c>
      <c r="J12" s="62" t="s">
        <v>58</v>
      </c>
      <c r="K12" s="63" t="s">
        <v>59</v>
      </c>
      <c r="M12" s="64" t="s">
        <v>60</v>
      </c>
      <c r="N12" s="65" t="s">
        <v>61</v>
      </c>
      <c r="P12" s="66" t="s">
        <v>37</v>
      </c>
      <c r="Q12" s="66" t="s">
        <v>62</v>
      </c>
      <c r="R12" s="66" t="s">
        <v>63</v>
      </c>
      <c r="S12" s="66" t="s">
        <v>64</v>
      </c>
      <c r="U12" s="67" t="s">
        <v>65</v>
      </c>
      <c r="V12" s="68"/>
      <c r="W12" s="69"/>
    </row>
    <row r="13" spans="1:23" x14ac:dyDescent="0.3">
      <c r="A13" s="70">
        <v>2</v>
      </c>
      <c r="B13" s="71" t="s">
        <v>66</v>
      </c>
      <c r="C13" s="141">
        <f>HLOOKUP($C$6,$P$12:$S$42,2,FALSE)</f>
        <v>24465</v>
      </c>
      <c r="D13" s="72">
        <f>(C13-$C$7)*$C$8</f>
        <v>2919.75</v>
      </c>
      <c r="E13" s="72">
        <f t="shared" ref="E13:E42" si="0">C13*$C$9</f>
        <v>5817.777</v>
      </c>
      <c r="F13" s="73">
        <f t="shared" ref="F13:F48" si="1">C13*$C$10</f>
        <v>122.325</v>
      </c>
      <c r="G13" s="74">
        <f>SUM(C13:F13)</f>
        <v>33324.851999999999</v>
      </c>
      <c r="H13" s="136">
        <v>1560</v>
      </c>
      <c r="I13" s="137">
        <v>1</v>
      </c>
      <c r="J13" s="75">
        <f>H13*I13</f>
        <v>1560</v>
      </c>
      <c r="K13" s="76">
        <f>ROUND(G13/J13,2)</f>
        <v>21.36</v>
      </c>
      <c r="M13" s="77">
        <v>0.41</v>
      </c>
      <c r="N13" s="78">
        <v>0.83</v>
      </c>
      <c r="P13" s="79">
        <v>24465</v>
      </c>
      <c r="Q13" s="2">
        <v>30074</v>
      </c>
      <c r="R13" s="2">
        <v>29179</v>
      </c>
      <c r="S13" s="2">
        <v>25768</v>
      </c>
      <c r="U13" s="80"/>
      <c r="W13" s="1"/>
    </row>
    <row r="14" spans="1:23" x14ac:dyDescent="0.3">
      <c r="A14" s="81">
        <v>2</v>
      </c>
      <c r="B14" s="82" t="s">
        <v>67</v>
      </c>
      <c r="C14" s="141">
        <f>HLOOKUP($C$6,$P$12:$S$42,3,FALSE)</f>
        <v>24465</v>
      </c>
      <c r="D14" s="83">
        <f t="shared" ref="D14:D48" si="2">(C14-$C$7)*$C$8</f>
        <v>2919.75</v>
      </c>
      <c r="E14" s="83">
        <f t="shared" si="0"/>
        <v>5817.777</v>
      </c>
      <c r="F14" s="84">
        <f t="shared" si="1"/>
        <v>122.325</v>
      </c>
      <c r="G14" s="74">
        <f>SUM(C14:F14)</f>
        <v>33324.851999999999</v>
      </c>
      <c r="H14" s="138">
        <v>1560</v>
      </c>
      <c r="I14" s="137">
        <v>1</v>
      </c>
      <c r="J14" s="75">
        <f t="shared" ref="J14:J48" si="3">H14*I14</f>
        <v>1560</v>
      </c>
      <c r="K14" s="76">
        <f t="shared" ref="K14:K48" si="4">ROUND(G14/J14,2)</f>
        <v>21.36</v>
      </c>
      <c r="M14" s="85">
        <v>0.41</v>
      </c>
      <c r="N14" s="86">
        <v>0.83</v>
      </c>
      <c r="P14" s="79">
        <v>24465</v>
      </c>
      <c r="Q14" s="2">
        <v>30074</v>
      </c>
      <c r="R14" s="2">
        <v>29179</v>
      </c>
      <c r="S14" s="2">
        <v>25768</v>
      </c>
      <c r="U14" s="87" t="s">
        <v>68</v>
      </c>
      <c r="W14" s="1"/>
    </row>
    <row r="15" spans="1:23" x14ac:dyDescent="0.3">
      <c r="A15" s="81">
        <v>3</v>
      </c>
      <c r="B15" s="82" t="s">
        <v>69</v>
      </c>
      <c r="C15" s="141">
        <f>HLOOKUP($C$6,$P$12:$S$42,4,FALSE)</f>
        <v>24937</v>
      </c>
      <c r="D15" s="83">
        <f t="shared" si="2"/>
        <v>2990.5499999999997</v>
      </c>
      <c r="E15" s="83">
        <f t="shared" si="0"/>
        <v>5930.0186000000003</v>
      </c>
      <c r="F15" s="84">
        <f t="shared" si="1"/>
        <v>124.685</v>
      </c>
      <c r="G15" s="74">
        <f t="shared" ref="G15:G48" si="5">SUM(C15:F15)</f>
        <v>33982.253599999996</v>
      </c>
      <c r="H15" s="138">
        <v>1560</v>
      </c>
      <c r="I15" s="137">
        <v>1</v>
      </c>
      <c r="J15" s="75">
        <f t="shared" si="3"/>
        <v>1560</v>
      </c>
      <c r="K15" s="76">
        <f t="shared" si="4"/>
        <v>21.78</v>
      </c>
      <c r="M15" s="85">
        <v>0.35</v>
      </c>
      <c r="N15" s="86">
        <v>0.69</v>
      </c>
      <c r="P15" s="79">
        <v>24937</v>
      </c>
      <c r="Q15" s="2">
        <v>30546</v>
      </c>
      <c r="R15" s="2">
        <v>29651</v>
      </c>
      <c r="S15" s="2">
        <v>26240</v>
      </c>
      <c r="U15" s="88" t="s">
        <v>70</v>
      </c>
      <c r="V15" s="144">
        <v>260</v>
      </c>
      <c r="W15" s="1"/>
    </row>
    <row r="16" spans="1:23" x14ac:dyDescent="0.3">
      <c r="A16" s="81">
        <v>3</v>
      </c>
      <c r="B16" s="82" t="s">
        <v>17</v>
      </c>
      <c r="C16" s="141">
        <f>HLOOKUP($C$6,$P$12:$S$42,5,FALSE)</f>
        <v>26598</v>
      </c>
      <c r="D16" s="83">
        <f t="shared" si="2"/>
        <v>3239.7</v>
      </c>
      <c r="E16" s="83">
        <f t="shared" si="0"/>
        <v>6325.0044000000007</v>
      </c>
      <c r="F16" s="84">
        <f t="shared" si="1"/>
        <v>132.99</v>
      </c>
      <c r="G16" s="74">
        <f t="shared" si="5"/>
        <v>36295.6944</v>
      </c>
      <c r="H16" s="138">
        <v>1560</v>
      </c>
      <c r="I16" s="137">
        <v>1</v>
      </c>
      <c r="J16" s="75">
        <f t="shared" si="3"/>
        <v>1560</v>
      </c>
      <c r="K16" s="76">
        <f t="shared" si="4"/>
        <v>23.27</v>
      </c>
      <c r="M16" s="85">
        <v>0.35</v>
      </c>
      <c r="N16" s="86">
        <v>0.69</v>
      </c>
      <c r="P16" s="79">
        <v>26598</v>
      </c>
      <c r="Q16" s="2">
        <v>32207</v>
      </c>
      <c r="R16" s="2">
        <v>31312</v>
      </c>
      <c r="S16" s="2">
        <v>27928</v>
      </c>
      <c r="U16" s="88" t="s">
        <v>71</v>
      </c>
      <c r="V16" s="144">
        <v>-40</v>
      </c>
      <c r="W16" s="1"/>
    </row>
    <row r="17" spans="1:23" x14ac:dyDescent="0.3">
      <c r="A17" s="81">
        <v>4</v>
      </c>
      <c r="B17" s="82" t="s">
        <v>72</v>
      </c>
      <c r="C17" s="141">
        <f>HLOOKUP($C$6,$P$12:$S$42,6,FALSE)</f>
        <v>27485</v>
      </c>
      <c r="D17" s="83">
        <f t="shared" si="2"/>
        <v>3372.75</v>
      </c>
      <c r="E17" s="83">
        <f t="shared" si="0"/>
        <v>6535.933</v>
      </c>
      <c r="F17" s="84">
        <f t="shared" si="1"/>
        <v>137.42500000000001</v>
      </c>
      <c r="G17" s="74">
        <f t="shared" si="5"/>
        <v>37531.108</v>
      </c>
      <c r="H17" s="138">
        <v>1560</v>
      </c>
      <c r="I17" s="137">
        <v>1</v>
      </c>
      <c r="J17" s="75">
        <f t="shared" si="3"/>
        <v>1560</v>
      </c>
      <c r="K17" s="76">
        <f t="shared" si="4"/>
        <v>24.06</v>
      </c>
      <c r="M17" s="85">
        <v>0.3</v>
      </c>
      <c r="N17" s="86">
        <v>0.6</v>
      </c>
      <c r="P17" s="79">
        <v>27485</v>
      </c>
      <c r="Q17" s="2">
        <v>33094</v>
      </c>
      <c r="R17" s="2">
        <v>32199</v>
      </c>
      <c r="S17" s="2">
        <v>28860</v>
      </c>
      <c r="U17" s="88" t="s">
        <v>73</v>
      </c>
      <c r="V17" s="144">
        <v>-2</v>
      </c>
      <c r="W17" s="1"/>
    </row>
    <row r="18" spans="1:23" x14ac:dyDescent="0.3">
      <c r="A18" s="81">
        <v>4</v>
      </c>
      <c r="B18" s="82" t="s">
        <v>74</v>
      </c>
      <c r="C18" s="141">
        <f>HLOOKUP($C$6,$P$12:$S$42,7,FALSE)</f>
        <v>30162</v>
      </c>
      <c r="D18" s="83">
        <f t="shared" si="2"/>
        <v>3774.2999999999997</v>
      </c>
      <c r="E18" s="83">
        <f t="shared" si="0"/>
        <v>7172.5236000000004</v>
      </c>
      <c r="F18" s="84">
        <f t="shared" si="1"/>
        <v>150.81</v>
      </c>
      <c r="G18" s="74">
        <f t="shared" si="5"/>
        <v>41259.633600000001</v>
      </c>
      <c r="H18" s="138">
        <v>1560</v>
      </c>
      <c r="I18" s="137">
        <v>1</v>
      </c>
      <c r="J18" s="75">
        <f t="shared" si="3"/>
        <v>1560</v>
      </c>
      <c r="K18" s="76">
        <f t="shared" si="4"/>
        <v>26.45</v>
      </c>
      <c r="M18" s="85">
        <v>0.3</v>
      </c>
      <c r="N18" s="86">
        <v>0.6</v>
      </c>
      <c r="P18" s="79">
        <v>30162</v>
      </c>
      <c r="Q18" s="2">
        <v>36195</v>
      </c>
      <c r="R18" s="2">
        <v>34876</v>
      </c>
      <c r="S18" s="2">
        <v>31671</v>
      </c>
      <c r="U18" s="88" t="s">
        <v>75</v>
      </c>
      <c r="V18" s="144">
        <v>-10</v>
      </c>
      <c r="W18" s="1"/>
    </row>
    <row r="19" spans="1:23" x14ac:dyDescent="0.3">
      <c r="A19" s="81">
        <v>5</v>
      </c>
      <c r="B19" s="82" t="s">
        <v>76</v>
      </c>
      <c r="C19" s="141">
        <f>HLOOKUP($C$6,$P$12:$S$42,8,FALSE)</f>
        <v>31049</v>
      </c>
      <c r="D19" s="83">
        <f t="shared" si="2"/>
        <v>3907.35</v>
      </c>
      <c r="E19" s="83">
        <f t="shared" si="0"/>
        <v>7383.4522000000006</v>
      </c>
      <c r="F19" s="84">
        <f t="shared" si="1"/>
        <v>155.245</v>
      </c>
      <c r="G19" s="74">
        <f t="shared" si="5"/>
        <v>42495.047200000001</v>
      </c>
      <c r="H19" s="138">
        <v>1560</v>
      </c>
      <c r="I19" s="137">
        <v>1</v>
      </c>
      <c r="J19" s="75">
        <f t="shared" si="3"/>
        <v>1560</v>
      </c>
      <c r="K19" s="76">
        <f t="shared" si="4"/>
        <v>27.24</v>
      </c>
      <c r="M19" s="85">
        <v>0.3</v>
      </c>
      <c r="N19" s="86">
        <v>0.6</v>
      </c>
      <c r="P19" s="79">
        <v>31049</v>
      </c>
      <c r="Q19" s="2">
        <v>37259</v>
      </c>
      <c r="R19" s="2">
        <v>35763</v>
      </c>
      <c r="S19" s="2">
        <v>32602</v>
      </c>
      <c r="U19" s="88"/>
      <c r="V19" s="12">
        <v>208</v>
      </c>
      <c r="W19" s="1"/>
    </row>
    <row r="20" spans="1:23" x14ac:dyDescent="0.3">
      <c r="A20" s="81">
        <v>5</v>
      </c>
      <c r="B20" s="82" t="s">
        <v>77</v>
      </c>
      <c r="C20" s="141">
        <f>HLOOKUP($C$6,$P$12:$S$42,9,FALSE)</f>
        <v>33487</v>
      </c>
      <c r="D20" s="83">
        <f t="shared" si="2"/>
        <v>4273.05</v>
      </c>
      <c r="E20" s="83">
        <f t="shared" si="0"/>
        <v>7963.2085999999999</v>
      </c>
      <c r="F20" s="84">
        <f t="shared" si="1"/>
        <v>167.435</v>
      </c>
      <c r="G20" s="74">
        <f t="shared" si="5"/>
        <v>45890.693599999999</v>
      </c>
      <c r="H20" s="138">
        <v>1560</v>
      </c>
      <c r="I20" s="137">
        <v>1</v>
      </c>
      <c r="J20" s="75">
        <f t="shared" si="3"/>
        <v>1560</v>
      </c>
      <c r="K20" s="76">
        <f t="shared" si="4"/>
        <v>29.42</v>
      </c>
      <c r="M20" s="85">
        <v>0.3</v>
      </c>
      <c r="N20" s="86">
        <v>0.6</v>
      </c>
      <c r="P20" s="79">
        <v>33487</v>
      </c>
      <c r="Q20" s="2">
        <v>40185</v>
      </c>
      <c r="R20" s="2">
        <v>38511</v>
      </c>
      <c r="S20" s="2">
        <v>35162</v>
      </c>
      <c r="U20" s="88" t="s">
        <v>78</v>
      </c>
      <c r="V20" s="89">
        <f>7.5*V19</f>
        <v>1560</v>
      </c>
      <c r="W20" s="1"/>
    </row>
    <row r="21" spans="1:23" x14ac:dyDescent="0.3">
      <c r="A21" s="81">
        <v>5</v>
      </c>
      <c r="B21" s="82" t="s">
        <v>79</v>
      </c>
      <c r="C21" s="141">
        <f>HLOOKUP($C$6,$P$12:$S$42,10,FALSE)</f>
        <v>37796</v>
      </c>
      <c r="D21" s="83">
        <f t="shared" si="2"/>
        <v>4919.3999999999996</v>
      </c>
      <c r="E21" s="83">
        <f t="shared" si="0"/>
        <v>8987.8888000000006</v>
      </c>
      <c r="F21" s="84">
        <f t="shared" si="1"/>
        <v>188.98</v>
      </c>
      <c r="G21" s="74">
        <f t="shared" si="5"/>
        <v>51892.268800000005</v>
      </c>
      <c r="H21" s="138">
        <v>1560</v>
      </c>
      <c r="I21" s="137">
        <v>1</v>
      </c>
      <c r="J21" s="75">
        <f t="shared" si="3"/>
        <v>1560</v>
      </c>
      <c r="K21" s="76">
        <f t="shared" si="4"/>
        <v>33.26</v>
      </c>
      <c r="M21" s="85">
        <v>0.3</v>
      </c>
      <c r="N21" s="86">
        <v>0.6</v>
      </c>
      <c r="P21" s="79">
        <v>37796</v>
      </c>
      <c r="Q21" s="2">
        <v>45356</v>
      </c>
      <c r="R21" s="2">
        <v>43466</v>
      </c>
      <c r="S21" s="2">
        <v>39686</v>
      </c>
      <c r="U21" s="80"/>
      <c r="W21" s="1"/>
    </row>
    <row r="22" spans="1:23" x14ac:dyDescent="0.3">
      <c r="A22" s="81">
        <v>6</v>
      </c>
      <c r="B22" s="82" t="s">
        <v>80</v>
      </c>
      <c r="C22" s="141">
        <f>HLOOKUP($C$6,$P$12:$S$42,11,FALSE)</f>
        <v>38682</v>
      </c>
      <c r="D22" s="83">
        <f t="shared" si="2"/>
        <v>5052.3</v>
      </c>
      <c r="E22" s="83">
        <f t="shared" si="0"/>
        <v>9198.5796000000009</v>
      </c>
      <c r="F22" s="84">
        <f t="shared" si="1"/>
        <v>193.41</v>
      </c>
      <c r="G22" s="74">
        <f t="shared" si="5"/>
        <v>53126.289600000004</v>
      </c>
      <c r="H22" s="138">
        <v>1560</v>
      </c>
      <c r="I22" s="137">
        <v>1</v>
      </c>
      <c r="J22" s="75">
        <f t="shared" si="3"/>
        <v>1560</v>
      </c>
      <c r="K22" s="76">
        <f t="shared" si="4"/>
        <v>34.06</v>
      </c>
      <c r="M22" s="85">
        <v>0.3</v>
      </c>
      <c r="N22" s="86">
        <v>0.6</v>
      </c>
      <c r="P22" s="79">
        <v>38682</v>
      </c>
      <c r="Q22" s="2">
        <v>46419</v>
      </c>
      <c r="R22" s="2">
        <v>44485</v>
      </c>
      <c r="S22" s="2">
        <v>40617</v>
      </c>
      <c r="U22" s="88"/>
      <c r="W22" s="1"/>
    </row>
    <row r="23" spans="1:23" x14ac:dyDescent="0.3">
      <c r="A23" s="81">
        <v>6</v>
      </c>
      <c r="B23" s="82" t="s">
        <v>29</v>
      </c>
      <c r="C23" s="141">
        <f>HLOOKUP($C$6,$P$12:$S$42,12,FALSE)</f>
        <v>40823</v>
      </c>
      <c r="D23" s="83">
        <f t="shared" si="2"/>
        <v>5373.45</v>
      </c>
      <c r="E23" s="83">
        <f t="shared" si="0"/>
        <v>9707.7093999999997</v>
      </c>
      <c r="F23" s="84">
        <f t="shared" si="1"/>
        <v>204.11500000000001</v>
      </c>
      <c r="G23" s="74">
        <f t="shared" si="5"/>
        <v>56108.274399999995</v>
      </c>
      <c r="H23" s="138">
        <v>1560</v>
      </c>
      <c r="I23" s="137">
        <v>1</v>
      </c>
      <c r="J23" s="75">
        <f t="shared" si="3"/>
        <v>1560</v>
      </c>
      <c r="K23" s="76">
        <f t="shared" si="4"/>
        <v>35.97</v>
      </c>
      <c r="M23" s="85">
        <v>0.3</v>
      </c>
      <c r="N23" s="86">
        <v>0.6</v>
      </c>
      <c r="P23" s="79">
        <v>40823</v>
      </c>
      <c r="Q23" s="2">
        <v>48988</v>
      </c>
      <c r="R23" s="2">
        <v>46764</v>
      </c>
      <c r="S23" s="2">
        <v>42865</v>
      </c>
      <c r="U23" s="87" t="s">
        <v>81</v>
      </c>
      <c r="W23" s="1"/>
    </row>
    <row r="24" spans="1:23" x14ac:dyDescent="0.3">
      <c r="A24" s="81">
        <v>6</v>
      </c>
      <c r="B24" s="82" t="s">
        <v>82</v>
      </c>
      <c r="C24" s="141">
        <f>HLOOKUP($C$6,$P$12:$S$42,13,FALSE)</f>
        <v>46580</v>
      </c>
      <c r="D24" s="83">
        <f t="shared" si="2"/>
        <v>6237</v>
      </c>
      <c r="E24" s="83">
        <f t="shared" si="0"/>
        <v>11076.724</v>
      </c>
      <c r="F24" s="84">
        <f t="shared" si="1"/>
        <v>232.9</v>
      </c>
      <c r="G24" s="74">
        <f t="shared" si="5"/>
        <v>64126.624000000003</v>
      </c>
      <c r="H24" s="138">
        <v>1560</v>
      </c>
      <c r="I24" s="137">
        <v>1</v>
      </c>
      <c r="J24" s="75">
        <f t="shared" si="3"/>
        <v>1560</v>
      </c>
      <c r="K24" s="76">
        <f t="shared" si="4"/>
        <v>41.11</v>
      </c>
      <c r="M24" s="85">
        <v>0.3</v>
      </c>
      <c r="N24" s="86">
        <v>0.6</v>
      </c>
      <c r="P24" s="79">
        <v>46580</v>
      </c>
      <c r="Q24" s="2">
        <v>55046</v>
      </c>
      <c r="R24" s="2">
        <v>52521</v>
      </c>
      <c r="S24" s="2">
        <v>48778</v>
      </c>
      <c r="U24" s="88" t="s">
        <v>83</v>
      </c>
      <c r="V24" s="144">
        <v>43</v>
      </c>
      <c r="W24" s="1"/>
    </row>
    <row r="25" spans="1:23" x14ac:dyDescent="0.3">
      <c r="A25" s="81">
        <v>7</v>
      </c>
      <c r="B25" s="82" t="s">
        <v>84</v>
      </c>
      <c r="C25" s="141">
        <f>HLOOKUP($C$6,$P$12:$S$42,14,FALSE)</f>
        <v>47810</v>
      </c>
      <c r="D25" s="83">
        <f t="shared" si="2"/>
        <v>6421.5</v>
      </c>
      <c r="E25" s="83">
        <f t="shared" si="0"/>
        <v>11369.218000000001</v>
      </c>
      <c r="F25" s="84">
        <f t="shared" si="1"/>
        <v>239.05</v>
      </c>
      <c r="G25" s="74">
        <f t="shared" si="5"/>
        <v>65839.767999999996</v>
      </c>
      <c r="H25" s="138">
        <v>1560</v>
      </c>
      <c r="I25" s="137">
        <v>1</v>
      </c>
      <c r="J25" s="75">
        <f t="shared" si="3"/>
        <v>1560</v>
      </c>
      <c r="K25" s="76">
        <f t="shared" si="4"/>
        <v>42.2</v>
      </c>
      <c r="M25" s="85">
        <v>0.3</v>
      </c>
      <c r="N25" s="86">
        <v>0.6</v>
      </c>
      <c r="P25" s="79">
        <v>47810</v>
      </c>
      <c r="Q25" s="2">
        <v>56276</v>
      </c>
      <c r="R25" s="2">
        <v>53751</v>
      </c>
      <c r="S25" s="2">
        <v>50008</v>
      </c>
      <c r="U25" s="88" t="s">
        <v>85</v>
      </c>
      <c r="V25" s="144">
        <v>10</v>
      </c>
      <c r="W25" s="1"/>
    </row>
    <row r="26" spans="1:23" x14ac:dyDescent="0.3">
      <c r="A26" s="81">
        <v>7</v>
      </c>
      <c r="B26" s="82" t="s">
        <v>15</v>
      </c>
      <c r="C26" s="141">
        <f>HLOOKUP($C$6,$P$12:$S$42,15,FALSE)</f>
        <v>50273</v>
      </c>
      <c r="D26" s="83">
        <f t="shared" si="2"/>
        <v>6790.95</v>
      </c>
      <c r="E26" s="83">
        <f t="shared" si="0"/>
        <v>11954.919400000001</v>
      </c>
      <c r="F26" s="84">
        <f t="shared" si="1"/>
        <v>251.36500000000001</v>
      </c>
      <c r="G26" s="74">
        <f t="shared" si="5"/>
        <v>69270.234400000001</v>
      </c>
      <c r="H26" s="138">
        <v>1560</v>
      </c>
      <c r="I26" s="137">
        <v>1</v>
      </c>
      <c r="J26" s="75">
        <f t="shared" si="3"/>
        <v>1560</v>
      </c>
      <c r="K26" s="76">
        <f t="shared" si="4"/>
        <v>44.4</v>
      </c>
      <c r="M26" s="85">
        <v>0.3</v>
      </c>
      <c r="N26" s="86">
        <v>0.6</v>
      </c>
      <c r="P26" s="79">
        <v>50273</v>
      </c>
      <c r="Q26" s="2">
        <v>58739</v>
      </c>
      <c r="R26" s="2">
        <v>56214</v>
      </c>
      <c r="S26" s="2">
        <v>52471</v>
      </c>
      <c r="U26" s="88" t="s">
        <v>86</v>
      </c>
      <c r="V26" s="144">
        <v>-2</v>
      </c>
      <c r="W26" s="1"/>
    </row>
    <row r="27" spans="1:23" x14ac:dyDescent="0.3">
      <c r="A27" s="81">
        <v>7</v>
      </c>
      <c r="B27" s="82" t="s">
        <v>87</v>
      </c>
      <c r="C27" s="141">
        <f>HLOOKUP($C$6,$P$12:$S$42,16,FALSE)</f>
        <v>54710</v>
      </c>
      <c r="D27" s="83">
        <f t="shared" si="2"/>
        <v>7456.5</v>
      </c>
      <c r="E27" s="83">
        <f t="shared" si="0"/>
        <v>13010.038</v>
      </c>
      <c r="F27" s="84">
        <f t="shared" si="1"/>
        <v>273.55</v>
      </c>
      <c r="G27" s="74">
        <f t="shared" si="5"/>
        <v>75450.088000000003</v>
      </c>
      <c r="H27" s="138">
        <v>1560</v>
      </c>
      <c r="I27" s="137">
        <v>1</v>
      </c>
      <c r="J27" s="75">
        <f t="shared" si="3"/>
        <v>1560</v>
      </c>
      <c r="K27" s="76">
        <f t="shared" si="4"/>
        <v>48.37</v>
      </c>
      <c r="M27" s="85">
        <v>0.3</v>
      </c>
      <c r="N27" s="86">
        <v>0.6</v>
      </c>
      <c r="P27" s="79">
        <v>54710</v>
      </c>
      <c r="Q27" s="2">
        <v>63176</v>
      </c>
      <c r="R27" s="2">
        <v>60651</v>
      </c>
      <c r="S27" s="2">
        <v>56908</v>
      </c>
      <c r="U27" s="88"/>
      <c r="V27" s="12">
        <v>8</v>
      </c>
      <c r="W27" s="1"/>
    </row>
    <row r="28" spans="1:23" x14ac:dyDescent="0.3">
      <c r="A28" s="81" t="s">
        <v>88</v>
      </c>
      <c r="B28" s="82" t="s">
        <v>89</v>
      </c>
      <c r="C28" s="141">
        <f>HLOOKUP($C$6,$P$12:$S$42,17,FALSE)</f>
        <v>55690</v>
      </c>
      <c r="D28" s="83">
        <f t="shared" si="2"/>
        <v>7603.5</v>
      </c>
      <c r="E28" s="83">
        <f t="shared" si="0"/>
        <v>13243.082</v>
      </c>
      <c r="F28" s="84">
        <f t="shared" si="1"/>
        <v>278.45</v>
      </c>
      <c r="G28" s="74">
        <f t="shared" si="5"/>
        <v>76815.031999999992</v>
      </c>
      <c r="H28" s="138">
        <v>1560</v>
      </c>
      <c r="I28" s="137">
        <v>1</v>
      </c>
      <c r="J28" s="75">
        <f t="shared" si="3"/>
        <v>1560</v>
      </c>
      <c r="K28" s="76">
        <f t="shared" si="4"/>
        <v>49.24</v>
      </c>
      <c r="M28" s="85">
        <v>0.3</v>
      </c>
      <c r="N28" s="86">
        <v>0.6</v>
      </c>
      <c r="P28" s="79">
        <v>55690</v>
      </c>
      <c r="Q28" s="2">
        <v>64156</v>
      </c>
      <c r="R28" s="2">
        <v>61631</v>
      </c>
      <c r="S28" s="2">
        <v>57888</v>
      </c>
      <c r="U28" s="88" t="s">
        <v>90</v>
      </c>
      <c r="V28" s="89">
        <f>V27*4*V24</f>
        <v>1376</v>
      </c>
      <c r="W28" s="1"/>
    </row>
    <row r="29" spans="1:23" x14ac:dyDescent="0.3">
      <c r="A29" s="81" t="s">
        <v>88</v>
      </c>
      <c r="B29" s="82" t="s">
        <v>91</v>
      </c>
      <c r="C29" s="141">
        <f>HLOOKUP($C$6,$P$12:$S$42,18,FALSE)</f>
        <v>58487</v>
      </c>
      <c r="D29" s="83">
        <f t="shared" si="2"/>
        <v>8023.0499999999993</v>
      </c>
      <c r="E29" s="83">
        <f t="shared" si="0"/>
        <v>13908.2086</v>
      </c>
      <c r="F29" s="84">
        <f t="shared" si="1"/>
        <v>292.435</v>
      </c>
      <c r="G29" s="74">
        <f t="shared" si="5"/>
        <v>80710.693599999999</v>
      </c>
      <c r="H29" s="138">
        <v>1560</v>
      </c>
      <c r="I29" s="137">
        <v>1</v>
      </c>
      <c r="J29" s="75">
        <f t="shared" si="3"/>
        <v>1560</v>
      </c>
      <c r="K29" s="76">
        <f t="shared" si="4"/>
        <v>51.74</v>
      </c>
      <c r="M29" s="85">
        <v>0.3</v>
      </c>
      <c r="N29" s="86">
        <v>0.6</v>
      </c>
      <c r="P29" s="79">
        <v>58487</v>
      </c>
      <c r="Q29" s="2">
        <v>66953</v>
      </c>
      <c r="R29" s="2">
        <v>64428</v>
      </c>
      <c r="S29" s="2">
        <v>60685</v>
      </c>
      <c r="U29" s="80"/>
      <c r="W29" s="1"/>
    </row>
    <row r="30" spans="1:23" x14ac:dyDescent="0.3">
      <c r="A30" s="81" t="s">
        <v>88</v>
      </c>
      <c r="B30" s="82" t="s">
        <v>92</v>
      </c>
      <c r="C30" s="141">
        <f>HLOOKUP($C$6,$P$12:$S$42,19,FALSE)</f>
        <v>62682</v>
      </c>
      <c r="D30" s="83">
        <f t="shared" si="2"/>
        <v>8652.2999999999993</v>
      </c>
      <c r="E30" s="83">
        <f t="shared" si="0"/>
        <v>14905.7796</v>
      </c>
      <c r="F30" s="84">
        <f t="shared" si="1"/>
        <v>313.41000000000003</v>
      </c>
      <c r="G30" s="74">
        <f t="shared" si="5"/>
        <v>86553.489600000001</v>
      </c>
      <c r="H30" s="138">
        <v>1560</v>
      </c>
      <c r="I30" s="137">
        <v>1</v>
      </c>
      <c r="J30" s="75">
        <f t="shared" si="3"/>
        <v>1560</v>
      </c>
      <c r="K30" s="76">
        <f t="shared" si="4"/>
        <v>55.48</v>
      </c>
      <c r="M30" s="85">
        <v>0.3</v>
      </c>
      <c r="N30" s="86">
        <v>0.6</v>
      </c>
      <c r="P30" s="79">
        <v>62682</v>
      </c>
      <c r="Q30" s="2">
        <v>71148</v>
      </c>
      <c r="R30" s="2">
        <v>68623</v>
      </c>
      <c r="S30" s="2">
        <v>64880</v>
      </c>
      <c r="U30" s="88"/>
      <c r="W30" s="1"/>
    </row>
    <row r="31" spans="1:23" x14ac:dyDescent="0.3">
      <c r="A31" s="81" t="s">
        <v>93</v>
      </c>
      <c r="B31" s="82" t="s">
        <v>94</v>
      </c>
      <c r="C31" s="141">
        <f>HLOOKUP($C$6,$P$12:$S$42,20,FALSE)</f>
        <v>64455</v>
      </c>
      <c r="D31" s="83">
        <f t="shared" si="2"/>
        <v>8918.25</v>
      </c>
      <c r="E31" s="83">
        <f t="shared" si="0"/>
        <v>15327.399000000001</v>
      </c>
      <c r="F31" s="84">
        <f t="shared" si="1"/>
        <v>322.27500000000003</v>
      </c>
      <c r="G31" s="74">
        <f t="shared" si="5"/>
        <v>89022.923999999999</v>
      </c>
      <c r="H31" s="138">
        <v>1560</v>
      </c>
      <c r="I31" s="137">
        <v>1</v>
      </c>
      <c r="J31" s="75">
        <f t="shared" si="3"/>
        <v>1560</v>
      </c>
      <c r="K31" s="76">
        <f t="shared" si="4"/>
        <v>57.07</v>
      </c>
      <c r="M31" s="85">
        <v>0.3</v>
      </c>
      <c r="N31" s="86">
        <v>0.6</v>
      </c>
      <c r="P31" s="79">
        <v>64455</v>
      </c>
      <c r="Q31" s="2">
        <v>72921</v>
      </c>
      <c r="R31" s="2">
        <v>70396</v>
      </c>
      <c r="S31" s="2">
        <v>66653</v>
      </c>
      <c r="U31" s="87" t="s">
        <v>95</v>
      </c>
      <c r="W31" s="1"/>
    </row>
    <row r="32" spans="1:23" x14ac:dyDescent="0.3">
      <c r="A32" s="81" t="s">
        <v>93</v>
      </c>
      <c r="B32" s="82" t="s">
        <v>96</v>
      </c>
      <c r="C32" s="141">
        <f>HLOOKUP($C$6,$P$12:$S$42,21,FALSE)</f>
        <v>68631</v>
      </c>
      <c r="D32" s="83">
        <f t="shared" si="2"/>
        <v>9544.65</v>
      </c>
      <c r="E32" s="83">
        <f t="shared" si="0"/>
        <v>16320.451800000001</v>
      </c>
      <c r="F32" s="84">
        <f t="shared" si="1"/>
        <v>343.15500000000003</v>
      </c>
      <c r="G32" s="74">
        <f t="shared" si="5"/>
        <v>94839.256799999988</v>
      </c>
      <c r="H32" s="138">
        <v>1560</v>
      </c>
      <c r="I32" s="137">
        <v>1</v>
      </c>
      <c r="J32" s="75">
        <f t="shared" si="3"/>
        <v>1560</v>
      </c>
      <c r="K32" s="76">
        <f t="shared" si="4"/>
        <v>60.79</v>
      </c>
      <c r="M32" s="85">
        <v>0.3</v>
      </c>
      <c r="N32" s="86">
        <v>0.6</v>
      </c>
      <c r="P32" s="79">
        <v>68631</v>
      </c>
      <c r="Q32" s="2">
        <v>77097</v>
      </c>
      <c r="R32" s="2">
        <v>74572</v>
      </c>
      <c r="S32" s="2">
        <v>70829</v>
      </c>
      <c r="U32" s="88" t="s">
        <v>97</v>
      </c>
      <c r="V32" s="144">
        <v>44.7</v>
      </c>
      <c r="W32" s="1"/>
    </row>
    <row r="33" spans="1:23" x14ac:dyDescent="0.3">
      <c r="A33" s="81" t="s">
        <v>93</v>
      </c>
      <c r="B33" s="82" t="s">
        <v>98</v>
      </c>
      <c r="C33" s="141">
        <f>HLOOKUP($C$6,$P$12:$S$42,22,FALSE)</f>
        <v>74896</v>
      </c>
      <c r="D33" s="83">
        <f t="shared" si="2"/>
        <v>10484.4</v>
      </c>
      <c r="E33" s="83">
        <f t="shared" si="0"/>
        <v>17810.268800000002</v>
      </c>
      <c r="F33" s="84">
        <f t="shared" si="1"/>
        <v>374.48</v>
      </c>
      <c r="G33" s="74">
        <f t="shared" si="5"/>
        <v>103565.1488</v>
      </c>
      <c r="H33" s="138">
        <v>1560</v>
      </c>
      <c r="I33" s="137">
        <v>1</v>
      </c>
      <c r="J33" s="75">
        <f t="shared" si="3"/>
        <v>1560</v>
      </c>
      <c r="K33" s="76">
        <f t="shared" si="4"/>
        <v>66.39</v>
      </c>
      <c r="M33" s="85">
        <v>0.3</v>
      </c>
      <c r="N33" s="86">
        <v>0.6</v>
      </c>
      <c r="P33" s="79">
        <v>74896</v>
      </c>
      <c r="Q33" s="2">
        <v>83362</v>
      </c>
      <c r="R33" s="2">
        <v>80837</v>
      </c>
      <c r="S33" s="2">
        <v>77094</v>
      </c>
      <c r="U33" s="88" t="s">
        <v>99</v>
      </c>
      <c r="V33" s="144">
        <v>48</v>
      </c>
      <c r="W33" s="1"/>
    </row>
    <row r="34" spans="1:23" x14ac:dyDescent="0.3">
      <c r="A34" s="81" t="s">
        <v>100</v>
      </c>
      <c r="B34" s="82" t="s">
        <v>101</v>
      </c>
      <c r="C34" s="141">
        <f>HLOOKUP($C$6,$P$12:$S$42,23,FALSE)</f>
        <v>76965</v>
      </c>
      <c r="D34" s="83">
        <f t="shared" si="2"/>
        <v>10794.75</v>
      </c>
      <c r="E34" s="83">
        <f t="shared" si="0"/>
        <v>18302.277000000002</v>
      </c>
      <c r="F34" s="84">
        <f t="shared" si="1"/>
        <v>384.82499999999999</v>
      </c>
      <c r="G34" s="74">
        <f t="shared" si="5"/>
        <v>106446.852</v>
      </c>
      <c r="H34" s="138">
        <v>1560</v>
      </c>
      <c r="I34" s="137">
        <v>1</v>
      </c>
      <c r="J34" s="75">
        <f t="shared" si="3"/>
        <v>1560</v>
      </c>
      <c r="K34" s="76">
        <f t="shared" si="4"/>
        <v>68.239999999999995</v>
      </c>
      <c r="M34" s="85">
        <v>0.3</v>
      </c>
      <c r="N34" s="86">
        <v>0.6</v>
      </c>
      <c r="P34" s="79">
        <v>76965</v>
      </c>
      <c r="Q34" s="2">
        <v>85431</v>
      </c>
      <c r="R34" s="2">
        <v>82906</v>
      </c>
      <c r="S34" s="2">
        <v>79163</v>
      </c>
      <c r="U34" s="88" t="s">
        <v>102</v>
      </c>
      <c r="V34" s="144">
        <v>2145.6</v>
      </c>
      <c r="W34" s="1"/>
    </row>
    <row r="35" spans="1:23" x14ac:dyDescent="0.3">
      <c r="A35" s="81" t="s">
        <v>100</v>
      </c>
      <c r="B35" s="82" t="s">
        <v>103</v>
      </c>
      <c r="C35" s="141">
        <f>HLOOKUP($C$6,$P$12:$S$42,24,FALSE)</f>
        <v>81652</v>
      </c>
      <c r="D35" s="83">
        <f t="shared" si="2"/>
        <v>11497.8</v>
      </c>
      <c r="E35" s="83">
        <f t="shared" si="0"/>
        <v>19416.845600000001</v>
      </c>
      <c r="F35" s="84">
        <f t="shared" si="1"/>
        <v>408.26</v>
      </c>
      <c r="G35" s="74">
        <f t="shared" si="5"/>
        <v>112974.9056</v>
      </c>
      <c r="H35" s="138">
        <v>1560</v>
      </c>
      <c r="I35" s="137">
        <v>1</v>
      </c>
      <c r="J35" s="75">
        <f t="shared" si="3"/>
        <v>1560</v>
      </c>
      <c r="K35" s="76">
        <f t="shared" si="4"/>
        <v>72.42</v>
      </c>
      <c r="M35" s="85">
        <v>0.3</v>
      </c>
      <c r="N35" s="86">
        <v>0.6</v>
      </c>
      <c r="P35" s="79">
        <v>81652</v>
      </c>
      <c r="Q35" s="2">
        <v>90118</v>
      </c>
      <c r="R35" s="2">
        <v>87593</v>
      </c>
      <c r="S35" s="2">
        <v>83850</v>
      </c>
      <c r="U35" s="88" t="s">
        <v>104</v>
      </c>
      <c r="V35" s="145">
        <v>0.6</v>
      </c>
      <c r="W35" s="1"/>
    </row>
    <row r="36" spans="1:23" x14ac:dyDescent="0.3">
      <c r="A36" s="81" t="s">
        <v>100</v>
      </c>
      <c r="B36" s="82" t="s">
        <v>105</v>
      </c>
      <c r="C36" s="141">
        <f>HLOOKUP($C$6,$P$12:$S$42,25,FALSE)</f>
        <v>88682</v>
      </c>
      <c r="D36" s="83">
        <f t="shared" si="2"/>
        <v>12552.3</v>
      </c>
      <c r="E36" s="83">
        <f t="shared" si="0"/>
        <v>21088.579600000001</v>
      </c>
      <c r="F36" s="84">
        <f t="shared" si="1"/>
        <v>443.41</v>
      </c>
      <c r="G36" s="74">
        <f t="shared" si="5"/>
        <v>122766.2896</v>
      </c>
      <c r="H36" s="138">
        <v>1560</v>
      </c>
      <c r="I36" s="137">
        <v>1</v>
      </c>
      <c r="J36" s="75">
        <f t="shared" si="3"/>
        <v>1560</v>
      </c>
      <c r="K36" s="76">
        <f t="shared" si="4"/>
        <v>78.7</v>
      </c>
      <c r="M36" s="85">
        <v>0.3</v>
      </c>
      <c r="N36" s="86">
        <v>0.6</v>
      </c>
      <c r="P36" s="79">
        <v>88682</v>
      </c>
      <c r="Q36" s="2">
        <v>97148</v>
      </c>
      <c r="R36" s="2">
        <v>94623</v>
      </c>
      <c r="S36" s="2">
        <v>90880</v>
      </c>
      <c r="U36" s="88" t="s">
        <v>106</v>
      </c>
      <c r="V36" s="90">
        <f>ROUND(V35*V34,0)</f>
        <v>1287</v>
      </c>
      <c r="W36" s="1"/>
    </row>
    <row r="37" spans="1:23" x14ac:dyDescent="0.3">
      <c r="A37" s="81" t="s">
        <v>107</v>
      </c>
      <c r="B37" s="82" t="s">
        <v>108</v>
      </c>
      <c r="C37" s="141">
        <f>HLOOKUP($C$6,$P$12:$S$42,26,FALSE)</f>
        <v>91342</v>
      </c>
      <c r="D37" s="83">
        <f t="shared" si="2"/>
        <v>12951.3</v>
      </c>
      <c r="E37" s="83">
        <f t="shared" si="0"/>
        <v>21721.1276</v>
      </c>
      <c r="F37" s="84">
        <f t="shared" si="1"/>
        <v>456.71000000000004</v>
      </c>
      <c r="G37" s="74">
        <f t="shared" si="5"/>
        <v>126471.1376</v>
      </c>
      <c r="H37" s="138">
        <v>1560</v>
      </c>
      <c r="I37" s="137">
        <v>1</v>
      </c>
      <c r="J37" s="75">
        <f t="shared" si="3"/>
        <v>1560</v>
      </c>
      <c r="K37" s="76">
        <f t="shared" si="4"/>
        <v>81.069999999999993</v>
      </c>
      <c r="M37" s="85">
        <v>0.3</v>
      </c>
      <c r="N37" s="86">
        <v>0.6</v>
      </c>
      <c r="P37" s="79">
        <v>91342</v>
      </c>
      <c r="Q37" s="2">
        <v>99808</v>
      </c>
      <c r="R37" s="2">
        <v>97283</v>
      </c>
      <c r="S37" s="2">
        <v>93540</v>
      </c>
      <c r="U37" s="91"/>
      <c r="V37" s="6"/>
      <c r="W37" s="92"/>
    </row>
    <row r="38" spans="1:23" x14ac:dyDescent="0.3">
      <c r="A38" s="81" t="s">
        <v>107</v>
      </c>
      <c r="B38" s="82" t="s">
        <v>109</v>
      </c>
      <c r="C38" s="141">
        <f>HLOOKUP($C$6,$P$12:$S$42,27,FALSE)</f>
        <v>96941</v>
      </c>
      <c r="D38" s="83">
        <f t="shared" si="2"/>
        <v>13791.15</v>
      </c>
      <c r="E38" s="83">
        <f t="shared" si="0"/>
        <v>23052.569800000001</v>
      </c>
      <c r="F38" s="84">
        <f t="shared" si="1"/>
        <v>484.70499999999998</v>
      </c>
      <c r="G38" s="74">
        <f t="shared" si="5"/>
        <v>134269.42479999998</v>
      </c>
      <c r="H38" s="138">
        <v>1560</v>
      </c>
      <c r="I38" s="137">
        <v>1</v>
      </c>
      <c r="J38" s="75">
        <f t="shared" si="3"/>
        <v>1560</v>
      </c>
      <c r="K38" s="76">
        <f t="shared" si="4"/>
        <v>86.07</v>
      </c>
      <c r="M38" s="85">
        <v>0.3</v>
      </c>
      <c r="N38" s="86">
        <v>0.6</v>
      </c>
      <c r="P38" s="79">
        <v>96941</v>
      </c>
      <c r="Q38" s="2">
        <v>105407</v>
      </c>
      <c r="R38" s="2">
        <v>102882</v>
      </c>
      <c r="S38" s="2">
        <v>99139</v>
      </c>
    </row>
    <row r="39" spans="1:23" x14ac:dyDescent="0.3">
      <c r="A39" s="81" t="s">
        <v>107</v>
      </c>
      <c r="B39" s="82" t="s">
        <v>110</v>
      </c>
      <c r="C39" s="141">
        <f>HLOOKUP($C$6,$P$12:$S$42,28,FALSE)</f>
        <v>105337</v>
      </c>
      <c r="D39" s="83">
        <f t="shared" si="2"/>
        <v>15050.55</v>
      </c>
      <c r="E39" s="83">
        <f t="shared" si="0"/>
        <v>25049.138600000002</v>
      </c>
      <c r="F39" s="84">
        <f t="shared" si="1"/>
        <v>526.68500000000006</v>
      </c>
      <c r="G39" s="74">
        <f t="shared" si="5"/>
        <v>145963.37359999999</v>
      </c>
      <c r="H39" s="138">
        <v>1560</v>
      </c>
      <c r="I39" s="137">
        <v>1</v>
      </c>
      <c r="J39" s="75">
        <f t="shared" si="3"/>
        <v>1560</v>
      </c>
      <c r="K39" s="76">
        <f t="shared" si="4"/>
        <v>93.57</v>
      </c>
      <c r="M39" s="85">
        <v>0.3</v>
      </c>
      <c r="N39" s="86">
        <v>0.6</v>
      </c>
      <c r="P39" s="79">
        <v>105337</v>
      </c>
      <c r="Q39" s="2">
        <v>113803</v>
      </c>
      <c r="R39" s="2">
        <v>111278</v>
      </c>
      <c r="S39" s="2">
        <v>107535</v>
      </c>
    </row>
    <row r="40" spans="1:23" x14ac:dyDescent="0.3">
      <c r="A40" s="81">
        <v>9</v>
      </c>
      <c r="B40" s="82" t="s">
        <v>111</v>
      </c>
      <c r="C40" s="141">
        <f>HLOOKUP($C$6,$P$12:$S$42,29,FALSE)</f>
        <v>109179</v>
      </c>
      <c r="D40" s="83">
        <f t="shared" si="2"/>
        <v>15626.849999999999</v>
      </c>
      <c r="E40" s="83">
        <f t="shared" si="0"/>
        <v>25962.766200000002</v>
      </c>
      <c r="F40" s="84">
        <f t="shared" si="1"/>
        <v>545.89499999999998</v>
      </c>
      <c r="G40" s="74">
        <f t="shared" si="5"/>
        <v>151314.51120000001</v>
      </c>
      <c r="H40" s="138">
        <v>1560</v>
      </c>
      <c r="I40" s="137">
        <v>1</v>
      </c>
      <c r="J40" s="75">
        <f t="shared" si="3"/>
        <v>1560</v>
      </c>
      <c r="K40" s="76">
        <f t="shared" si="4"/>
        <v>97</v>
      </c>
      <c r="M40" s="85">
        <v>0.3</v>
      </c>
      <c r="N40" s="86">
        <v>0.6</v>
      </c>
      <c r="P40" s="79">
        <v>109179</v>
      </c>
      <c r="Q40" s="2">
        <v>117645</v>
      </c>
      <c r="R40" s="2">
        <v>115120</v>
      </c>
      <c r="S40" s="2">
        <v>111377</v>
      </c>
    </row>
    <row r="41" spans="1:23" x14ac:dyDescent="0.3">
      <c r="A41" s="81">
        <v>9</v>
      </c>
      <c r="B41" s="82" t="s">
        <v>112</v>
      </c>
      <c r="C41" s="141">
        <f>HLOOKUP($C$6,$P$12:$S$42,30,FALSE)</f>
        <v>115763</v>
      </c>
      <c r="D41" s="83">
        <f t="shared" si="2"/>
        <v>16614.45</v>
      </c>
      <c r="E41" s="83">
        <f t="shared" si="0"/>
        <v>27528.4414</v>
      </c>
      <c r="F41" s="84">
        <f t="shared" si="1"/>
        <v>578.81500000000005</v>
      </c>
      <c r="G41" s="74">
        <f t="shared" si="5"/>
        <v>160484.70640000002</v>
      </c>
      <c r="H41" s="138">
        <v>1560</v>
      </c>
      <c r="I41" s="137">
        <v>1</v>
      </c>
      <c r="J41" s="75">
        <f t="shared" si="3"/>
        <v>1560</v>
      </c>
      <c r="K41" s="76">
        <f t="shared" si="4"/>
        <v>102.87</v>
      </c>
      <c r="M41" s="85">
        <v>0.3</v>
      </c>
      <c r="N41" s="86">
        <v>0.6</v>
      </c>
      <c r="P41" s="79">
        <v>115763</v>
      </c>
      <c r="Q41" s="2">
        <v>124229</v>
      </c>
      <c r="R41" s="2">
        <v>121704</v>
      </c>
      <c r="S41" s="2">
        <v>117961</v>
      </c>
    </row>
    <row r="42" spans="1:23" x14ac:dyDescent="0.3">
      <c r="A42" s="81">
        <v>9</v>
      </c>
      <c r="B42" s="82" t="s">
        <v>113</v>
      </c>
      <c r="C42" s="141">
        <f>HLOOKUP($C$6,$P$12:$S$42,31,FALSE)</f>
        <v>125637</v>
      </c>
      <c r="D42" s="83">
        <f t="shared" si="2"/>
        <v>18095.55</v>
      </c>
      <c r="E42" s="83">
        <f t="shared" si="0"/>
        <v>29876.478600000002</v>
      </c>
      <c r="F42" s="84">
        <f t="shared" si="1"/>
        <v>628.18500000000006</v>
      </c>
      <c r="G42" s="74">
        <f t="shared" si="5"/>
        <v>174237.21359999999</v>
      </c>
      <c r="H42" s="138">
        <v>1560</v>
      </c>
      <c r="I42" s="137">
        <v>1</v>
      </c>
      <c r="J42" s="75">
        <f t="shared" si="3"/>
        <v>1560</v>
      </c>
      <c r="K42" s="76">
        <f t="shared" si="4"/>
        <v>111.69</v>
      </c>
      <c r="M42" s="85">
        <v>0.3</v>
      </c>
      <c r="N42" s="86">
        <v>0.6</v>
      </c>
      <c r="P42" s="79">
        <v>125637</v>
      </c>
      <c r="Q42" s="2">
        <v>134103</v>
      </c>
      <c r="R42" s="2">
        <v>131578</v>
      </c>
      <c r="S42" s="2">
        <v>127835</v>
      </c>
    </row>
    <row r="43" spans="1:23" x14ac:dyDescent="0.3">
      <c r="A43" s="81" t="s">
        <v>95</v>
      </c>
      <c r="B43" s="93" t="s">
        <v>114</v>
      </c>
      <c r="C43" s="141">
        <v>73113</v>
      </c>
      <c r="D43" s="83">
        <f t="shared" si="2"/>
        <v>10216.949999999999</v>
      </c>
      <c r="E43" s="83">
        <f>C43*0.2068</f>
        <v>15119.768400000001</v>
      </c>
      <c r="F43" s="84">
        <f t="shared" si="1"/>
        <v>365.565</v>
      </c>
      <c r="G43" s="74">
        <f t="shared" si="5"/>
        <v>98815.2834</v>
      </c>
      <c r="H43" s="138">
        <f>V34</f>
        <v>2145.6</v>
      </c>
      <c r="I43" s="137">
        <f>V35</f>
        <v>0.6</v>
      </c>
      <c r="J43" s="75">
        <f t="shared" si="3"/>
        <v>1287.3599999999999</v>
      </c>
      <c r="K43" s="76">
        <f t="shared" si="4"/>
        <v>76.760000000000005</v>
      </c>
      <c r="M43" s="94">
        <v>0</v>
      </c>
      <c r="N43" s="95">
        <v>0</v>
      </c>
    </row>
    <row r="44" spans="1:23" x14ac:dyDescent="0.3">
      <c r="A44" s="81" t="s">
        <v>95</v>
      </c>
      <c r="B44" s="93" t="s">
        <v>25</v>
      </c>
      <c r="C44" s="141">
        <v>91722</v>
      </c>
      <c r="D44" s="83">
        <f t="shared" si="2"/>
        <v>13008.3</v>
      </c>
      <c r="E44" s="83">
        <f>C44*0.2068</f>
        <v>18968.1096</v>
      </c>
      <c r="F44" s="84">
        <f t="shared" si="1"/>
        <v>458.61</v>
      </c>
      <c r="G44" s="74">
        <f t="shared" si="5"/>
        <v>124157.0196</v>
      </c>
      <c r="H44" s="138">
        <f>V34</f>
        <v>2145.6</v>
      </c>
      <c r="I44" s="137">
        <f>V35</f>
        <v>0.6</v>
      </c>
      <c r="J44" s="75">
        <f t="shared" si="3"/>
        <v>1287.3599999999999</v>
      </c>
      <c r="K44" s="76">
        <f t="shared" si="4"/>
        <v>96.44</v>
      </c>
      <c r="M44" s="94">
        <v>0</v>
      </c>
      <c r="N44" s="95">
        <v>0</v>
      </c>
    </row>
    <row r="45" spans="1:23" x14ac:dyDescent="0.3">
      <c r="A45" s="96" t="s">
        <v>95</v>
      </c>
      <c r="B45" s="97" t="s">
        <v>25</v>
      </c>
      <c r="C45" s="141">
        <v>110330</v>
      </c>
      <c r="D45" s="83">
        <f t="shared" si="2"/>
        <v>15799.5</v>
      </c>
      <c r="E45" s="98">
        <f>C45*0.2068</f>
        <v>22816.244000000002</v>
      </c>
      <c r="F45" s="84">
        <f t="shared" si="1"/>
        <v>551.65</v>
      </c>
      <c r="G45" s="74">
        <f t="shared" si="5"/>
        <v>149497.394</v>
      </c>
      <c r="H45" s="138">
        <f>V34</f>
        <v>2145.6</v>
      </c>
      <c r="I45" s="137">
        <f>V35</f>
        <v>0.6</v>
      </c>
      <c r="J45" s="75">
        <f t="shared" si="3"/>
        <v>1287.3599999999999</v>
      </c>
      <c r="K45" s="76">
        <f t="shared" si="4"/>
        <v>116.13</v>
      </c>
      <c r="M45" s="94">
        <v>0</v>
      </c>
      <c r="N45" s="95">
        <v>0</v>
      </c>
    </row>
    <row r="46" spans="1:23" x14ac:dyDescent="0.3">
      <c r="A46" s="81" t="s">
        <v>81</v>
      </c>
      <c r="B46" s="93" t="s">
        <v>115</v>
      </c>
      <c r="C46" s="142">
        <v>109724.16</v>
      </c>
      <c r="D46" s="83">
        <f t="shared" si="2"/>
        <v>15708.624</v>
      </c>
      <c r="E46" s="83">
        <f>C46*$C$9</f>
        <v>26092.405248000003</v>
      </c>
      <c r="F46" s="84">
        <f t="shared" si="1"/>
        <v>548.62080000000003</v>
      </c>
      <c r="G46" s="74">
        <f t="shared" si="5"/>
        <v>152073.81004800001</v>
      </c>
      <c r="H46" s="138">
        <f>V24*V25*4</f>
        <v>1720</v>
      </c>
      <c r="I46" s="137">
        <f>V27/V25</f>
        <v>0.8</v>
      </c>
      <c r="J46" s="75">
        <f t="shared" si="3"/>
        <v>1376</v>
      </c>
      <c r="K46" s="76">
        <f t="shared" si="4"/>
        <v>110.52</v>
      </c>
      <c r="M46" s="94">
        <v>0</v>
      </c>
      <c r="N46" s="95">
        <v>0</v>
      </c>
    </row>
    <row r="47" spans="1:23" x14ac:dyDescent="0.3">
      <c r="A47" s="81" t="s">
        <v>81</v>
      </c>
      <c r="B47" s="93" t="s">
        <v>116</v>
      </c>
      <c r="C47" s="142">
        <v>126431.136</v>
      </c>
      <c r="D47" s="83">
        <f t="shared" si="2"/>
        <v>18214.670399999999</v>
      </c>
      <c r="E47" s="83">
        <f>C47*$C$9</f>
        <v>30065.324140799999</v>
      </c>
      <c r="F47" s="84">
        <f t="shared" si="1"/>
        <v>632.15567999999996</v>
      </c>
      <c r="G47" s="74">
        <f t="shared" si="5"/>
        <v>175343.28622079999</v>
      </c>
      <c r="H47" s="138">
        <f>H46</f>
        <v>1720</v>
      </c>
      <c r="I47" s="137">
        <f>I46</f>
        <v>0.8</v>
      </c>
      <c r="J47" s="75">
        <f t="shared" si="3"/>
        <v>1376</v>
      </c>
      <c r="K47" s="76">
        <f t="shared" si="4"/>
        <v>127.43</v>
      </c>
      <c r="M47" s="94">
        <v>0</v>
      </c>
      <c r="N47" s="95">
        <v>0</v>
      </c>
    </row>
    <row r="48" spans="1:23" ht="15" thickBot="1" x14ac:dyDescent="0.35">
      <c r="A48" s="99" t="s">
        <v>81</v>
      </c>
      <c r="B48" s="100" t="s">
        <v>117</v>
      </c>
      <c r="C48" s="143">
        <v>145477.28</v>
      </c>
      <c r="D48" s="101">
        <f t="shared" si="2"/>
        <v>21071.592000000001</v>
      </c>
      <c r="E48" s="101">
        <f>C48*$C$9</f>
        <v>34594.497184</v>
      </c>
      <c r="F48" s="102">
        <f t="shared" si="1"/>
        <v>727.38639999999998</v>
      </c>
      <c r="G48" s="103">
        <f t="shared" si="5"/>
        <v>201870.755584</v>
      </c>
      <c r="H48" s="139">
        <f>H46</f>
        <v>1720</v>
      </c>
      <c r="I48" s="140">
        <f>I46</f>
        <v>0.8</v>
      </c>
      <c r="J48" s="104">
        <f t="shared" si="3"/>
        <v>1376</v>
      </c>
      <c r="K48" s="105">
        <f t="shared" si="4"/>
        <v>146.71</v>
      </c>
      <c r="M48" s="106">
        <v>0</v>
      </c>
      <c r="N48" s="107">
        <v>0</v>
      </c>
    </row>
    <row r="51" spans="7:7" x14ac:dyDescent="0.3">
      <c r="G51" s="52">
        <f>G26*42</f>
        <v>2909349.8448000001</v>
      </c>
    </row>
    <row r="52" spans="7:7" x14ac:dyDescent="0.3">
      <c r="G52" s="52">
        <f>G29*42</f>
        <v>3389849.1311999997</v>
      </c>
    </row>
    <row r="97" ht="23.55" customHeight="1" x14ac:dyDescent="0.3"/>
    <row r="98" ht="55.8" customHeight="1" x14ac:dyDescent="0.3"/>
    <row r="99" ht="23.55" customHeight="1" x14ac:dyDescent="0.3"/>
    <row r="100" ht="23.55" customHeight="1" x14ac:dyDescent="0.3"/>
    <row r="101" ht="23.55" customHeight="1" x14ac:dyDescent="0.3"/>
    <row r="102" ht="23.55" customHeight="1" x14ac:dyDescent="0.3"/>
    <row r="103" ht="23.55" customHeight="1" x14ac:dyDescent="0.3"/>
  </sheetData>
  <sheetProtection algorithmName="SHA-512" hashValue="XvRdzUHCG1NA8sZmzmZdivTujtuIEouB4zK/cECUKIf/Dd8vyQmVpNBWyq0DH9EapJUg4yvi11pdoPZNfGUaLA==" saltValue="ZovXiMwRaoTIxuCuWFiu7Q==" spinCount="100000" sheet="1" objects="1" scenarios="1"/>
  <dataValidations count="1">
    <dataValidation type="list" allowBlank="1" showInputMessage="1" showErrorMessage="1" sqref="C6" xr:uid="{31BB98D8-4B7B-4157-AAF6-351543AA2B49}">
      <formula1>$P$5:$P$8</formula1>
    </dataValidation>
  </dataValidations>
  <pageMargins left="0.7" right="0.7" top="0.75" bottom="0.75" header="0.3" footer="0.3"/>
  <pageSetup paperSize="9" scale="3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A227B-9307-4B05-8909-3F23E0EAD61A}">
  <dimension ref="A1:P28"/>
  <sheetViews>
    <sheetView zoomScale="80" zoomScaleNormal="80" workbookViewId="0">
      <selection activeCell="A12" sqref="A12"/>
    </sheetView>
  </sheetViews>
  <sheetFormatPr defaultRowHeight="14.4" x14ac:dyDescent="0.3"/>
  <cols>
    <col min="1" max="1" width="90.21875" bestFit="1" customWidth="1"/>
    <col min="2" max="2" width="10.77734375" bestFit="1" customWidth="1"/>
    <col min="3" max="3" width="14.44140625" customWidth="1"/>
    <col min="4" max="4" width="11.44140625" customWidth="1"/>
    <col min="5" max="5" width="8.77734375" customWidth="1"/>
    <col min="6" max="6" width="14.21875" customWidth="1"/>
    <col min="7" max="7" width="8.21875" customWidth="1"/>
    <col min="8" max="8" width="11.5546875" customWidth="1"/>
    <col min="9" max="9" width="8.77734375" customWidth="1"/>
    <col min="10" max="10" width="10.77734375" customWidth="1"/>
    <col min="12" max="12" width="10.5546875" customWidth="1"/>
    <col min="14" max="14" width="12.21875" customWidth="1"/>
    <col min="15" max="16" width="11.21875" customWidth="1"/>
  </cols>
  <sheetData>
    <row r="1" spans="1:16" ht="15" thickBot="1" x14ac:dyDescent="0.35">
      <c r="A1" s="121" t="s">
        <v>118</v>
      </c>
    </row>
    <row r="2" spans="1:16" ht="72.599999999999994" thickBot="1" x14ac:dyDescent="0.35">
      <c r="B2" s="35" t="s">
        <v>119</v>
      </c>
      <c r="C2" s="36" t="s">
        <v>120</v>
      </c>
      <c r="D2" s="31" t="s">
        <v>121</v>
      </c>
      <c r="E2" s="35" t="s">
        <v>122</v>
      </c>
      <c r="F2" s="36" t="s">
        <v>123</v>
      </c>
      <c r="G2" s="35" t="s">
        <v>124</v>
      </c>
      <c r="H2" s="36" t="s">
        <v>125</v>
      </c>
      <c r="I2" s="35" t="s">
        <v>126</v>
      </c>
      <c r="J2" s="36" t="s">
        <v>127</v>
      </c>
      <c r="K2" s="35" t="s">
        <v>128</v>
      </c>
      <c r="L2" s="36" t="s">
        <v>129</v>
      </c>
      <c r="M2" s="35" t="s">
        <v>130</v>
      </c>
      <c r="N2" s="36" t="s">
        <v>131</v>
      </c>
      <c r="O2" s="35" t="s">
        <v>132</v>
      </c>
      <c r="P2" s="36" t="s">
        <v>133</v>
      </c>
    </row>
    <row r="3" spans="1:16" x14ac:dyDescent="0.3">
      <c r="A3" s="21" t="s">
        <v>134</v>
      </c>
      <c r="B3" s="27">
        <f t="shared" ref="B3:C7" si="0">E3+G3+I3+K3+M3+O3</f>
        <v>19166</v>
      </c>
      <c r="C3" s="28">
        <f t="shared" si="0"/>
        <v>81122850.753360122</v>
      </c>
      <c r="D3" s="32">
        <f>C3/B3</f>
        <v>4232.6437834373437</v>
      </c>
      <c r="E3" s="7">
        <v>9582</v>
      </c>
      <c r="F3" s="8">
        <v>70808680.359315753</v>
      </c>
      <c r="G3" s="7">
        <v>4242</v>
      </c>
      <c r="H3" s="15">
        <v>3559391.4969500676</v>
      </c>
      <c r="I3" s="7">
        <v>4967</v>
      </c>
      <c r="J3" s="8">
        <v>3903528.2889153492</v>
      </c>
      <c r="K3" s="27">
        <v>261</v>
      </c>
      <c r="L3" s="28">
        <v>2725592.6482760208</v>
      </c>
      <c r="M3" s="29">
        <v>112</v>
      </c>
      <c r="N3" s="28">
        <v>124020.36601196999</v>
      </c>
      <c r="O3" s="27">
        <v>2</v>
      </c>
      <c r="P3" s="28">
        <v>1637.59389096</v>
      </c>
    </row>
    <row r="4" spans="1:16" x14ac:dyDescent="0.3">
      <c r="A4" s="22" t="s">
        <v>135</v>
      </c>
      <c r="B4" s="9">
        <f t="shared" si="0"/>
        <v>11272</v>
      </c>
      <c r="C4" s="10">
        <f t="shared" si="0"/>
        <v>32238813.881113563</v>
      </c>
      <c r="D4" s="33">
        <f t="shared" ref="D4:D7" si="1">C4/B4</f>
        <v>2860.0793010214302</v>
      </c>
      <c r="E4" s="9">
        <v>5216</v>
      </c>
      <c r="F4" s="10">
        <v>27113091.039864074</v>
      </c>
      <c r="G4" s="9">
        <v>4301</v>
      </c>
      <c r="H4" s="17">
        <v>3182084.628768119</v>
      </c>
      <c r="I4" s="9">
        <v>1417</v>
      </c>
      <c r="J4" s="10">
        <v>772522.87382169999</v>
      </c>
      <c r="K4" s="9">
        <v>185</v>
      </c>
      <c r="L4" s="10">
        <v>1060456.1474525197</v>
      </c>
      <c r="M4" s="11">
        <v>130</v>
      </c>
      <c r="N4" s="10">
        <v>93968.936774319984</v>
      </c>
      <c r="O4" s="9">
        <v>23</v>
      </c>
      <c r="P4" s="10">
        <v>16690.254432829999</v>
      </c>
    </row>
    <row r="5" spans="1:16" x14ac:dyDescent="0.3">
      <c r="A5" s="22" t="s">
        <v>136</v>
      </c>
      <c r="B5" s="9">
        <f t="shared" si="0"/>
        <v>12176</v>
      </c>
      <c r="C5" s="10">
        <f t="shared" si="0"/>
        <v>26263371.237198096</v>
      </c>
      <c r="D5" s="33">
        <f t="shared" si="1"/>
        <v>2156.9785838697517</v>
      </c>
      <c r="E5" s="9">
        <v>4575</v>
      </c>
      <c r="F5" s="10">
        <v>19897029.635144725</v>
      </c>
      <c r="G5" s="9">
        <v>5432</v>
      </c>
      <c r="H5" s="17">
        <v>3770843.864730292</v>
      </c>
      <c r="I5" s="9">
        <v>1487</v>
      </c>
      <c r="J5" s="10">
        <v>907312.17526616005</v>
      </c>
      <c r="K5" s="9">
        <v>264</v>
      </c>
      <c r="L5" s="10">
        <v>1429440.1515409402</v>
      </c>
      <c r="M5" s="11">
        <v>395</v>
      </c>
      <c r="N5" s="10">
        <v>243145.34963996004</v>
      </c>
      <c r="O5" s="9">
        <v>23</v>
      </c>
      <c r="P5" s="10">
        <v>15600.060876019999</v>
      </c>
    </row>
    <row r="6" spans="1:16" x14ac:dyDescent="0.3">
      <c r="A6" s="23" t="s">
        <v>137</v>
      </c>
      <c r="B6" s="9">
        <f t="shared" si="0"/>
        <v>12840</v>
      </c>
      <c r="C6" s="10">
        <f t="shared" si="0"/>
        <v>21377975.200884853</v>
      </c>
      <c r="D6" s="33">
        <f t="shared" si="1"/>
        <v>1664.9513396327766</v>
      </c>
      <c r="E6" s="9">
        <v>3890</v>
      </c>
      <c r="F6" s="10">
        <v>14229163.023809444</v>
      </c>
      <c r="G6" s="9">
        <v>6510</v>
      </c>
      <c r="H6" s="17">
        <v>4228366.0572645525</v>
      </c>
      <c r="I6" s="9">
        <v>734</v>
      </c>
      <c r="J6" s="10">
        <v>402815.48560408998</v>
      </c>
      <c r="K6" s="9">
        <v>459</v>
      </c>
      <c r="L6" s="10">
        <v>1753148.1130858106</v>
      </c>
      <c r="M6" s="11">
        <v>1098</v>
      </c>
      <c r="N6" s="10">
        <v>661208.11494380014</v>
      </c>
      <c r="O6" s="9">
        <v>149</v>
      </c>
      <c r="P6" s="10">
        <v>103274.40617716001</v>
      </c>
    </row>
    <row r="7" spans="1:16" ht="15" thickBot="1" x14ac:dyDescent="0.35">
      <c r="A7" s="20" t="s">
        <v>138</v>
      </c>
      <c r="B7" s="13">
        <f t="shared" si="0"/>
        <v>21047</v>
      </c>
      <c r="C7" s="14">
        <f t="shared" si="0"/>
        <v>22619866.433578342</v>
      </c>
      <c r="D7" s="34">
        <f t="shared" si="1"/>
        <v>1074.7311461765735</v>
      </c>
      <c r="E7" s="13">
        <v>3558</v>
      </c>
      <c r="F7" s="14">
        <v>10858014.573962135</v>
      </c>
      <c r="G7" s="13">
        <v>10062</v>
      </c>
      <c r="H7" s="19">
        <v>5715324.9242223166</v>
      </c>
      <c r="I7" s="13">
        <v>1507</v>
      </c>
      <c r="J7" s="14">
        <v>734822.83756794001</v>
      </c>
      <c r="K7" s="13">
        <v>1095</v>
      </c>
      <c r="L7" s="14">
        <v>2614256.3560808003</v>
      </c>
      <c r="M7" s="30">
        <v>4235</v>
      </c>
      <c r="N7" s="14">
        <v>2444040.1548815207</v>
      </c>
      <c r="O7" s="13">
        <v>590</v>
      </c>
      <c r="P7" s="14">
        <v>253407.58686363001</v>
      </c>
    </row>
    <row r="8" spans="1:16" ht="15" thickBot="1" x14ac:dyDescent="0.35">
      <c r="B8" s="24">
        <f>SUM(B3:B7)</f>
        <v>76501</v>
      </c>
      <c r="C8" s="25">
        <f>SUM(C3:C7)</f>
        <v>183622877.50613496</v>
      </c>
      <c r="E8" s="24">
        <f t="shared" ref="E8:P8" si="2">SUM(E3:E7)</f>
        <v>26821</v>
      </c>
      <c r="F8" s="25">
        <f t="shared" si="2"/>
        <v>142905978.63209614</v>
      </c>
      <c r="G8" s="24">
        <f t="shared" si="2"/>
        <v>30547</v>
      </c>
      <c r="H8" s="25">
        <f t="shared" si="2"/>
        <v>20456010.971935347</v>
      </c>
      <c r="I8" s="24">
        <f t="shared" si="2"/>
        <v>10112</v>
      </c>
      <c r="J8" s="25">
        <f t="shared" si="2"/>
        <v>6721001.6611752389</v>
      </c>
      <c r="K8" s="24">
        <f t="shared" si="2"/>
        <v>2264</v>
      </c>
      <c r="L8" s="25">
        <f t="shared" si="2"/>
        <v>9582893.4164360911</v>
      </c>
      <c r="M8" s="24">
        <f t="shared" si="2"/>
        <v>5970</v>
      </c>
      <c r="N8" s="25">
        <f t="shared" si="2"/>
        <v>3566382.922251571</v>
      </c>
      <c r="O8" s="24">
        <f t="shared" si="2"/>
        <v>787</v>
      </c>
      <c r="P8" s="25">
        <f t="shared" si="2"/>
        <v>390609.90224060003</v>
      </c>
    </row>
    <row r="9" spans="1:16" x14ac:dyDescent="0.3">
      <c r="A9" t="s">
        <v>139</v>
      </c>
      <c r="C9" s="3">
        <f>C8/B8</f>
        <v>2400.267676319721</v>
      </c>
      <c r="F9" s="3">
        <f>F8/E8</f>
        <v>5328.13760233012</v>
      </c>
      <c r="H9" s="3">
        <f>H8/G8</f>
        <v>669.65695393771387</v>
      </c>
      <c r="J9" s="3">
        <f>J8/I8</f>
        <v>664.65601870799435</v>
      </c>
      <c r="L9" s="3">
        <f>L8/K8</f>
        <v>4232.7267740442103</v>
      </c>
      <c r="N9" s="3">
        <f>N8/M8</f>
        <v>597.38407407899012</v>
      </c>
      <c r="P9" s="3">
        <f>P8/O8</f>
        <v>496.32770297407882</v>
      </c>
    </row>
    <row r="12" spans="1:16" ht="15" thickBot="1" x14ac:dyDescent="0.35"/>
    <row r="13" spans="1:16" ht="29.4" thickBot="1" x14ac:dyDescent="0.35">
      <c r="B13" s="37" t="s">
        <v>119</v>
      </c>
      <c r="C13" s="38" t="s">
        <v>120</v>
      </c>
      <c r="D13" s="43" t="s">
        <v>121</v>
      </c>
    </row>
    <row r="14" spans="1:16" x14ac:dyDescent="0.3">
      <c r="A14" s="39" t="s">
        <v>140</v>
      </c>
      <c r="B14" s="27">
        <v>99328</v>
      </c>
      <c r="C14" s="28">
        <v>33093816.913743436</v>
      </c>
      <c r="D14" s="40">
        <f>C14/B14</f>
        <v>333.17711937966573</v>
      </c>
    </row>
    <row r="15" spans="1:16" x14ac:dyDescent="0.3">
      <c r="A15" s="16" t="s">
        <v>141</v>
      </c>
      <c r="B15" s="9">
        <v>453753</v>
      </c>
      <c r="C15" s="10">
        <v>393116408.24952257</v>
      </c>
      <c r="D15" s="41">
        <f t="shared" ref="D15:D26" si="3">C15/B15</f>
        <v>866.36652154260707</v>
      </c>
    </row>
    <row r="16" spans="1:16" x14ac:dyDescent="0.3">
      <c r="A16" s="16" t="s">
        <v>142</v>
      </c>
      <c r="B16" s="9">
        <v>1657528</v>
      </c>
      <c r="C16" s="10">
        <v>824901470.92535305</v>
      </c>
      <c r="D16" s="41">
        <f t="shared" si="3"/>
        <v>497.66970508211813</v>
      </c>
    </row>
    <row r="17" spans="1:4" x14ac:dyDescent="0.3">
      <c r="A17" s="16" t="s">
        <v>143</v>
      </c>
      <c r="B17" s="9">
        <v>1050522</v>
      </c>
      <c r="C17" s="10">
        <v>711479818.91193175</v>
      </c>
      <c r="D17" s="41">
        <f t="shared" si="3"/>
        <v>677.26313100718664</v>
      </c>
    </row>
    <row r="18" spans="1:4" x14ac:dyDescent="0.3">
      <c r="A18" s="16" t="s">
        <v>144</v>
      </c>
      <c r="B18" s="9">
        <v>318431</v>
      </c>
      <c r="C18" s="10">
        <v>150251399.0574562</v>
      </c>
      <c r="D18" s="41">
        <f t="shared" si="3"/>
        <v>471.84915745469567</v>
      </c>
    </row>
    <row r="19" spans="1:4" x14ac:dyDescent="0.3">
      <c r="A19" s="16" t="s">
        <v>145</v>
      </c>
      <c r="B19" s="9">
        <v>472190</v>
      </c>
      <c r="C19" s="10">
        <v>167119661.73024964</v>
      </c>
      <c r="D19" s="41">
        <f t="shared" si="3"/>
        <v>353.92461028452453</v>
      </c>
    </row>
    <row r="20" spans="1:4" x14ac:dyDescent="0.3">
      <c r="A20" s="16" t="s">
        <v>146</v>
      </c>
      <c r="B20" s="9">
        <v>2270366</v>
      </c>
      <c r="C20" s="10">
        <v>815715223.01017642</v>
      </c>
      <c r="D20" s="41">
        <f t="shared" si="3"/>
        <v>359.28798396830132</v>
      </c>
    </row>
    <row r="21" spans="1:4" x14ac:dyDescent="0.3">
      <c r="A21" s="16" t="s">
        <v>147</v>
      </c>
      <c r="B21" s="9">
        <v>5136218</v>
      </c>
      <c r="C21" s="10">
        <v>1340185735.9035993</v>
      </c>
      <c r="D21" s="41">
        <f t="shared" si="3"/>
        <v>260.9285150870931</v>
      </c>
    </row>
    <row r="22" spans="1:4" x14ac:dyDescent="0.3">
      <c r="A22" s="16" t="s">
        <v>148</v>
      </c>
      <c r="B22" s="9">
        <v>4979457</v>
      </c>
      <c r="C22" s="10">
        <v>881402518.62045288</v>
      </c>
      <c r="D22" s="41">
        <f t="shared" si="3"/>
        <v>177.00775779777854</v>
      </c>
    </row>
    <row r="23" spans="1:4" x14ac:dyDescent="0.3">
      <c r="A23" s="16" t="s">
        <v>149</v>
      </c>
      <c r="B23" s="9">
        <v>658</v>
      </c>
      <c r="C23" s="10">
        <v>120961.78273084</v>
      </c>
      <c r="D23" s="41">
        <f t="shared" si="3"/>
        <v>183.83249655142856</v>
      </c>
    </row>
    <row r="24" spans="1:4" x14ac:dyDescent="0.3">
      <c r="A24" s="16" t="s">
        <v>150</v>
      </c>
      <c r="B24" s="9">
        <v>5564101</v>
      </c>
      <c r="C24" s="10">
        <v>688541557.24812901</v>
      </c>
      <c r="D24" s="41">
        <f t="shared" si="3"/>
        <v>123.74713493664638</v>
      </c>
    </row>
    <row r="25" spans="1:4" ht="15" thickBot="1" x14ac:dyDescent="0.35">
      <c r="A25" s="18" t="s">
        <v>151</v>
      </c>
      <c r="B25" s="13">
        <v>1592</v>
      </c>
      <c r="C25" s="14">
        <v>559155.80402578984</v>
      </c>
      <c r="D25" s="42">
        <f t="shared" si="3"/>
        <v>351.22852011670216</v>
      </c>
    </row>
    <row r="26" spans="1:4" ht="15" thickBot="1" x14ac:dyDescent="0.35">
      <c r="B26" s="4">
        <f>SUM(B14:B25)</f>
        <v>22004144</v>
      </c>
      <c r="C26" s="5">
        <f>SUM(C14:C25)</f>
        <v>6006487728.1573706</v>
      </c>
      <c r="D26" s="26">
        <f t="shared" si="3"/>
        <v>272.97075169828787</v>
      </c>
    </row>
    <row r="28" spans="1:4" x14ac:dyDescent="0.3">
      <c r="A28" t="s">
        <v>152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lcf76f155ced4ddcb4097134ff3c332f xmlns="acaf4567-dc07-471f-892c-2bcb86ef35ae">
      <Terms xmlns="http://schemas.microsoft.com/office/infopath/2007/PartnerControls"/>
    </lcf76f155ced4ddcb4097134ff3c332f>
    <TaxCatchAll xmlns="0eb656aa-4e79-4e95-9076-bc119a23e0c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E85723-0257-48B2-8F5E-26C835902F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2ABB9A-8364-4332-A303-098C76C8D4A1}">
  <ds:schemaRefs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1f338ac-e338-414f-952c-f74dcc6d59e1"/>
    <ds:schemaRef ds:uri="http://schemas.microsoft.com/office/infopath/2007/PartnerControls"/>
    <ds:schemaRef ds:uri="0eb656aa-4e79-4e95-9076-bc119a23e0cc"/>
    <ds:schemaRef ds:uri="http://www.w3.org/XML/1998/namespace"/>
    <ds:schemaRef ds:uri="acaf4567-dc07-471f-892c-2bcb86ef35ae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CECC619-C9BB-43D2-90A7-48232160EB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Costing template</vt:lpstr>
      <vt:lpstr>payscales</vt:lpstr>
      <vt:lpstr>Cost collection data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NG252 Rehabilitation for chronic neurological disorders including acquired brain injury: Resource impact template 15/10/2025</dc:title>
  <dc:subject/>
  <dc:creator/>
  <cp:keywords/>
  <dc:description/>
  <cp:lastModifiedBy>Nathan Ashurst</cp:lastModifiedBy>
  <cp:revision/>
  <dcterms:created xsi:type="dcterms:W3CDTF">2025-08-12T07:50:50Z</dcterms:created>
  <dcterms:modified xsi:type="dcterms:W3CDTF">2025-10-14T08:34:37Z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2025-08-12T09:50:07Z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a49c8211-1910-43ee-a66f-8400e6c1c138</vt:lpwstr>
  </property>
  <property fmtid="{D5CDD505-2E9C-101B-9397-08002B2CF9AE}" pid="8" name="MSIP_Label_c69d85d5-6d9e-4305-a294-1f636ec0f2d6_ContentBits">
    <vt:lpwstr>0</vt:lpwstr>
  </property>
  <property fmtid="{D5CDD505-2E9C-101B-9397-08002B2CF9AE}" pid="9" name="MSIP_Label_c69d85d5-6d9e-4305-a294-1f636ec0f2d6_Tag">
    <vt:lpwstr>10, 3, 0, 1</vt:lpwstr>
  </property>
  <property fmtid="{D5CDD505-2E9C-101B-9397-08002B2CF9AE}" pid="10" name="ContentTypeId">
    <vt:lpwstr>0x010100B99456BF0FC3654992BB01F701E3BF13</vt:lpwstr>
  </property>
  <property fmtid="{D5CDD505-2E9C-101B-9397-08002B2CF9AE}" pid="11" name="Display_x0020_Status">
    <vt:lpwstr/>
  </property>
  <property fmtid="{D5CDD505-2E9C-101B-9397-08002B2CF9AE}" pid="12" name="MediaServiceImageTags">
    <vt:lpwstr/>
  </property>
  <property fmtid="{D5CDD505-2E9C-101B-9397-08002B2CF9AE}" pid="13" name="Display Status">
    <vt:lpwstr/>
  </property>
</Properties>
</file>