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8768F903-29F2-45D3-AA59-DE6A6F6CADA2}" xr6:coauthVersionLast="47" xr6:coauthVersionMax="47" xr10:uidLastSave="{00000000-0000-0000-0000-000000000000}"/>
  <bookViews>
    <workbookView xWindow="-120" yWindow="-120" windowWidth="21840" windowHeight="1314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selection'!$B$536:$B$551</definedName>
    <definedName name="_xlnm.Print_Area" localSheetId="7">'Capacity (local prices)'!$B$1:$R$198</definedName>
    <definedName name="_xlnm.Print_Area" localSheetId="8">'Capacity (national prices)'!$B$1:$R$58</definedName>
    <definedName name="_xlnm.Print_Area" localSheetId="1">Contents!$A$1:$P$29</definedName>
    <definedName name="_xlnm.Print_Area" localSheetId="0">Cover!$A$1:$P$27</definedName>
    <definedName name="_xlnm.Print_Area" localSheetId="6">'Financial impact (cash)'!$B$1:$J$31</definedName>
    <definedName name="_xlnm.Print_Area" localSheetId="3">'Inputs and eligible population'!$A$2:$M$168</definedName>
    <definedName name="_xlnm.Print_Area" localSheetId="2">'Population selection'!$B$11:$J$17</definedName>
    <definedName name="_xlnm.Print_Area" localSheetId="5">Summary!$B$1:$K$80</definedName>
    <definedName name="_xlnm.Print_Area" localSheetId="4">'Unit costs'!$B$1:$R$61</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3" i="50" l="1"/>
  <c r="K121" i="50"/>
  <c r="K120" i="50"/>
  <c r="K117" i="50"/>
  <c r="K115" i="50"/>
  <c r="K113" i="50"/>
  <c r="K110" i="50"/>
  <c r="K108" i="50"/>
  <c r="K103" i="50"/>
  <c r="K101" i="50"/>
  <c r="K99" i="50"/>
  <c r="K97" i="50"/>
  <c r="K95" i="50"/>
  <c r="H47" i="57"/>
  <c r="G47" i="57"/>
  <c r="E47" i="57"/>
  <c r="F47" i="57" s="1"/>
  <c r="D47" i="57"/>
  <c r="C46" i="57"/>
  <c r="E46" i="57" s="1"/>
  <c r="H45" i="57"/>
  <c r="G45" i="57"/>
  <c r="F45" i="57"/>
  <c r="E45" i="57"/>
  <c r="I45" i="57" s="1"/>
  <c r="K45" i="57" s="1"/>
  <c r="D45" i="57"/>
  <c r="H44" i="57"/>
  <c r="G44" i="57"/>
  <c r="F44" i="57"/>
  <c r="E44" i="57"/>
  <c r="I44" i="57" s="1"/>
  <c r="D44" i="57"/>
  <c r="C43" i="57"/>
  <c r="E43" i="57" s="1"/>
  <c r="H42" i="57"/>
  <c r="G42" i="57"/>
  <c r="E42" i="57"/>
  <c r="F42" i="57" s="1"/>
  <c r="D42" i="57"/>
  <c r="C41" i="57"/>
  <c r="E41" i="57" s="1"/>
  <c r="C40" i="57"/>
  <c r="E40" i="57" s="1"/>
  <c r="C39" i="57"/>
  <c r="E39" i="57" s="1"/>
  <c r="C38" i="57"/>
  <c r="E38" i="57" s="1"/>
  <c r="C37" i="57"/>
  <c r="E37" i="57" s="1"/>
  <c r="W36" i="57"/>
  <c r="J42" i="57" s="1"/>
  <c r="C36" i="57"/>
  <c r="E36" i="57" s="1"/>
  <c r="C35" i="57"/>
  <c r="C34" i="57"/>
  <c r="C33" i="57"/>
  <c r="C32" i="57"/>
  <c r="C31" i="57"/>
  <c r="C30" i="57"/>
  <c r="C29" i="57"/>
  <c r="W28" i="57"/>
  <c r="H28" i="57"/>
  <c r="E28" i="57"/>
  <c r="G28" i="57" s="1"/>
  <c r="D28" i="57"/>
  <c r="C28" i="57"/>
  <c r="H27" i="57"/>
  <c r="E27" i="57"/>
  <c r="G27" i="57" s="1"/>
  <c r="D27" i="57"/>
  <c r="C27" i="57"/>
  <c r="H26" i="57"/>
  <c r="E26" i="57"/>
  <c r="G26" i="57" s="1"/>
  <c r="D26" i="57"/>
  <c r="C26" i="57"/>
  <c r="H25" i="57"/>
  <c r="E25" i="57"/>
  <c r="G25" i="57" s="1"/>
  <c r="D25" i="57"/>
  <c r="C25" i="57"/>
  <c r="H24" i="57"/>
  <c r="E24" i="57"/>
  <c r="G24" i="57" s="1"/>
  <c r="D24" i="57"/>
  <c r="C24" i="57"/>
  <c r="H23" i="57"/>
  <c r="E23" i="57"/>
  <c r="G23" i="57" s="1"/>
  <c r="D23" i="57"/>
  <c r="C23" i="57"/>
  <c r="H22" i="57"/>
  <c r="E22" i="57"/>
  <c r="G22" i="57" s="1"/>
  <c r="D22" i="57"/>
  <c r="C22" i="57"/>
  <c r="H21" i="57"/>
  <c r="E21" i="57"/>
  <c r="G21" i="57" s="1"/>
  <c r="D21" i="57"/>
  <c r="C21" i="57"/>
  <c r="H20" i="57"/>
  <c r="E20" i="57"/>
  <c r="G20" i="57" s="1"/>
  <c r="D20" i="57"/>
  <c r="C20" i="57"/>
  <c r="W19" i="57"/>
  <c r="E19" i="57"/>
  <c r="D19" i="57"/>
  <c r="C19" i="57"/>
  <c r="E18" i="57"/>
  <c r="D18" i="57"/>
  <c r="C18" i="57"/>
  <c r="E17" i="57"/>
  <c r="D17" i="57"/>
  <c r="C17" i="57"/>
  <c r="E16" i="57"/>
  <c r="D16" i="57"/>
  <c r="C16" i="57"/>
  <c r="E15" i="57"/>
  <c r="D15" i="57"/>
  <c r="C15" i="57"/>
  <c r="E14" i="57"/>
  <c r="D14" i="57"/>
  <c r="C14" i="57"/>
  <c r="F13" i="57"/>
  <c r="E13" i="57"/>
  <c r="D13" i="57"/>
  <c r="C13" i="57"/>
  <c r="E12" i="57"/>
  <c r="D12" i="57"/>
  <c r="C12" i="57"/>
  <c r="C184" i="46"/>
  <c r="H38" i="57" l="1"/>
  <c r="G38" i="57"/>
  <c r="F38" i="57"/>
  <c r="I38" i="57" s="1"/>
  <c r="K38" i="57" s="1"/>
  <c r="G43" i="57"/>
  <c r="F43" i="57"/>
  <c r="I43" i="57" s="1"/>
  <c r="K43" i="57" s="1"/>
  <c r="H12" i="57"/>
  <c r="G12" i="57"/>
  <c r="E30" i="57"/>
  <c r="D30" i="57"/>
  <c r="D32" i="57"/>
  <c r="E32" i="57"/>
  <c r="E34" i="57"/>
  <c r="D34" i="57"/>
  <c r="F36" i="57"/>
  <c r="I36" i="57" s="1"/>
  <c r="K36" i="57" s="1"/>
  <c r="H36" i="57"/>
  <c r="G36" i="57"/>
  <c r="I39" i="57"/>
  <c r="K39" i="57" s="1"/>
  <c r="H39" i="57"/>
  <c r="G39" i="57"/>
  <c r="F39" i="57"/>
  <c r="F12" i="57"/>
  <c r="I12" i="57" s="1"/>
  <c r="K12" i="57" s="1"/>
  <c r="H13" i="57"/>
  <c r="G13" i="57"/>
  <c r="H40" i="57"/>
  <c r="I40" i="57" s="1"/>
  <c r="K40" i="57" s="1"/>
  <c r="G40" i="57"/>
  <c r="F40" i="57"/>
  <c r="H14" i="57"/>
  <c r="G14" i="57"/>
  <c r="F14" i="57"/>
  <c r="I14" i="57" s="1"/>
  <c r="K14" i="57" s="1"/>
  <c r="H15" i="57"/>
  <c r="G15" i="57"/>
  <c r="F15" i="57"/>
  <c r="H16" i="57"/>
  <c r="G16" i="57"/>
  <c r="F16" i="57"/>
  <c r="H17" i="57"/>
  <c r="G17" i="57"/>
  <c r="F17" i="57"/>
  <c r="I17" i="57" s="1"/>
  <c r="K17" i="57" s="1"/>
  <c r="H18" i="57"/>
  <c r="G18" i="57"/>
  <c r="F18" i="57"/>
  <c r="I18" i="57" s="1"/>
  <c r="K18" i="57" s="1"/>
  <c r="H19" i="57"/>
  <c r="F19" i="57"/>
  <c r="G19" i="57"/>
  <c r="D29" i="57"/>
  <c r="E29" i="57"/>
  <c r="E31" i="57"/>
  <c r="D31" i="57"/>
  <c r="E33" i="57"/>
  <c r="D33" i="57"/>
  <c r="E35" i="57"/>
  <c r="D35" i="57"/>
  <c r="H37" i="57"/>
  <c r="I37" i="57" s="1"/>
  <c r="K37" i="57" s="1"/>
  <c r="G37" i="57"/>
  <c r="F37" i="57"/>
  <c r="H41" i="57"/>
  <c r="I41" i="57" s="1"/>
  <c r="K41" i="57" s="1"/>
  <c r="G41" i="57"/>
  <c r="F41" i="57"/>
  <c r="H46" i="57"/>
  <c r="I46" i="57" s="1"/>
  <c r="K46" i="57" s="1"/>
  <c r="G46" i="57"/>
  <c r="F46" i="57"/>
  <c r="J43" i="57"/>
  <c r="J44" i="57"/>
  <c r="K44" i="57" s="1"/>
  <c r="I27" i="57"/>
  <c r="K27" i="57" s="1"/>
  <c r="I28" i="57"/>
  <c r="K28" i="57" s="1"/>
  <c r="D36" i="57"/>
  <c r="F20" i="57"/>
  <c r="F21" i="57"/>
  <c r="I21" i="57" s="1"/>
  <c r="K21" i="57" s="1"/>
  <c r="F22" i="57"/>
  <c r="I22" i="57" s="1"/>
  <c r="K22" i="57" s="1"/>
  <c r="F23" i="57"/>
  <c r="I23" i="57" s="1"/>
  <c r="K23" i="57" s="1"/>
  <c r="F24" i="57"/>
  <c r="F25" i="57"/>
  <c r="F26" i="57"/>
  <c r="I26" i="57" s="1"/>
  <c r="K26" i="57" s="1"/>
  <c r="F27" i="57"/>
  <c r="F28" i="57"/>
  <c r="D37" i="57"/>
  <c r="D38" i="57"/>
  <c r="D39" i="57"/>
  <c r="D40" i="57"/>
  <c r="D41" i="57"/>
  <c r="I42" i="57"/>
  <c r="K42" i="57" s="1"/>
  <c r="D43" i="57"/>
  <c r="H43" i="57"/>
  <c r="D46" i="57"/>
  <c r="I47" i="57"/>
  <c r="K47" i="57" s="1"/>
  <c r="I20" i="57"/>
  <c r="K20" i="57" s="1"/>
  <c r="I24" i="57"/>
  <c r="K24" i="57" s="1"/>
  <c r="I25" i="57"/>
  <c r="K25" i="57" s="1"/>
  <c r="O42" i="21"/>
  <c r="M14" i="21"/>
  <c r="M15" i="21"/>
  <c r="F29" i="57" l="1"/>
  <c r="H29" i="57"/>
  <c r="G29" i="57"/>
  <c r="I29" i="57" s="1"/>
  <c r="K29" i="57" s="1"/>
  <c r="I15" i="57"/>
  <c r="K15" i="57" s="1"/>
  <c r="I13" i="57"/>
  <c r="K13" i="57" s="1"/>
  <c r="F34" i="57"/>
  <c r="I34" i="57"/>
  <c r="K34" i="57" s="1"/>
  <c r="H34" i="57"/>
  <c r="G34" i="57"/>
  <c r="F30" i="57"/>
  <c r="I30" i="57"/>
  <c r="K30" i="57" s="1"/>
  <c r="H30" i="57"/>
  <c r="G30" i="57"/>
  <c r="F33" i="57"/>
  <c r="I33" i="57"/>
  <c r="K33" i="57" s="1"/>
  <c r="H33" i="57"/>
  <c r="G33" i="57"/>
  <c r="F35" i="57"/>
  <c r="I35" i="57"/>
  <c r="K35" i="57" s="1"/>
  <c r="H35" i="57"/>
  <c r="G35" i="57"/>
  <c r="F31" i="57"/>
  <c r="I31" i="57"/>
  <c r="K31" i="57" s="1"/>
  <c r="H31" i="57"/>
  <c r="G31" i="57"/>
  <c r="I19" i="57"/>
  <c r="K19" i="57" s="1"/>
  <c r="I16" i="57"/>
  <c r="K16" i="57" s="1"/>
  <c r="F32" i="57"/>
  <c r="H32" i="57"/>
  <c r="G32" i="57"/>
  <c r="I32" i="57" s="1"/>
  <c r="K32" i="57" s="1"/>
  <c r="L45" i="50"/>
  <c r="L44" i="50"/>
  <c r="C38" i="50" l="1"/>
  <c r="C37" i="50"/>
  <c r="G38" i="50"/>
  <c r="F19" i="50"/>
  <c r="G13"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K563" i="32"/>
  <c r="J563" i="32"/>
  <c r="K562" i="32"/>
  <c r="J562" i="32"/>
  <c r="K561" i="32"/>
  <c r="J561" i="32"/>
  <c r="K560" i="32"/>
  <c r="J560" i="32"/>
  <c r="K559" i="32"/>
  <c r="J559" i="32"/>
  <c r="K558" i="32"/>
  <c r="J558" i="32"/>
  <c r="K557" i="32"/>
  <c r="J557" i="32"/>
  <c r="K556" i="32"/>
  <c r="J556" i="32"/>
  <c r="K555" i="32"/>
  <c r="J555" i="32"/>
  <c r="K554" i="32"/>
  <c r="J554" i="32"/>
  <c r="K553" i="32"/>
  <c r="J553" i="32"/>
  <c r="K552" i="32"/>
  <c r="J552" i="32"/>
  <c r="K551" i="32"/>
  <c r="J551" i="32"/>
  <c r="K550" i="32"/>
  <c r="J550" i="32"/>
  <c r="F542" i="32"/>
  <c r="F543" i="32" s="1"/>
  <c r="F544" i="32" s="1"/>
  <c r="E542" i="32"/>
  <c r="G532" i="32"/>
  <c r="H532" i="32"/>
  <c r="I532" i="32"/>
  <c r="J532" i="32"/>
  <c r="K532" i="32"/>
  <c r="L532" i="32"/>
  <c r="G520" i="32"/>
  <c r="H520" i="32"/>
  <c r="I520" i="32"/>
  <c r="J520" i="32"/>
  <c r="K520" i="32"/>
  <c r="L520" i="32"/>
  <c r="G497" i="32"/>
  <c r="H497" i="32"/>
  <c r="I497" i="32"/>
  <c r="J497" i="32"/>
  <c r="K497" i="32"/>
  <c r="L497" i="32"/>
  <c r="D65" i="50" l="1"/>
  <c r="O8" i="21"/>
  <c r="C48" i="56" l="1"/>
  <c r="C40" i="56"/>
  <c r="N60" i="21"/>
  <c r="D59" i="21"/>
  <c r="D58" i="21"/>
  <c r="C47" i="56" l="1"/>
  <c r="C39" i="56"/>
  <c r="C100" i="46"/>
  <c r="C93" i="46"/>
  <c r="B47" i="47"/>
  <c r="C56" i="46" l="1"/>
  <c r="B13" i="56" l="1"/>
  <c r="B12" i="56"/>
  <c r="B31" i="46"/>
  <c r="B29" i="46"/>
  <c r="B28" i="46"/>
  <c r="B27" i="46"/>
  <c r="B26" i="46"/>
  <c r="B25" i="46"/>
  <c r="B24" i="46"/>
  <c r="B17" i="46"/>
  <c r="B54" i="47" s="1"/>
  <c r="B16" i="46"/>
  <c r="B49" i="47" s="1"/>
  <c r="B15" i="46"/>
  <c r="B53" i="47" s="1"/>
  <c r="B14" i="46"/>
  <c r="B48" i="47" s="1"/>
  <c r="B12" i="46"/>
  <c r="B46" i="47" s="1"/>
  <c r="B11" i="46"/>
  <c r="C169" i="46"/>
  <c r="C168" i="46"/>
  <c r="C161" i="46"/>
  <c r="C160" i="46"/>
  <c r="C71" i="46"/>
  <c r="C125" i="46"/>
  <c r="C119" i="46"/>
  <c r="C113" i="46"/>
  <c r="C146" i="46"/>
  <c r="C139" i="46"/>
  <c r="C132" i="46"/>
  <c r="C39" i="46"/>
  <c r="C185" i="46"/>
  <c r="C194" i="46"/>
  <c r="C44" i="50"/>
  <c r="C193" i="46"/>
  <c r="G112" i="50"/>
  <c r="G110" i="50"/>
  <c r="C153" i="46" s="1"/>
  <c r="G105" i="50"/>
  <c r="C64" i="46" l="1"/>
  <c r="C40" i="46"/>
  <c r="C48" i="46" l="1"/>
  <c r="J85" i="50" l="1"/>
  <c r="I85" i="50"/>
  <c r="H85" i="50"/>
  <c r="G85" i="50"/>
  <c r="F85" i="50"/>
  <c r="E85" i="50"/>
  <c r="H115" i="50" l="1"/>
  <c r="E79" i="50"/>
  <c r="J79" i="50"/>
  <c r="I79" i="50"/>
  <c r="H79" i="50"/>
  <c r="G79" i="50"/>
  <c r="F79" i="50"/>
  <c r="H114" i="50"/>
  <c r="C32" i="56" l="1"/>
  <c r="C85" i="46"/>
  <c r="C25" i="56"/>
  <c r="C24" i="56"/>
  <c r="C78" i="46"/>
  <c r="F53" i="50"/>
  <c r="J72" i="50"/>
  <c r="I72" i="50"/>
  <c r="H72" i="50"/>
  <c r="G72" i="50"/>
  <c r="F72" i="50"/>
  <c r="D52" i="21" l="1"/>
  <c r="D51" i="21"/>
  <c r="Q42" i="21"/>
  <c r="O15" i="21"/>
  <c r="O14" i="21"/>
  <c r="N14" i="21"/>
  <c r="J30" i="32"/>
  <c r="J31" i="32"/>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J90" i="32"/>
  <c r="J91" i="32"/>
  <c r="J92" i="32"/>
  <c r="J93" i="32"/>
  <c r="J94" i="32"/>
  <c r="J95" i="32"/>
  <c r="J96" i="32"/>
  <c r="J97" i="32"/>
  <c r="J98" i="32"/>
  <c r="J99" i="32"/>
  <c r="J100" i="32"/>
  <c r="J101" i="32"/>
  <c r="J102" i="32"/>
  <c r="J103" i="32"/>
  <c r="J104" i="32"/>
  <c r="J105" i="32"/>
  <c r="J106" i="32"/>
  <c r="J107" i="32"/>
  <c r="J108" i="32"/>
  <c r="J109" i="32"/>
  <c r="J110" i="32"/>
  <c r="J111" i="32"/>
  <c r="J112" i="32"/>
  <c r="J113" i="32"/>
  <c r="J114" i="32"/>
  <c r="J115" i="32"/>
  <c r="J116" i="32"/>
  <c r="J117" i="32"/>
  <c r="J118" i="32"/>
  <c r="J119" i="32"/>
  <c r="J120" i="32"/>
  <c r="J121" i="32"/>
  <c r="J122" i="32"/>
  <c r="J123" i="32"/>
  <c r="J124" i="32"/>
  <c r="J125" i="32"/>
  <c r="J126" i="32"/>
  <c r="J127" i="32"/>
  <c r="J128" i="32"/>
  <c r="J129" i="32"/>
  <c r="J130" i="32"/>
  <c r="J131" i="32"/>
  <c r="J132" i="32"/>
  <c r="J133" i="32"/>
  <c r="J134" i="32"/>
  <c r="J136" i="32"/>
  <c r="J143" i="32" s="1"/>
  <c r="J137" i="32"/>
  <c r="J138" i="32"/>
  <c r="J139" i="32"/>
  <c r="J140" i="32"/>
  <c r="J141" i="32"/>
  <c r="J142" i="32"/>
  <c r="J144" i="32"/>
  <c r="J145" i="32"/>
  <c r="J146" i="32"/>
  <c r="J147" i="32"/>
  <c r="J148" i="32"/>
  <c r="J150" i="32"/>
  <c r="J151" i="32"/>
  <c r="J152" i="32"/>
  <c r="J153" i="32"/>
  <c r="J154" i="32"/>
  <c r="J155" i="32"/>
  <c r="J156" i="32"/>
  <c r="J158" i="32"/>
  <c r="J159" i="32"/>
  <c r="J160" i="32"/>
  <c r="J161" i="32"/>
  <c r="J162" i="32"/>
  <c r="J163" i="32"/>
  <c r="J164" i="32"/>
  <c r="J165" i="32"/>
  <c r="J166" i="32"/>
  <c r="J167" i="32"/>
  <c r="J168" i="32"/>
  <c r="J169" i="32"/>
  <c r="J170" i="32"/>
  <c r="J171" i="32"/>
  <c r="J172" i="32"/>
  <c r="J173" i="32"/>
  <c r="J174" i="32"/>
  <c r="J175" i="32"/>
  <c r="J176" i="32"/>
  <c r="J177" i="32"/>
  <c r="J178" i="32"/>
  <c r="J179" i="32"/>
  <c r="J180" i="32"/>
  <c r="J181" i="32"/>
  <c r="J182" i="32"/>
  <c r="J183" i="32"/>
  <c r="J184" i="32"/>
  <c r="J185" i="32"/>
  <c r="J186" i="32"/>
  <c r="J187" i="32"/>
  <c r="J188" i="32"/>
  <c r="J189" i="32"/>
  <c r="J190" i="32"/>
  <c r="J191" i="32"/>
  <c r="J192" i="32"/>
  <c r="J193" i="32"/>
  <c r="J194" i="32"/>
  <c r="J195" i="32"/>
  <c r="J196" i="32"/>
  <c r="J197" i="32"/>
  <c r="J198" i="32"/>
  <c r="J199" i="32"/>
  <c r="J201" i="32"/>
  <c r="J202" i="32"/>
  <c r="J203" i="32"/>
  <c r="J204" i="32"/>
  <c r="J205" i="32"/>
  <c r="J206" i="32"/>
  <c r="J207" i="32"/>
  <c r="J208" i="32"/>
  <c r="J209" i="32"/>
  <c r="J210" i="32"/>
  <c r="J211" i="32"/>
  <c r="J212" i="32"/>
  <c r="J213" i="32"/>
  <c r="J214" i="32"/>
  <c r="J215" i="32"/>
  <c r="J216" i="32"/>
  <c r="J217" i="32"/>
  <c r="J218" i="32"/>
  <c r="J219" i="32"/>
  <c r="J220" i="32"/>
  <c r="J221" i="32"/>
  <c r="J222" i="32"/>
  <c r="J223" i="32"/>
  <c r="J224" i="32"/>
  <c r="J225" i="32"/>
  <c r="J226" i="32"/>
  <c r="J227" i="32"/>
  <c r="J228" i="32"/>
  <c r="J229" i="32"/>
  <c r="J230" i="32"/>
  <c r="J231" i="32"/>
  <c r="J232" i="32"/>
  <c r="J233" i="32"/>
  <c r="J234" i="32"/>
  <c r="J235" i="32"/>
  <c r="J236" i="32"/>
  <c r="J237" i="32"/>
  <c r="J238" i="32"/>
  <c r="J239" i="32"/>
  <c r="J240" i="32"/>
  <c r="J241" i="32"/>
  <c r="J242" i="32"/>
  <c r="J243" i="32"/>
  <c r="J244" i="32"/>
  <c r="J245" i="32"/>
  <c r="J246" i="32"/>
  <c r="J247" i="32"/>
  <c r="J248" i="32"/>
  <c r="J249" i="32"/>
  <c r="J250" i="32"/>
  <c r="J251" i="32"/>
  <c r="J252" i="32"/>
  <c r="J253" i="32"/>
  <c r="J254" i="32"/>
  <c r="J255" i="32"/>
  <c r="J256" i="32"/>
  <c r="J257" i="32"/>
  <c r="J258" i="32"/>
  <c r="J259" i="32"/>
  <c r="J260" i="32"/>
  <c r="J261" i="32"/>
  <c r="J262" i="32"/>
  <c r="J263" i="32"/>
  <c r="J264" i="32"/>
  <c r="J265" i="32"/>
  <c r="J266" i="32"/>
  <c r="J267" i="32"/>
  <c r="J268" i="32"/>
  <c r="J269" i="32"/>
  <c r="J270" i="32"/>
  <c r="J271" i="32"/>
  <c r="J272" i="32"/>
  <c r="J273" i="32"/>
  <c r="J274" i="32"/>
  <c r="J275" i="32"/>
  <c r="J276" i="32"/>
  <c r="J277" i="32"/>
  <c r="J278" i="32"/>
  <c r="J279" i="32"/>
  <c r="J280" i="32"/>
  <c r="J281" i="32"/>
  <c r="J282" i="32"/>
  <c r="J283" i="32"/>
  <c r="J284" i="32"/>
  <c r="J285" i="32"/>
  <c r="J286" i="32"/>
  <c r="J287" i="32"/>
  <c r="J288" i="32"/>
  <c r="J289" i="32"/>
  <c r="J290" i="32"/>
  <c r="J291" i="32"/>
  <c r="J292" i="32"/>
  <c r="J293" i="32"/>
  <c r="J294" i="32"/>
  <c r="J295" i="32"/>
  <c r="J296" i="32"/>
  <c r="J297" i="32"/>
  <c r="J298" i="32"/>
  <c r="J299" i="32"/>
  <c r="J300" i="32"/>
  <c r="J301" i="32"/>
  <c r="J302" i="32"/>
  <c r="J303" i="32"/>
  <c r="J304" i="32"/>
  <c r="J305" i="32"/>
  <c r="J306" i="32"/>
  <c r="J307" i="32"/>
  <c r="J308" i="32"/>
  <c r="J309" i="32"/>
  <c r="J310" i="32"/>
  <c r="J311" i="32"/>
  <c r="J312" i="32"/>
  <c r="J313" i="32"/>
  <c r="J314" i="32"/>
  <c r="J315" i="32"/>
  <c r="J316" i="32"/>
  <c r="J317" i="32"/>
  <c r="J318" i="32"/>
  <c r="J319" i="32"/>
  <c r="J320" i="32"/>
  <c r="J321" i="32"/>
  <c r="J322" i="32"/>
  <c r="J323" i="32"/>
  <c r="J324" i="32"/>
  <c r="J325" i="32"/>
  <c r="J326" i="32"/>
  <c r="J327" i="32"/>
  <c r="J328" i="32"/>
  <c r="J329" i="32"/>
  <c r="J330" i="32"/>
  <c r="J331" i="32"/>
  <c r="J332" i="32"/>
  <c r="J333" i="32"/>
  <c r="J334" i="32"/>
  <c r="J335" i="32"/>
  <c r="J336" i="32"/>
  <c r="J337" i="32"/>
  <c r="J338" i="32"/>
  <c r="J339" i="32"/>
  <c r="J340" i="32"/>
  <c r="J341" i="32"/>
  <c r="J342" i="32"/>
  <c r="J343" i="32"/>
  <c r="J344" i="32"/>
  <c r="J345" i="32"/>
  <c r="J346" i="32"/>
  <c r="J347" i="32"/>
  <c r="J348" i="32"/>
  <c r="J349" i="32"/>
  <c r="J350" i="32"/>
  <c r="J351" i="32"/>
  <c r="J352" i="32"/>
  <c r="J353" i="32"/>
  <c r="J354" i="32"/>
  <c r="J355" i="32"/>
  <c r="J356" i="32"/>
  <c r="J357" i="32"/>
  <c r="J358" i="32"/>
  <c r="J359" i="32"/>
  <c r="J360" i="32"/>
  <c r="J361" i="32"/>
  <c r="J362" i="32"/>
  <c r="J363" i="32"/>
  <c r="J364" i="32"/>
  <c r="J365" i="32"/>
  <c r="J366" i="32"/>
  <c r="J367" i="32"/>
  <c r="J368" i="32"/>
  <c r="J369" i="32"/>
  <c r="J370" i="32"/>
  <c r="J371" i="32"/>
  <c r="J372" i="32"/>
  <c r="J373" i="32"/>
  <c r="J374" i="32"/>
  <c r="J375" i="32"/>
  <c r="J376" i="32"/>
  <c r="J377" i="32"/>
  <c r="J378" i="32"/>
  <c r="J379" i="32"/>
  <c r="J380" i="32"/>
  <c r="J381" i="32"/>
  <c r="J382" i="32"/>
  <c r="J383" i="32"/>
  <c r="J384" i="32"/>
  <c r="J385" i="32"/>
  <c r="J386" i="32"/>
  <c r="J387" i="32"/>
  <c r="J388" i="32"/>
  <c r="J389" i="32"/>
  <c r="J390" i="32"/>
  <c r="J391" i="32"/>
  <c r="J392" i="32"/>
  <c r="J393" i="32"/>
  <c r="J394" i="32"/>
  <c r="J395" i="32"/>
  <c r="J396" i="32"/>
  <c r="J397" i="32"/>
  <c r="J398" i="32"/>
  <c r="J399" i="32"/>
  <c r="J400" i="32"/>
  <c r="J401" i="32"/>
  <c r="J402" i="32"/>
  <c r="J403" i="32"/>
  <c r="J404" i="32"/>
  <c r="J405" i="32"/>
  <c r="J406" i="32"/>
  <c r="J407" i="32"/>
  <c r="J408" i="32"/>
  <c r="J409" i="32"/>
  <c r="J410" i="32"/>
  <c r="J411" i="32"/>
  <c r="J412" i="32"/>
  <c r="J413" i="32"/>
  <c r="J414" i="32"/>
  <c r="J415" i="32"/>
  <c r="J416" i="32"/>
  <c r="J417" i="32"/>
  <c r="J418" i="32"/>
  <c r="J419" i="32"/>
  <c r="J420" i="32"/>
  <c r="J421" i="32"/>
  <c r="J422" i="32"/>
  <c r="J423" i="32"/>
  <c r="J424" i="32"/>
  <c r="J425" i="32"/>
  <c r="J426" i="32"/>
  <c r="J427" i="32"/>
  <c r="J428" i="32"/>
  <c r="J429" i="32"/>
  <c r="J430" i="32"/>
  <c r="J431" i="32"/>
  <c r="J432" i="32"/>
  <c r="J433" i="32"/>
  <c r="J434" i="32"/>
  <c r="J435" i="32"/>
  <c r="J436" i="32"/>
  <c r="J437" i="32"/>
  <c r="J438" i="32"/>
  <c r="J439" i="32"/>
  <c r="J440" i="32"/>
  <c r="J441" i="32"/>
  <c r="J442" i="32"/>
  <c r="J443" i="32"/>
  <c r="J444" i="32"/>
  <c r="J445" i="32"/>
  <c r="J446" i="32"/>
  <c r="J447" i="32"/>
  <c r="J448" i="32"/>
  <c r="J449" i="32"/>
  <c r="J450" i="32"/>
  <c r="J451" i="32"/>
  <c r="J452" i="32"/>
  <c r="J453" i="32"/>
  <c r="J454" i="32"/>
  <c r="J455" i="32"/>
  <c r="J456" i="32"/>
  <c r="J457" i="32"/>
  <c r="J458" i="32"/>
  <c r="J459" i="32"/>
  <c r="J460" i="32"/>
  <c r="J461" i="32"/>
  <c r="J462" i="32"/>
  <c r="J463" i="32"/>
  <c r="J464" i="32"/>
  <c r="J465" i="32"/>
  <c r="J466" i="32"/>
  <c r="J467" i="32"/>
  <c r="J468" i="32"/>
  <c r="J469" i="32"/>
  <c r="J470" i="32"/>
  <c r="J471" i="32"/>
  <c r="J472" i="32"/>
  <c r="J473" i="32"/>
  <c r="J474" i="32"/>
  <c r="J475" i="32"/>
  <c r="J476" i="32"/>
  <c r="J477" i="32"/>
  <c r="J478" i="32"/>
  <c r="J479" i="32"/>
  <c r="J480" i="32"/>
  <c r="J481" i="32"/>
  <c r="J482" i="32"/>
  <c r="J483" i="32"/>
  <c r="J484" i="32"/>
  <c r="J485" i="32"/>
  <c r="J486" i="32"/>
  <c r="J487" i="32"/>
  <c r="J488" i="32"/>
  <c r="J489" i="32"/>
  <c r="J490" i="32"/>
  <c r="J491" i="32"/>
  <c r="J492" i="32"/>
  <c r="J493" i="32"/>
  <c r="J494" i="32"/>
  <c r="J495" i="32"/>
  <c r="J496" i="32"/>
  <c r="J498" i="32"/>
  <c r="J499" i="32"/>
  <c r="J500" i="32"/>
  <c r="J501" i="32"/>
  <c r="J502" i="32"/>
  <c r="J503" i="32"/>
  <c r="J504" i="32"/>
  <c r="J505" i="32"/>
  <c r="J506" i="32"/>
  <c r="J507" i="32"/>
  <c r="J508" i="32"/>
  <c r="J509" i="32"/>
  <c r="J510" i="32"/>
  <c r="J511" i="32"/>
  <c r="J512" i="32"/>
  <c r="J513" i="32"/>
  <c r="J514" i="32"/>
  <c r="J515" i="32"/>
  <c r="J516" i="32"/>
  <c r="J517" i="32"/>
  <c r="J518" i="32"/>
  <c r="J519" i="32"/>
  <c r="J521" i="32"/>
  <c r="J522" i="32"/>
  <c r="J523" i="32"/>
  <c r="J524" i="32"/>
  <c r="J525" i="32"/>
  <c r="J526" i="32"/>
  <c r="J527" i="32"/>
  <c r="J528" i="32"/>
  <c r="J529" i="32"/>
  <c r="J530" i="32"/>
  <c r="J531" i="32"/>
  <c r="J29" i="32"/>
  <c r="J135" i="32" s="1"/>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66" i="32"/>
  <c r="I67" i="32"/>
  <c r="I68" i="32"/>
  <c r="I69" i="32"/>
  <c r="I70" i="32"/>
  <c r="I71" i="32"/>
  <c r="I72" i="32"/>
  <c r="I73" i="32"/>
  <c r="I74" i="32"/>
  <c r="I75" i="32"/>
  <c r="I76" i="32"/>
  <c r="I77" i="32"/>
  <c r="I78" i="32"/>
  <c r="I79" i="32"/>
  <c r="I80" i="32"/>
  <c r="I81" i="32"/>
  <c r="I82" i="32"/>
  <c r="I83" i="32"/>
  <c r="I84" i="32"/>
  <c r="I85" i="32"/>
  <c r="I86" i="32"/>
  <c r="I87" i="32"/>
  <c r="I88" i="32"/>
  <c r="I89" i="32"/>
  <c r="I90" i="32"/>
  <c r="I91" i="32"/>
  <c r="I92" i="32"/>
  <c r="I93" i="32"/>
  <c r="I94" i="32"/>
  <c r="I95" i="32"/>
  <c r="I96" i="32"/>
  <c r="I97" i="32"/>
  <c r="I98" i="32"/>
  <c r="I99" i="32"/>
  <c r="I100" i="32"/>
  <c r="I101" i="32"/>
  <c r="I102" i="32"/>
  <c r="I103" i="32"/>
  <c r="I104" i="32"/>
  <c r="I105" i="32"/>
  <c r="I106" i="32"/>
  <c r="I107" i="32"/>
  <c r="I108" i="32"/>
  <c r="I109" i="32"/>
  <c r="I110" i="32"/>
  <c r="I111" i="32"/>
  <c r="I112" i="32"/>
  <c r="I113" i="32"/>
  <c r="I114" i="32"/>
  <c r="I115" i="32"/>
  <c r="I116" i="32"/>
  <c r="I117" i="32"/>
  <c r="I118" i="32"/>
  <c r="I119" i="32"/>
  <c r="I120" i="32"/>
  <c r="I121" i="32"/>
  <c r="I122" i="32"/>
  <c r="I123" i="32"/>
  <c r="I124" i="32"/>
  <c r="I125" i="32"/>
  <c r="I126" i="32"/>
  <c r="I127" i="32"/>
  <c r="I128" i="32"/>
  <c r="I129" i="32"/>
  <c r="I130" i="32"/>
  <c r="I131" i="32"/>
  <c r="I132" i="32"/>
  <c r="I133" i="32"/>
  <c r="I134" i="32"/>
  <c r="I136" i="32"/>
  <c r="I137" i="32"/>
  <c r="I138" i="32"/>
  <c r="I139" i="32"/>
  <c r="I140" i="32"/>
  <c r="I141" i="32"/>
  <c r="I142" i="32"/>
  <c r="I144" i="32"/>
  <c r="I145" i="32"/>
  <c r="I146" i="32"/>
  <c r="I147" i="32"/>
  <c r="I148" i="32"/>
  <c r="I150" i="32"/>
  <c r="I151" i="32"/>
  <c r="I152" i="32"/>
  <c r="I153" i="32"/>
  <c r="I154" i="32"/>
  <c r="I155" i="32"/>
  <c r="I156" i="32"/>
  <c r="I158" i="32"/>
  <c r="I159" i="32"/>
  <c r="I160" i="32"/>
  <c r="I161" i="32"/>
  <c r="I162" i="32"/>
  <c r="I163" i="32"/>
  <c r="I164" i="32"/>
  <c r="I165" i="32"/>
  <c r="I166" i="32"/>
  <c r="I167" i="32"/>
  <c r="I168" i="32"/>
  <c r="I169" i="32"/>
  <c r="I170" i="32"/>
  <c r="I171" i="32"/>
  <c r="I172" i="32"/>
  <c r="I173" i="32"/>
  <c r="I174" i="32"/>
  <c r="I175" i="32"/>
  <c r="I176" i="32"/>
  <c r="I177" i="32"/>
  <c r="I178" i="32"/>
  <c r="I179" i="32"/>
  <c r="I180" i="32"/>
  <c r="I181" i="32"/>
  <c r="I182" i="32"/>
  <c r="I183" i="32"/>
  <c r="I184" i="32"/>
  <c r="I185" i="32"/>
  <c r="I186" i="32"/>
  <c r="I187" i="32"/>
  <c r="I188" i="32"/>
  <c r="I189" i="32"/>
  <c r="I190" i="32"/>
  <c r="I191" i="32"/>
  <c r="I192" i="32"/>
  <c r="I193" i="32"/>
  <c r="I194" i="32"/>
  <c r="I195" i="32"/>
  <c r="I196" i="32"/>
  <c r="I197" i="32"/>
  <c r="I198" i="32"/>
  <c r="I199" i="32"/>
  <c r="I201" i="32"/>
  <c r="I202" i="32"/>
  <c r="I203" i="32"/>
  <c r="I204" i="32"/>
  <c r="I205" i="32"/>
  <c r="I206" i="32"/>
  <c r="I207" i="32"/>
  <c r="I208" i="32"/>
  <c r="I209" i="32"/>
  <c r="I210" i="32"/>
  <c r="I211" i="32"/>
  <c r="I212" i="32"/>
  <c r="I213" i="32"/>
  <c r="I214" i="32"/>
  <c r="I215" i="32"/>
  <c r="I216" i="32"/>
  <c r="I217" i="32"/>
  <c r="I218" i="32"/>
  <c r="I219" i="32"/>
  <c r="I220" i="32"/>
  <c r="I221" i="32"/>
  <c r="I222" i="32"/>
  <c r="I223" i="32"/>
  <c r="I224" i="32"/>
  <c r="I225" i="32"/>
  <c r="I226" i="32"/>
  <c r="I227" i="32"/>
  <c r="I228" i="32"/>
  <c r="I229" i="32"/>
  <c r="I230" i="32"/>
  <c r="I231" i="32"/>
  <c r="I232" i="32"/>
  <c r="I233" i="32"/>
  <c r="I234" i="32"/>
  <c r="I235" i="32"/>
  <c r="I236" i="32"/>
  <c r="I237" i="32"/>
  <c r="I238" i="32"/>
  <c r="I239" i="32"/>
  <c r="I240" i="32"/>
  <c r="I241" i="32"/>
  <c r="I242" i="32"/>
  <c r="I243" i="32"/>
  <c r="I244" i="32"/>
  <c r="I245" i="32"/>
  <c r="I246" i="32"/>
  <c r="I247" i="32"/>
  <c r="I248" i="32"/>
  <c r="I249" i="32"/>
  <c r="I250" i="32"/>
  <c r="I251" i="32"/>
  <c r="I252" i="32"/>
  <c r="I253" i="32"/>
  <c r="I254" i="32"/>
  <c r="I255" i="32"/>
  <c r="I256" i="32"/>
  <c r="I257" i="32"/>
  <c r="I258" i="32"/>
  <c r="I259" i="32"/>
  <c r="I260" i="32"/>
  <c r="I261" i="32"/>
  <c r="I262" i="32"/>
  <c r="I263" i="32"/>
  <c r="I264" i="32"/>
  <c r="I265" i="32"/>
  <c r="I266" i="32"/>
  <c r="I267" i="32"/>
  <c r="I268" i="32"/>
  <c r="I269" i="32"/>
  <c r="I270" i="32"/>
  <c r="I271" i="32"/>
  <c r="I272" i="32"/>
  <c r="I273" i="32"/>
  <c r="I274" i="32"/>
  <c r="I275" i="32"/>
  <c r="I276" i="32"/>
  <c r="I277" i="32"/>
  <c r="I278" i="32"/>
  <c r="I279" i="32"/>
  <c r="I280" i="32"/>
  <c r="I281" i="32"/>
  <c r="I282" i="32"/>
  <c r="I283" i="32"/>
  <c r="I284" i="32"/>
  <c r="I285" i="32"/>
  <c r="I286" i="32"/>
  <c r="I287" i="32"/>
  <c r="I288" i="32"/>
  <c r="I289" i="32"/>
  <c r="I290" i="32"/>
  <c r="I291" i="32"/>
  <c r="I292" i="32"/>
  <c r="I293" i="32"/>
  <c r="I294" i="32"/>
  <c r="I295" i="32"/>
  <c r="I296" i="32"/>
  <c r="I297" i="32"/>
  <c r="I298" i="32"/>
  <c r="I299" i="32"/>
  <c r="I300" i="32"/>
  <c r="I301" i="32"/>
  <c r="I302" i="32"/>
  <c r="I303" i="32"/>
  <c r="I304" i="32"/>
  <c r="I305" i="32"/>
  <c r="I306" i="32"/>
  <c r="I307" i="32"/>
  <c r="I308" i="32"/>
  <c r="I309" i="32"/>
  <c r="I310" i="32"/>
  <c r="I311" i="32"/>
  <c r="I312" i="32"/>
  <c r="I313" i="32"/>
  <c r="I314" i="32"/>
  <c r="I315" i="32"/>
  <c r="I316" i="32"/>
  <c r="I317" i="32"/>
  <c r="I318" i="32"/>
  <c r="I319" i="32"/>
  <c r="I320" i="32"/>
  <c r="I321" i="32"/>
  <c r="I322" i="32"/>
  <c r="I323" i="32"/>
  <c r="I324" i="32"/>
  <c r="I325" i="32"/>
  <c r="I326" i="32"/>
  <c r="I327" i="32"/>
  <c r="I328" i="32"/>
  <c r="I329" i="32"/>
  <c r="I330" i="32"/>
  <c r="I331" i="32"/>
  <c r="I332" i="32"/>
  <c r="I333" i="32"/>
  <c r="I334" i="32"/>
  <c r="I335" i="32"/>
  <c r="I336" i="32"/>
  <c r="I337" i="32"/>
  <c r="I338" i="32"/>
  <c r="I339" i="32"/>
  <c r="I340" i="32"/>
  <c r="I341" i="32"/>
  <c r="I342" i="32"/>
  <c r="I343" i="32"/>
  <c r="I344" i="32"/>
  <c r="I345" i="32"/>
  <c r="I346" i="32"/>
  <c r="I347" i="32"/>
  <c r="I348" i="32"/>
  <c r="I349" i="32"/>
  <c r="I350" i="32"/>
  <c r="I351" i="32"/>
  <c r="I352" i="32"/>
  <c r="I353" i="32"/>
  <c r="I354" i="32"/>
  <c r="I355" i="32"/>
  <c r="I356" i="32"/>
  <c r="I357" i="32"/>
  <c r="I358" i="32"/>
  <c r="I359" i="32"/>
  <c r="I360" i="32"/>
  <c r="I361" i="32"/>
  <c r="I362" i="32"/>
  <c r="I363" i="32"/>
  <c r="I364" i="32"/>
  <c r="I365" i="32"/>
  <c r="I366" i="32"/>
  <c r="I367" i="32"/>
  <c r="I368" i="32"/>
  <c r="I369" i="32"/>
  <c r="I370" i="32"/>
  <c r="I371" i="32"/>
  <c r="I372" i="32"/>
  <c r="I373" i="32"/>
  <c r="I374" i="32"/>
  <c r="I375" i="32"/>
  <c r="I376" i="32"/>
  <c r="I377" i="32"/>
  <c r="I378" i="32"/>
  <c r="I379" i="32"/>
  <c r="I380" i="32"/>
  <c r="I381" i="32"/>
  <c r="I382" i="32"/>
  <c r="I383" i="32"/>
  <c r="I384" i="32"/>
  <c r="I385" i="32"/>
  <c r="I386" i="32"/>
  <c r="I387" i="32"/>
  <c r="I388" i="32"/>
  <c r="I389" i="32"/>
  <c r="I390" i="32"/>
  <c r="I391" i="32"/>
  <c r="I392" i="32"/>
  <c r="I393" i="32"/>
  <c r="I394" i="32"/>
  <c r="I395" i="32"/>
  <c r="I396" i="32"/>
  <c r="I397" i="32"/>
  <c r="I398" i="32"/>
  <c r="I399" i="32"/>
  <c r="I400" i="32"/>
  <c r="I401" i="32"/>
  <c r="I402" i="32"/>
  <c r="I403" i="32"/>
  <c r="I404" i="32"/>
  <c r="I405" i="32"/>
  <c r="I406" i="32"/>
  <c r="I407" i="32"/>
  <c r="I408" i="32"/>
  <c r="I409" i="32"/>
  <c r="I410" i="32"/>
  <c r="I411" i="32"/>
  <c r="I412" i="32"/>
  <c r="I413" i="32"/>
  <c r="I414" i="32"/>
  <c r="I415" i="32"/>
  <c r="I416" i="32"/>
  <c r="I417" i="32"/>
  <c r="I418" i="32"/>
  <c r="I419" i="32"/>
  <c r="I420" i="32"/>
  <c r="I421" i="32"/>
  <c r="I422" i="32"/>
  <c r="I423" i="32"/>
  <c r="I424" i="32"/>
  <c r="I425" i="32"/>
  <c r="I426" i="32"/>
  <c r="I427" i="32"/>
  <c r="I428" i="32"/>
  <c r="I429" i="32"/>
  <c r="I430" i="32"/>
  <c r="I431" i="32"/>
  <c r="I432" i="32"/>
  <c r="I433" i="32"/>
  <c r="I434" i="32"/>
  <c r="I435" i="32"/>
  <c r="I436" i="32"/>
  <c r="I437" i="32"/>
  <c r="I438" i="32"/>
  <c r="I439" i="32"/>
  <c r="I440" i="32"/>
  <c r="I441" i="32"/>
  <c r="I442" i="32"/>
  <c r="I443" i="32"/>
  <c r="I444" i="32"/>
  <c r="I445" i="32"/>
  <c r="I446" i="32"/>
  <c r="I447" i="32"/>
  <c r="I448" i="32"/>
  <c r="I449" i="32"/>
  <c r="I450" i="32"/>
  <c r="I451" i="32"/>
  <c r="I452" i="32"/>
  <c r="I453" i="32"/>
  <c r="I454" i="32"/>
  <c r="I455" i="32"/>
  <c r="I456" i="32"/>
  <c r="I457" i="32"/>
  <c r="I458" i="32"/>
  <c r="I459" i="32"/>
  <c r="I460" i="32"/>
  <c r="I461" i="32"/>
  <c r="I462" i="32"/>
  <c r="I463" i="32"/>
  <c r="I464" i="32"/>
  <c r="I465" i="32"/>
  <c r="I466" i="32"/>
  <c r="I467" i="32"/>
  <c r="I468" i="32"/>
  <c r="I469" i="32"/>
  <c r="I470" i="32"/>
  <c r="I471" i="32"/>
  <c r="I472" i="32"/>
  <c r="I473" i="32"/>
  <c r="I474" i="32"/>
  <c r="I475" i="32"/>
  <c r="I476" i="32"/>
  <c r="I477" i="32"/>
  <c r="I478" i="32"/>
  <c r="I479" i="32"/>
  <c r="I480" i="32"/>
  <c r="I481" i="32"/>
  <c r="I482" i="32"/>
  <c r="I483" i="32"/>
  <c r="I484" i="32"/>
  <c r="I485" i="32"/>
  <c r="I486" i="32"/>
  <c r="I487" i="32"/>
  <c r="I488" i="32"/>
  <c r="I489" i="32"/>
  <c r="I490" i="32"/>
  <c r="I491" i="32"/>
  <c r="I492" i="32"/>
  <c r="I493" i="32"/>
  <c r="I494" i="32"/>
  <c r="I495" i="32"/>
  <c r="I496" i="32"/>
  <c r="I498" i="32"/>
  <c r="I499" i="32"/>
  <c r="I500" i="32"/>
  <c r="I501" i="32"/>
  <c r="I502" i="32"/>
  <c r="I503" i="32"/>
  <c r="I504" i="32"/>
  <c r="I505" i="32"/>
  <c r="I506" i="32"/>
  <c r="I507" i="32"/>
  <c r="I508" i="32"/>
  <c r="I509" i="32"/>
  <c r="I510" i="32"/>
  <c r="I511" i="32"/>
  <c r="I512" i="32"/>
  <c r="I513" i="32"/>
  <c r="I514" i="32"/>
  <c r="I515" i="32"/>
  <c r="I516" i="32"/>
  <c r="I517" i="32"/>
  <c r="I518" i="32"/>
  <c r="I519" i="32"/>
  <c r="I521" i="32"/>
  <c r="I522" i="32"/>
  <c r="I523" i="32"/>
  <c r="I524" i="32"/>
  <c r="I525" i="32"/>
  <c r="I526" i="32"/>
  <c r="I527" i="32"/>
  <c r="I528" i="32"/>
  <c r="I529" i="32"/>
  <c r="I530" i="32"/>
  <c r="I531" i="32"/>
  <c r="I29" i="32"/>
  <c r="J149" i="32" l="1"/>
  <c r="I157" i="32"/>
  <c r="I200" i="32"/>
  <c r="J157" i="32"/>
  <c r="J200" i="32"/>
  <c r="I135" i="32"/>
  <c r="I143" i="32"/>
  <c r="I149" i="32"/>
  <c r="Q44" i="21"/>
  <c r="C26" i="42" s="1"/>
  <c r="P14" i="21"/>
  <c r="C21" i="42" s="1"/>
  <c r="B1" i="56" l="1"/>
  <c r="B1" i="46"/>
  <c r="B1" i="42"/>
  <c r="B1" i="47"/>
  <c r="C45" i="50" l="1"/>
  <c r="C9" i="47" l="1"/>
  <c r="F16" i="50"/>
  <c r="F18" i="50"/>
  <c r="D26" i="21" l="1"/>
  <c r="H15" i="21"/>
  <c r="C177" i="46" l="1"/>
  <c r="C107" i="46"/>
  <c r="B32" i="46" l="1"/>
  <c r="B30" i="46"/>
  <c r="B23" i="46"/>
  <c r="B22" i="46"/>
  <c r="B21" i="46"/>
  <c r="B20" i="46"/>
  <c r="P8" i="21" l="1"/>
  <c r="Q8" i="21" s="1"/>
  <c r="C43" i="50"/>
  <c r="G39" i="50"/>
  <c r="G37" i="50" l="1"/>
  <c r="F17" i="50"/>
  <c r="C17" i="50"/>
  <c r="F15" i="50"/>
  <c r="E9" i="47"/>
  <c r="F9" i="47"/>
  <c r="G9" i="47"/>
  <c r="H9" i="47"/>
  <c r="D9" i="47"/>
  <c r="H12" i="50" l="1"/>
  <c r="F20" i="50"/>
  <c r="G41" i="50" l="1"/>
  <c r="H41" i="50" s="1"/>
  <c r="I41" i="50" s="1"/>
  <c r="J41" i="50" s="1"/>
  <c r="K41" i="50" s="1"/>
  <c r="G42" i="50" l="1"/>
  <c r="H42" i="50" l="1"/>
  <c r="I42" i="50" s="1"/>
  <c r="J42" i="50" s="1"/>
  <c r="K42"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H14" i="21"/>
  <c r="L8" i="21"/>
  <c r="H8" i="21"/>
  <c r="J73" i="50"/>
  <c r="I73" i="50"/>
  <c r="H73" i="50"/>
  <c r="G73" i="50"/>
  <c r="F73" i="50"/>
  <c r="E73" i="50"/>
  <c r="C202" i="32"/>
  <c r="L202" i="32"/>
  <c r="K202" i="32"/>
  <c r="E202" i="32"/>
  <c r="D202" i="32"/>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E187" i="32"/>
  <c r="K187" i="32"/>
  <c r="L187" i="32"/>
  <c r="G164" i="32"/>
  <c r="H164" i="32"/>
  <c r="D164" i="32"/>
  <c r="E164" i="32"/>
  <c r="K164" i="32"/>
  <c r="L164" i="32"/>
  <c r="G165" i="32"/>
  <c r="H165" i="32"/>
  <c r="D165" i="32"/>
  <c r="E165" i="32"/>
  <c r="K165" i="32"/>
  <c r="L165" i="32"/>
  <c r="G166" i="32"/>
  <c r="H166" i="32"/>
  <c r="D166" i="32"/>
  <c r="E166" i="32"/>
  <c r="K166" i="32"/>
  <c r="L166" i="32"/>
  <c r="G167" i="32"/>
  <c r="H167" i="32"/>
  <c r="D167" i="32"/>
  <c r="E167" i="32"/>
  <c r="K167" i="32"/>
  <c r="L167" i="32"/>
  <c r="G168" i="32"/>
  <c r="H168" i="32"/>
  <c r="D168" i="32"/>
  <c r="E168" i="32"/>
  <c r="K168" i="32"/>
  <c r="L168" i="32"/>
  <c r="G169" i="32"/>
  <c r="H169" i="32"/>
  <c r="D169" i="32"/>
  <c r="E169" i="32"/>
  <c r="K169" i="32"/>
  <c r="L169" i="32"/>
  <c r="G170" i="32"/>
  <c r="H170" i="32"/>
  <c r="D170" i="32"/>
  <c r="E170" i="32"/>
  <c r="K170" i="32"/>
  <c r="L170" i="32"/>
  <c r="G171" i="32"/>
  <c r="H171" i="32"/>
  <c r="D171" i="32"/>
  <c r="E171" i="32"/>
  <c r="K171" i="32"/>
  <c r="L171" i="32"/>
  <c r="G172" i="32"/>
  <c r="H172" i="32"/>
  <c r="D172" i="32"/>
  <c r="E172" i="32"/>
  <c r="K172" i="32"/>
  <c r="L172" i="32"/>
  <c r="G173" i="32"/>
  <c r="H173" i="32"/>
  <c r="D173" i="32"/>
  <c r="E173" i="32"/>
  <c r="K173" i="32"/>
  <c r="L173" i="32"/>
  <c r="G174" i="32"/>
  <c r="H174" i="32"/>
  <c r="D174" i="32"/>
  <c r="E174" i="32"/>
  <c r="K174" i="32"/>
  <c r="L174" i="32"/>
  <c r="G175" i="32"/>
  <c r="H175" i="32"/>
  <c r="D175" i="32"/>
  <c r="E175" i="32"/>
  <c r="K175" i="32"/>
  <c r="L175" i="32"/>
  <c r="G176" i="32"/>
  <c r="H176" i="32"/>
  <c r="D176" i="32"/>
  <c r="E176" i="32"/>
  <c r="K176" i="32"/>
  <c r="L176" i="32"/>
  <c r="G177" i="32"/>
  <c r="H177" i="32"/>
  <c r="D177" i="32"/>
  <c r="E177" i="32"/>
  <c r="K177" i="32"/>
  <c r="L177" i="32"/>
  <c r="G178" i="32"/>
  <c r="H178" i="32"/>
  <c r="D178" i="32"/>
  <c r="E178" i="32"/>
  <c r="K178" i="32"/>
  <c r="L178" i="32"/>
  <c r="G179" i="32"/>
  <c r="H179" i="32"/>
  <c r="D179" i="32"/>
  <c r="E179" i="32"/>
  <c r="K179" i="32"/>
  <c r="L179" i="32"/>
  <c r="G180" i="32"/>
  <c r="H180" i="32"/>
  <c r="D180" i="32"/>
  <c r="E180" i="32"/>
  <c r="K180" i="32"/>
  <c r="L180" i="32"/>
  <c r="G181" i="32"/>
  <c r="H181" i="32"/>
  <c r="D181" i="32"/>
  <c r="E181" i="32"/>
  <c r="K181" i="32"/>
  <c r="L181" i="32"/>
  <c r="G182" i="32"/>
  <c r="H182" i="32"/>
  <c r="D182" i="32"/>
  <c r="E182" i="32"/>
  <c r="K182" i="32"/>
  <c r="L182" i="32"/>
  <c r="G183" i="32"/>
  <c r="H183" i="32"/>
  <c r="D183" i="32"/>
  <c r="E183" i="32"/>
  <c r="K183" i="32"/>
  <c r="L183" i="32"/>
  <c r="G184" i="32"/>
  <c r="H184" i="32"/>
  <c r="D184" i="32"/>
  <c r="E184" i="32"/>
  <c r="K184" i="32"/>
  <c r="L184" i="32"/>
  <c r="G185" i="32"/>
  <c r="H185" i="32"/>
  <c r="D185" i="32"/>
  <c r="E185" i="32"/>
  <c r="K185" i="32"/>
  <c r="L185" i="32"/>
  <c r="G186" i="32"/>
  <c r="H186" i="32"/>
  <c r="D186" i="32"/>
  <c r="E186" i="32"/>
  <c r="K186" i="32"/>
  <c r="L186" i="32"/>
  <c r="G188" i="32"/>
  <c r="H188" i="32"/>
  <c r="D188" i="32"/>
  <c r="E188" i="32"/>
  <c r="K188" i="32"/>
  <c r="L188" i="32"/>
  <c r="G194" i="32"/>
  <c r="H194" i="32"/>
  <c r="D194" i="32"/>
  <c r="E194" i="32"/>
  <c r="K194" i="32"/>
  <c r="L194" i="32"/>
  <c r="G195" i="32"/>
  <c r="H195" i="32"/>
  <c r="D195" i="32"/>
  <c r="E195" i="32"/>
  <c r="K195" i="32"/>
  <c r="L195" i="32"/>
  <c r="G196" i="32"/>
  <c r="H196" i="32"/>
  <c r="D196" i="32"/>
  <c r="E196" i="32"/>
  <c r="K196" i="32"/>
  <c r="L196" i="32"/>
  <c r="G197" i="32"/>
  <c r="H197" i="32"/>
  <c r="D197" i="32"/>
  <c r="E197" i="32"/>
  <c r="K197" i="32"/>
  <c r="L197" i="32"/>
  <c r="G198" i="32"/>
  <c r="H198" i="32"/>
  <c r="D198" i="32"/>
  <c r="E198" i="32"/>
  <c r="K198" i="32"/>
  <c r="L198" i="32"/>
  <c r="G199" i="32"/>
  <c r="H199" i="32"/>
  <c r="D199" i="32"/>
  <c r="E199" i="32"/>
  <c r="K199" i="32"/>
  <c r="L199" i="32"/>
  <c r="C194" i="32"/>
  <c r="C195" i="32"/>
  <c r="C196" i="32"/>
  <c r="C197" i="32"/>
  <c r="L514" i="32"/>
  <c r="K514" i="32"/>
  <c r="E514" i="32"/>
  <c r="D514" i="32"/>
  <c r="H514" i="32"/>
  <c r="G514" i="32"/>
  <c r="C514" i="32"/>
  <c r="K158" i="32"/>
  <c r="G159" i="32"/>
  <c r="H159" i="32"/>
  <c r="D159" i="32"/>
  <c r="K159" i="32"/>
  <c r="L159" i="32"/>
  <c r="G160" i="32"/>
  <c r="H160" i="32"/>
  <c r="D160" i="32"/>
  <c r="E160" i="32"/>
  <c r="K160" i="32"/>
  <c r="L160" i="32"/>
  <c r="G161" i="32"/>
  <c r="H161" i="32"/>
  <c r="D161" i="32"/>
  <c r="E161" i="32"/>
  <c r="K161" i="32"/>
  <c r="L161" i="32"/>
  <c r="G162" i="32"/>
  <c r="H162" i="32"/>
  <c r="D162" i="32"/>
  <c r="E162" i="32"/>
  <c r="K162" i="32"/>
  <c r="L162" i="32"/>
  <c r="G163" i="32"/>
  <c r="H163" i="32"/>
  <c r="D163" i="32"/>
  <c r="E163" i="32"/>
  <c r="K163" i="32"/>
  <c r="L163" i="32"/>
  <c r="G189" i="32"/>
  <c r="H189" i="32"/>
  <c r="D189" i="32"/>
  <c r="E189" i="32"/>
  <c r="K189" i="32"/>
  <c r="L189" i="32"/>
  <c r="G190" i="32"/>
  <c r="H190" i="32"/>
  <c r="D190" i="32"/>
  <c r="E190" i="32"/>
  <c r="K190" i="32"/>
  <c r="L190" i="32"/>
  <c r="G191" i="32"/>
  <c r="H191" i="32"/>
  <c r="D191" i="32"/>
  <c r="E191" i="32"/>
  <c r="K191" i="32"/>
  <c r="L191" i="32"/>
  <c r="G192" i="32"/>
  <c r="H192" i="32"/>
  <c r="D192" i="32"/>
  <c r="E192" i="32"/>
  <c r="K192" i="32"/>
  <c r="L192" i="32"/>
  <c r="G193" i="32"/>
  <c r="H193" i="32"/>
  <c r="D193" i="32"/>
  <c r="E193" i="32"/>
  <c r="K193" i="32"/>
  <c r="L193" i="32"/>
  <c r="L158" i="32"/>
  <c r="D158" i="32"/>
  <c r="H158" i="32"/>
  <c r="C159" i="32"/>
  <c r="C160" i="32"/>
  <c r="C161" i="32"/>
  <c r="C162" i="32"/>
  <c r="C163" i="32"/>
  <c r="C189" i="32"/>
  <c r="C190" i="32"/>
  <c r="C191" i="32"/>
  <c r="C192" i="32"/>
  <c r="C193" i="32"/>
  <c r="C198" i="32"/>
  <c r="C199" i="32"/>
  <c r="C158" i="32"/>
  <c r="E158" i="32"/>
  <c r="F161" i="32"/>
  <c r="G158" i="32"/>
  <c r="G531" i="32"/>
  <c r="H531" i="32"/>
  <c r="D531" i="32"/>
  <c r="E531" i="32"/>
  <c r="K531" i="32"/>
  <c r="L531" i="32"/>
  <c r="G521" i="32"/>
  <c r="H521" i="32"/>
  <c r="D521" i="32"/>
  <c r="E521" i="32"/>
  <c r="K521" i="32"/>
  <c r="L521" i="32"/>
  <c r="G522" i="32"/>
  <c r="H522" i="32"/>
  <c r="D522" i="32"/>
  <c r="E522" i="32"/>
  <c r="K522" i="32"/>
  <c r="L522" i="32"/>
  <c r="G523" i="32"/>
  <c r="H523" i="32"/>
  <c r="D523" i="32"/>
  <c r="E523" i="32"/>
  <c r="K523" i="32"/>
  <c r="L523" i="32"/>
  <c r="G524" i="32"/>
  <c r="H524" i="32"/>
  <c r="D524" i="32"/>
  <c r="E524" i="32"/>
  <c r="K524" i="32"/>
  <c r="L524" i="32"/>
  <c r="G525" i="32"/>
  <c r="H525" i="32"/>
  <c r="D525" i="32"/>
  <c r="E525" i="32"/>
  <c r="K525" i="32"/>
  <c r="L525" i="32"/>
  <c r="G526" i="32"/>
  <c r="H526" i="32"/>
  <c r="D526" i="32"/>
  <c r="E526" i="32"/>
  <c r="K526" i="32"/>
  <c r="L526" i="32"/>
  <c r="G527" i="32"/>
  <c r="H527" i="32"/>
  <c r="D527" i="32"/>
  <c r="E527" i="32"/>
  <c r="K527" i="32"/>
  <c r="L527" i="32"/>
  <c r="G528" i="32"/>
  <c r="H528" i="32"/>
  <c r="D528" i="32"/>
  <c r="E528" i="32"/>
  <c r="K528" i="32"/>
  <c r="L528" i="32"/>
  <c r="G529" i="32"/>
  <c r="H529" i="32"/>
  <c r="D529" i="32"/>
  <c r="E529" i="32"/>
  <c r="K529" i="32"/>
  <c r="L529" i="32"/>
  <c r="G530" i="32"/>
  <c r="H530" i="32"/>
  <c r="D530" i="32"/>
  <c r="E530" i="32"/>
  <c r="K530" i="32"/>
  <c r="L530" i="32"/>
  <c r="C521" i="32"/>
  <c r="C522" i="32"/>
  <c r="C523" i="32"/>
  <c r="C524" i="32"/>
  <c r="C525" i="32"/>
  <c r="C526" i="32"/>
  <c r="C527" i="32"/>
  <c r="C528" i="32"/>
  <c r="C529" i="32"/>
  <c r="C530" i="32"/>
  <c r="C531" i="32"/>
  <c r="F530"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D502" i="32"/>
  <c r="E502" i="32"/>
  <c r="K502" i="32"/>
  <c r="L502" i="32"/>
  <c r="G503" i="32"/>
  <c r="H503" i="32"/>
  <c r="D503" i="32"/>
  <c r="E503" i="32"/>
  <c r="K503" i="32"/>
  <c r="L503" i="32"/>
  <c r="G504" i="32"/>
  <c r="H504" i="32"/>
  <c r="D504" i="32"/>
  <c r="E504" i="32"/>
  <c r="K504" i="32"/>
  <c r="L504" i="32"/>
  <c r="G505" i="32"/>
  <c r="H505" i="32"/>
  <c r="D505" i="32"/>
  <c r="E505" i="32"/>
  <c r="K505" i="32"/>
  <c r="L505" i="32"/>
  <c r="G506" i="32"/>
  <c r="H506" i="32"/>
  <c r="F506" i="32" s="1"/>
  <c r="D506" i="32"/>
  <c r="E506" i="32"/>
  <c r="K506" i="32"/>
  <c r="L506" i="32"/>
  <c r="G507" i="32"/>
  <c r="H507" i="32"/>
  <c r="D507" i="32"/>
  <c r="E507" i="32"/>
  <c r="K507" i="32"/>
  <c r="L507" i="32"/>
  <c r="G508" i="32"/>
  <c r="H508" i="32"/>
  <c r="D508" i="32"/>
  <c r="E508" i="32"/>
  <c r="K508" i="32"/>
  <c r="L508" i="32"/>
  <c r="G509" i="32"/>
  <c r="H509" i="32"/>
  <c r="D509" i="32"/>
  <c r="E509" i="32"/>
  <c r="K509" i="32"/>
  <c r="L509" i="32"/>
  <c r="G510" i="32"/>
  <c r="H510" i="32"/>
  <c r="F510" i="32" s="1"/>
  <c r="D510" i="32"/>
  <c r="E510" i="32"/>
  <c r="K510" i="32"/>
  <c r="L510" i="32"/>
  <c r="G511" i="32"/>
  <c r="H511" i="32"/>
  <c r="D511" i="32"/>
  <c r="E511" i="32"/>
  <c r="K511" i="32"/>
  <c r="L511" i="32"/>
  <c r="G512" i="32"/>
  <c r="H512" i="32"/>
  <c r="D512" i="32"/>
  <c r="E512" i="32"/>
  <c r="K512" i="32"/>
  <c r="L512" i="32"/>
  <c r="G513" i="32"/>
  <c r="H513" i="32"/>
  <c r="D513" i="32"/>
  <c r="E513" i="32"/>
  <c r="K513" i="32"/>
  <c r="L513" i="32"/>
  <c r="G515" i="32"/>
  <c r="H515" i="32"/>
  <c r="D515" i="32"/>
  <c r="E515" i="32"/>
  <c r="K515" i="32"/>
  <c r="L515" i="32"/>
  <c r="G516" i="32"/>
  <c r="H516" i="32"/>
  <c r="D516" i="32"/>
  <c r="E516" i="32"/>
  <c r="K516" i="32"/>
  <c r="L516" i="32"/>
  <c r="G517" i="32"/>
  <c r="H517" i="32"/>
  <c r="D517" i="32"/>
  <c r="E517" i="32"/>
  <c r="K517" i="32"/>
  <c r="L517" i="32"/>
  <c r="G518" i="32"/>
  <c r="H518" i="32"/>
  <c r="D518" i="32"/>
  <c r="E518" i="32"/>
  <c r="K518" i="32"/>
  <c r="L518" i="32"/>
  <c r="G519" i="32"/>
  <c r="H519" i="32"/>
  <c r="F519" i="32" s="1"/>
  <c r="D519" i="32"/>
  <c r="E519" i="32"/>
  <c r="K519" i="32"/>
  <c r="L519" i="32"/>
  <c r="L134" i="32"/>
  <c r="K134" i="32"/>
  <c r="E134" i="32"/>
  <c r="D134" i="32"/>
  <c r="H134" i="32"/>
  <c r="G134" i="32"/>
  <c r="C134" i="32"/>
  <c r="L133" i="32"/>
  <c r="K133" i="32"/>
  <c r="E133" i="32"/>
  <c r="D133" i="32"/>
  <c r="H133" i="32"/>
  <c r="G133" i="32"/>
  <c r="C133" i="32"/>
  <c r="L132" i="32"/>
  <c r="K132" i="32"/>
  <c r="E132" i="32"/>
  <c r="D132" i="32"/>
  <c r="H132" i="32"/>
  <c r="G132" i="32"/>
  <c r="C132" i="32"/>
  <c r="L131" i="32"/>
  <c r="K131" i="32"/>
  <c r="E131" i="32"/>
  <c r="D131" i="32"/>
  <c r="H131" i="32"/>
  <c r="G131" i="32"/>
  <c r="C131" i="32"/>
  <c r="L130" i="32"/>
  <c r="K130" i="32"/>
  <c r="E130" i="32"/>
  <c r="D130" i="32"/>
  <c r="H130" i="32"/>
  <c r="G130" i="32"/>
  <c r="C130" i="32"/>
  <c r="L129" i="32"/>
  <c r="K129" i="32"/>
  <c r="E129" i="32"/>
  <c r="D129" i="32"/>
  <c r="H129" i="32"/>
  <c r="G129" i="32"/>
  <c r="C129" i="32"/>
  <c r="L128" i="32"/>
  <c r="K128" i="32"/>
  <c r="E128" i="32"/>
  <c r="D128" i="32"/>
  <c r="H128" i="32"/>
  <c r="G128" i="32"/>
  <c r="C128" i="32"/>
  <c r="L127" i="32"/>
  <c r="K127" i="32"/>
  <c r="E127" i="32"/>
  <c r="D127" i="32"/>
  <c r="H127" i="32"/>
  <c r="G127" i="32"/>
  <c r="C127" i="32"/>
  <c r="L126" i="32"/>
  <c r="K126" i="32"/>
  <c r="E126" i="32"/>
  <c r="D126" i="32"/>
  <c r="H126" i="32"/>
  <c r="G126" i="32"/>
  <c r="C126" i="32"/>
  <c r="L125" i="32"/>
  <c r="K125" i="32"/>
  <c r="E125" i="32"/>
  <c r="D125" i="32"/>
  <c r="H125" i="32"/>
  <c r="G125" i="32"/>
  <c r="C125" i="32"/>
  <c r="L124" i="32"/>
  <c r="K124" i="32"/>
  <c r="E124" i="32"/>
  <c r="D124" i="32"/>
  <c r="H124" i="32"/>
  <c r="G124" i="32"/>
  <c r="C124" i="32"/>
  <c r="L123" i="32"/>
  <c r="K123" i="32"/>
  <c r="E123" i="32"/>
  <c r="D123" i="32"/>
  <c r="H123" i="32"/>
  <c r="G123" i="32"/>
  <c r="C123" i="32"/>
  <c r="L122" i="32"/>
  <c r="K122" i="32"/>
  <c r="E122" i="32"/>
  <c r="D122" i="32"/>
  <c r="H122" i="32"/>
  <c r="G122" i="32"/>
  <c r="C122" i="32"/>
  <c r="L121" i="32"/>
  <c r="K121" i="32"/>
  <c r="E121" i="32"/>
  <c r="D121" i="32"/>
  <c r="H121" i="32"/>
  <c r="G121" i="32"/>
  <c r="C121" i="32"/>
  <c r="L120" i="32"/>
  <c r="K120" i="32"/>
  <c r="E120" i="32"/>
  <c r="D120" i="32"/>
  <c r="H120" i="32"/>
  <c r="G120" i="32"/>
  <c r="C120" i="32"/>
  <c r="L119" i="32"/>
  <c r="K119" i="32"/>
  <c r="E119" i="32"/>
  <c r="D119" i="32"/>
  <c r="H119" i="32"/>
  <c r="G119" i="32"/>
  <c r="C119" i="32"/>
  <c r="L118" i="32"/>
  <c r="K118" i="32"/>
  <c r="E118" i="32"/>
  <c r="D118" i="32"/>
  <c r="H118" i="32"/>
  <c r="G118" i="32"/>
  <c r="C118" i="32"/>
  <c r="L117" i="32"/>
  <c r="K117" i="32"/>
  <c r="E117" i="32"/>
  <c r="D117" i="32"/>
  <c r="H117" i="32"/>
  <c r="G117" i="32"/>
  <c r="C117" i="32"/>
  <c r="L116" i="32"/>
  <c r="K116" i="32"/>
  <c r="E116" i="32"/>
  <c r="D116" i="32"/>
  <c r="H116" i="32"/>
  <c r="G116" i="32"/>
  <c r="C116" i="32"/>
  <c r="L115" i="32"/>
  <c r="K115" i="32"/>
  <c r="E115" i="32"/>
  <c r="D115" i="32"/>
  <c r="H115" i="32"/>
  <c r="F115" i="32" s="1"/>
  <c r="G115" i="32"/>
  <c r="C115" i="32"/>
  <c r="L114" i="32"/>
  <c r="K114" i="32"/>
  <c r="E114" i="32"/>
  <c r="D114" i="32"/>
  <c r="H114" i="32"/>
  <c r="G114" i="32"/>
  <c r="C114" i="32"/>
  <c r="L113" i="32"/>
  <c r="K113" i="32"/>
  <c r="E113" i="32"/>
  <c r="D113" i="32"/>
  <c r="H113" i="32"/>
  <c r="G113" i="32"/>
  <c r="C113" i="32"/>
  <c r="L112" i="32"/>
  <c r="K112" i="32"/>
  <c r="E112" i="32"/>
  <c r="D112" i="32"/>
  <c r="H112" i="32"/>
  <c r="G112" i="32"/>
  <c r="C112" i="32"/>
  <c r="L111" i="32"/>
  <c r="K111" i="32"/>
  <c r="E111" i="32"/>
  <c r="D111" i="32"/>
  <c r="H111" i="32"/>
  <c r="G111" i="32"/>
  <c r="C111" i="32"/>
  <c r="L110" i="32"/>
  <c r="K110" i="32"/>
  <c r="E110" i="32"/>
  <c r="D110" i="32"/>
  <c r="H110" i="32"/>
  <c r="G110" i="32"/>
  <c r="C110" i="32"/>
  <c r="L109" i="32"/>
  <c r="K109" i="32"/>
  <c r="E109" i="32"/>
  <c r="D109" i="32"/>
  <c r="H109" i="32"/>
  <c r="G109" i="32"/>
  <c r="C109" i="32"/>
  <c r="L108" i="32"/>
  <c r="K108" i="32"/>
  <c r="E108" i="32"/>
  <c r="D108" i="32"/>
  <c r="H108" i="32"/>
  <c r="G108" i="32"/>
  <c r="C108" i="32"/>
  <c r="L107" i="32"/>
  <c r="K107" i="32"/>
  <c r="E107" i="32"/>
  <c r="D107" i="32"/>
  <c r="H107" i="32"/>
  <c r="G107" i="32"/>
  <c r="C107" i="32"/>
  <c r="L106" i="32"/>
  <c r="K106" i="32"/>
  <c r="E106" i="32"/>
  <c r="D106" i="32"/>
  <c r="H106" i="32"/>
  <c r="G106" i="32"/>
  <c r="C106" i="32"/>
  <c r="L105" i="32"/>
  <c r="K105" i="32"/>
  <c r="E105" i="32"/>
  <c r="D105" i="32"/>
  <c r="H105" i="32"/>
  <c r="G105" i="32"/>
  <c r="C105" i="32"/>
  <c r="L104" i="32"/>
  <c r="K104" i="32"/>
  <c r="E104" i="32"/>
  <c r="D104" i="32"/>
  <c r="H104" i="32"/>
  <c r="G104" i="32"/>
  <c r="C104" i="32"/>
  <c r="L103" i="32"/>
  <c r="K103" i="32"/>
  <c r="E103" i="32"/>
  <c r="D103" i="32"/>
  <c r="H103" i="32"/>
  <c r="G103" i="32"/>
  <c r="C103" i="32"/>
  <c r="L102" i="32"/>
  <c r="K102" i="32"/>
  <c r="E102" i="32"/>
  <c r="D102" i="32"/>
  <c r="H102" i="32"/>
  <c r="G102" i="32"/>
  <c r="C102" i="32"/>
  <c r="L101" i="32"/>
  <c r="K101" i="32"/>
  <c r="E101" i="32"/>
  <c r="D101" i="32"/>
  <c r="H101" i="32"/>
  <c r="G101" i="32"/>
  <c r="C101" i="32"/>
  <c r="L100" i="32"/>
  <c r="K100" i="32"/>
  <c r="E100" i="32"/>
  <c r="D100" i="32"/>
  <c r="H100" i="32"/>
  <c r="G100" i="32"/>
  <c r="C100" i="32"/>
  <c r="L99" i="32"/>
  <c r="K99" i="32"/>
  <c r="E99" i="32"/>
  <c r="D99" i="32"/>
  <c r="H99" i="32"/>
  <c r="G99" i="32"/>
  <c r="C99" i="32"/>
  <c r="L98" i="32"/>
  <c r="K98" i="32"/>
  <c r="E98" i="32"/>
  <c r="D98" i="32"/>
  <c r="H98" i="32"/>
  <c r="G98" i="32"/>
  <c r="C98" i="32"/>
  <c r="L97" i="32"/>
  <c r="K97" i="32"/>
  <c r="E97" i="32"/>
  <c r="D97" i="32"/>
  <c r="H97" i="32"/>
  <c r="G97" i="32"/>
  <c r="C97" i="32"/>
  <c r="L96" i="32"/>
  <c r="K96" i="32"/>
  <c r="E96" i="32"/>
  <c r="D96" i="32"/>
  <c r="H96" i="32"/>
  <c r="G96" i="32"/>
  <c r="C96" i="32"/>
  <c r="L95" i="32"/>
  <c r="K95" i="32"/>
  <c r="E95" i="32"/>
  <c r="D95" i="32"/>
  <c r="H95" i="32"/>
  <c r="G95" i="32"/>
  <c r="C95" i="32"/>
  <c r="L94" i="32"/>
  <c r="K94" i="32"/>
  <c r="E94" i="32"/>
  <c r="D94" i="32"/>
  <c r="H94" i="32"/>
  <c r="G94" i="32"/>
  <c r="C94" i="32"/>
  <c r="L93" i="32"/>
  <c r="K93" i="32"/>
  <c r="E93" i="32"/>
  <c r="D93" i="32"/>
  <c r="H93" i="32"/>
  <c r="G93" i="32"/>
  <c r="C93" i="32"/>
  <c r="L92" i="32"/>
  <c r="K92" i="32"/>
  <c r="E92" i="32"/>
  <c r="D92" i="32"/>
  <c r="H92" i="32"/>
  <c r="G92" i="32"/>
  <c r="C92" i="32"/>
  <c r="L91" i="32"/>
  <c r="K91" i="32"/>
  <c r="E91" i="32"/>
  <c r="D91" i="32"/>
  <c r="H91" i="32"/>
  <c r="G91" i="32"/>
  <c r="C91" i="32"/>
  <c r="L90" i="32"/>
  <c r="K90" i="32"/>
  <c r="E90" i="32"/>
  <c r="D90" i="32"/>
  <c r="H90" i="32"/>
  <c r="G90" i="32"/>
  <c r="C90" i="32"/>
  <c r="L89" i="32"/>
  <c r="K89" i="32"/>
  <c r="E89" i="32"/>
  <c r="D89" i="32"/>
  <c r="H89" i="32"/>
  <c r="G89" i="32"/>
  <c r="C89" i="32"/>
  <c r="L88" i="32"/>
  <c r="K88" i="32"/>
  <c r="E88" i="32"/>
  <c r="D88" i="32"/>
  <c r="H88" i="32"/>
  <c r="G88" i="32"/>
  <c r="C88" i="32"/>
  <c r="L87" i="32"/>
  <c r="K87" i="32"/>
  <c r="E87" i="32"/>
  <c r="D87" i="32"/>
  <c r="H87" i="32"/>
  <c r="G87" i="32"/>
  <c r="C87" i="32"/>
  <c r="L86" i="32"/>
  <c r="K86" i="32"/>
  <c r="E86" i="32"/>
  <c r="D86" i="32"/>
  <c r="H86" i="32"/>
  <c r="G86" i="32"/>
  <c r="C86" i="32"/>
  <c r="L85" i="32"/>
  <c r="K85" i="32"/>
  <c r="E85" i="32"/>
  <c r="D85" i="32"/>
  <c r="H85" i="32"/>
  <c r="G85" i="32"/>
  <c r="C85" i="32"/>
  <c r="L84" i="32"/>
  <c r="K84" i="32"/>
  <c r="E84" i="32"/>
  <c r="D84" i="32"/>
  <c r="H84" i="32"/>
  <c r="G84" i="32"/>
  <c r="C84" i="32"/>
  <c r="L83" i="32"/>
  <c r="K83" i="32"/>
  <c r="E83" i="32"/>
  <c r="D83" i="32"/>
  <c r="H83" i="32"/>
  <c r="G83" i="32"/>
  <c r="C83" i="32"/>
  <c r="L82" i="32"/>
  <c r="K82" i="32"/>
  <c r="E82" i="32"/>
  <c r="D82" i="32"/>
  <c r="H82" i="32"/>
  <c r="G82" i="32"/>
  <c r="C82" i="32"/>
  <c r="L81" i="32"/>
  <c r="K81" i="32"/>
  <c r="E81" i="32"/>
  <c r="D81" i="32"/>
  <c r="H81" i="32"/>
  <c r="G81" i="32"/>
  <c r="C81" i="32"/>
  <c r="L80" i="32"/>
  <c r="K80" i="32"/>
  <c r="E80" i="32"/>
  <c r="D80" i="32"/>
  <c r="H80" i="32"/>
  <c r="G80" i="32"/>
  <c r="C80" i="32"/>
  <c r="L79" i="32"/>
  <c r="K79" i="32"/>
  <c r="E79" i="32"/>
  <c r="D79" i="32"/>
  <c r="H79" i="32"/>
  <c r="G79" i="32"/>
  <c r="C79" i="32"/>
  <c r="L78" i="32"/>
  <c r="K78" i="32"/>
  <c r="E78" i="32"/>
  <c r="D78" i="32"/>
  <c r="H78" i="32"/>
  <c r="G78" i="32"/>
  <c r="C78" i="32"/>
  <c r="L77" i="32"/>
  <c r="K77" i="32"/>
  <c r="E77" i="32"/>
  <c r="D77" i="32"/>
  <c r="H77" i="32"/>
  <c r="G77" i="32"/>
  <c r="C77" i="32"/>
  <c r="L76" i="32"/>
  <c r="K76" i="32"/>
  <c r="E76" i="32"/>
  <c r="D76" i="32"/>
  <c r="H76" i="32"/>
  <c r="G76" i="32"/>
  <c r="C76" i="32"/>
  <c r="L75" i="32"/>
  <c r="K75" i="32"/>
  <c r="E75" i="32"/>
  <c r="D75" i="32"/>
  <c r="H75" i="32"/>
  <c r="G75" i="32"/>
  <c r="C75" i="32"/>
  <c r="L74" i="32"/>
  <c r="K74" i="32"/>
  <c r="E74" i="32"/>
  <c r="D74" i="32"/>
  <c r="H74" i="32"/>
  <c r="G74" i="32"/>
  <c r="C74" i="32"/>
  <c r="L73" i="32"/>
  <c r="K73" i="32"/>
  <c r="E73" i="32"/>
  <c r="D73" i="32"/>
  <c r="H73" i="32"/>
  <c r="G73" i="32"/>
  <c r="C73" i="32"/>
  <c r="L72" i="32"/>
  <c r="K72" i="32"/>
  <c r="E72" i="32"/>
  <c r="D72" i="32"/>
  <c r="H72" i="32"/>
  <c r="G72" i="32"/>
  <c r="C72" i="32"/>
  <c r="L71" i="32"/>
  <c r="K71" i="32"/>
  <c r="E71" i="32"/>
  <c r="D71" i="32"/>
  <c r="H71" i="32"/>
  <c r="G71" i="32"/>
  <c r="C71" i="32"/>
  <c r="L70" i="32"/>
  <c r="K70" i="32"/>
  <c r="E70" i="32"/>
  <c r="D70" i="32"/>
  <c r="H70" i="32"/>
  <c r="G70" i="32"/>
  <c r="C70" i="32"/>
  <c r="L69" i="32"/>
  <c r="K69" i="32"/>
  <c r="E69" i="32"/>
  <c r="D69" i="32"/>
  <c r="H69" i="32"/>
  <c r="G69" i="32"/>
  <c r="F69" i="32" s="1"/>
  <c r="C69" i="32"/>
  <c r="L68" i="32"/>
  <c r="K68" i="32"/>
  <c r="E68" i="32"/>
  <c r="D68" i="32"/>
  <c r="H68" i="32"/>
  <c r="G68" i="32"/>
  <c r="C68" i="32"/>
  <c r="L67" i="32"/>
  <c r="K67" i="32"/>
  <c r="E67" i="32"/>
  <c r="D67" i="32"/>
  <c r="H67" i="32"/>
  <c r="G67" i="32"/>
  <c r="C67" i="32"/>
  <c r="L66" i="32"/>
  <c r="K66" i="32"/>
  <c r="E66" i="32"/>
  <c r="D66" i="32"/>
  <c r="H66" i="32"/>
  <c r="G66" i="32"/>
  <c r="C66" i="32"/>
  <c r="L65" i="32"/>
  <c r="K65" i="32"/>
  <c r="E65" i="32"/>
  <c r="D65" i="32"/>
  <c r="H65" i="32"/>
  <c r="G65" i="32"/>
  <c r="C65" i="32"/>
  <c r="L64" i="32"/>
  <c r="K64" i="32"/>
  <c r="E64" i="32"/>
  <c r="D64" i="32"/>
  <c r="H64" i="32"/>
  <c r="G64" i="32"/>
  <c r="C64" i="32"/>
  <c r="L63" i="32"/>
  <c r="K63" i="32"/>
  <c r="E63" i="32"/>
  <c r="D63" i="32"/>
  <c r="H63" i="32"/>
  <c r="G63" i="32"/>
  <c r="C63" i="32"/>
  <c r="L62" i="32"/>
  <c r="K62" i="32"/>
  <c r="E62" i="32"/>
  <c r="D62" i="32"/>
  <c r="H62" i="32"/>
  <c r="G62" i="32"/>
  <c r="C62" i="32"/>
  <c r="L61" i="32"/>
  <c r="K61" i="32"/>
  <c r="E61" i="32"/>
  <c r="D61" i="32"/>
  <c r="H61" i="32"/>
  <c r="G61" i="32"/>
  <c r="C61" i="32"/>
  <c r="L60" i="32"/>
  <c r="K60" i="32"/>
  <c r="E60" i="32"/>
  <c r="D60" i="32"/>
  <c r="H60" i="32"/>
  <c r="G60" i="32"/>
  <c r="C60" i="32"/>
  <c r="L59" i="32"/>
  <c r="K59" i="32"/>
  <c r="E59" i="32"/>
  <c r="D59" i="32"/>
  <c r="H59" i="32"/>
  <c r="G59" i="32"/>
  <c r="C59" i="32"/>
  <c r="L58" i="32"/>
  <c r="K58" i="32"/>
  <c r="E58" i="32"/>
  <c r="D58" i="32"/>
  <c r="H58" i="32"/>
  <c r="G58" i="32"/>
  <c r="C58" i="32"/>
  <c r="L57" i="32"/>
  <c r="K57" i="32"/>
  <c r="E57" i="32"/>
  <c r="D57" i="32"/>
  <c r="H57" i="32"/>
  <c r="G57" i="32"/>
  <c r="C57" i="32"/>
  <c r="L56" i="32"/>
  <c r="K56" i="32"/>
  <c r="E56" i="32"/>
  <c r="D56" i="32"/>
  <c r="H56" i="32"/>
  <c r="G56" i="32"/>
  <c r="C56" i="32"/>
  <c r="L55" i="32"/>
  <c r="K55" i="32"/>
  <c r="E55" i="32"/>
  <c r="D55" i="32"/>
  <c r="H55" i="32"/>
  <c r="G55" i="32"/>
  <c r="C55" i="32"/>
  <c r="L54" i="32"/>
  <c r="K54" i="32"/>
  <c r="E54" i="32"/>
  <c r="D54" i="32"/>
  <c r="H54" i="32"/>
  <c r="G54" i="32"/>
  <c r="C54" i="32"/>
  <c r="L53" i="32"/>
  <c r="K53" i="32"/>
  <c r="E53" i="32"/>
  <c r="D53" i="32"/>
  <c r="H53" i="32"/>
  <c r="G53" i="32"/>
  <c r="C53" i="32"/>
  <c r="L52" i="32"/>
  <c r="K52" i="32"/>
  <c r="E52" i="32"/>
  <c r="D52" i="32"/>
  <c r="H52" i="32"/>
  <c r="G52" i="32"/>
  <c r="C52" i="32"/>
  <c r="L51" i="32"/>
  <c r="K51" i="32"/>
  <c r="E51" i="32"/>
  <c r="D51" i="32"/>
  <c r="H51" i="32"/>
  <c r="G51" i="32"/>
  <c r="C51" i="32"/>
  <c r="L50" i="32"/>
  <c r="K50" i="32"/>
  <c r="E50" i="32"/>
  <c r="D50" i="32"/>
  <c r="H50" i="32"/>
  <c r="G50" i="32"/>
  <c r="C50" i="32"/>
  <c r="L49" i="32"/>
  <c r="K49" i="32"/>
  <c r="E49" i="32"/>
  <c r="D49" i="32"/>
  <c r="H49" i="32"/>
  <c r="G49" i="32"/>
  <c r="C49" i="32"/>
  <c r="L48" i="32"/>
  <c r="K48" i="32"/>
  <c r="E48" i="32"/>
  <c r="D48" i="32"/>
  <c r="H48" i="32"/>
  <c r="G48" i="32"/>
  <c r="C48" i="32"/>
  <c r="L47" i="32"/>
  <c r="K47" i="32"/>
  <c r="E47" i="32"/>
  <c r="D47" i="32"/>
  <c r="H47" i="32"/>
  <c r="G47" i="32"/>
  <c r="C47" i="32"/>
  <c r="L46" i="32"/>
  <c r="K46" i="32"/>
  <c r="E46" i="32"/>
  <c r="D46" i="32"/>
  <c r="H46" i="32"/>
  <c r="G46" i="32"/>
  <c r="C46" i="32"/>
  <c r="L45" i="32"/>
  <c r="K45" i="32"/>
  <c r="E45" i="32"/>
  <c r="D45" i="32"/>
  <c r="H45" i="32"/>
  <c r="G45" i="32"/>
  <c r="C45" i="32"/>
  <c r="L44" i="32"/>
  <c r="K44" i="32"/>
  <c r="E44" i="32"/>
  <c r="D44" i="32"/>
  <c r="H44" i="32"/>
  <c r="G44" i="32"/>
  <c r="C44" i="32"/>
  <c r="L43" i="32"/>
  <c r="K43" i="32"/>
  <c r="E43" i="32"/>
  <c r="D43" i="32"/>
  <c r="H43" i="32"/>
  <c r="G43" i="32"/>
  <c r="C43" i="32"/>
  <c r="L42" i="32"/>
  <c r="K42" i="32"/>
  <c r="E42" i="32"/>
  <c r="D42" i="32"/>
  <c r="H42" i="32"/>
  <c r="G42" i="32"/>
  <c r="C42" i="32"/>
  <c r="L41" i="32"/>
  <c r="K41" i="32"/>
  <c r="E41" i="32"/>
  <c r="D41" i="32"/>
  <c r="H41" i="32"/>
  <c r="G41" i="32"/>
  <c r="C41" i="32"/>
  <c r="L40" i="32"/>
  <c r="K40" i="32"/>
  <c r="E40" i="32"/>
  <c r="D40" i="32"/>
  <c r="H40" i="32"/>
  <c r="G40" i="32"/>
  <c r="C40" i="32"/>
  <c r="L39" i="32"/>
  <c r="K39" i="32"/>
  <c r="E39" i="32"/>
  <c r="D39" i="32"/>
  <c r="H39" i="32"/>
  <c r="G39" i="32"/>
  <c r="C39" i="32"/>
  <c r="L38" i="32"/>
  <c r="K38" i="32"/>
  <c r="E38" i="32"/>
  <c r="D38" i="32"/>
  <c r="H38" i="32"/>
  <c r="G38" i="32"/>
  <c r="C38" i="32"/>
  <c r="L37" i="32"/>
  <c r="K37" i="32"/>
  <c r="E37" i="32"/>
  <c r="H37" i="32"/>
  <c r="G37" i="32"/>
  <c r="C37" i="32"/>
  <c r="L36" i="32"/>
  <c r="K36" i="32"/>
  <c r="E36" i="32"/>
  <c r="D36" i="32"/>
  <c r="H36" i="32"/>
  <c r="G36" i="32"/>
  <c r="C36" i="32"/>
  <c r="L35" i="32"/>
  <c r="K35" i="32"/>
  <c r="D35" i="32"/>
  <c r="H35" i="32"/>
  <c r="G35" i="32"/>
  <c r="C35" i="32"/>
  <c r="L34" i="32"/>
  <c r="K34" i="32"/>
  <c r="E34" i="32"/>
  <c r="D34" i="32"/>
  <c r="H34" i="32"/>
  <c r="G34" i="32"/>
  <c r="F34" i="32" s="1"/>
  <c r="C34" i="32"/>
  <c r="L33" i="32"/>
  <c r="K33" i="32"/>
  <c r="E33" i="32"/>
  <c r="D33" i="32"/>
  <c r="H33" i="32"/>
  <c r="G33" i="32"/>
  <c r="C33" i="32"/>
  <c r="L32" i="32"/>
  <c r="K32" i="32"/>
  <c r="E32" i="32"/>
  <c r="D32" i="32"/>
  <c r="H32" i="32"/>
  <c r="G32" i="32"/>
  <c r="C32" i="32"/>
  <c r="L31" i="32"/>
  <c r="K31" i="32"/>
  <c r="E31" i="32"/>
  <c r="D31" i="32"/>
  <c r="H31" i="32"/>
  <c r="G31" i="32"/>
  <c r="C31" i="32"/>
  <c r="L30" i="32"/>
  <c r="K30" i="32"/>
  <c r="E30" i="32"/>
  <c r="D30" i="32"/>
  <c r="H30" i="32"/>
  <c r="G30" i="32"/>
  <c r="C30" i="32"/>
  <c r="K29" i="32"/>
  <c r="E29" i="32"/>
  <c r="D29" i="32"/>
  <c r="H29" i="32"/>
  <c r="G29" i="32"/>
  <c r="C29" i="32"/>
  <c r="F96" i="32"/>
  <c r="F105" i="32"/>
  <c r="F116" i="32"/>
  <c r="F128"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E501" i="32"/>
  <c r="D501" i="32"/>
  <c r="H501" i="32"/>
  <c r="G501" i="32"/>
  <c r="L500" i="32"/>
  <c r="K500" i="32"/>
  <c r="E500" i="32"/>
  <c r="D500" i="32"/>
  <c r="H500" i="32"/>
  <c r="G500" i="32"/>
  <c r="L499" i="32"/>
  <c r="K499" i="32"/>
  <c r="E499" i="32"/>
  <c r="D499" i="32"/>
  <c r="H499" i="32"/>
  <c r="G499" i="32"/>
  <c r="L498" i="32"/>
  <c r="K498" i="32"/>
  <c r="E498" i="32"/>
  <c r="H498" i="32"/>
  <c r="G498" i="32"/>
  <c r="L496" i="32"/>
  <c r="K496" i="32"/>
  <c r="E496" i="32"/>
  <c r="D496" i="32"/>
  <c r="H496" i="32"/>
  <c r="G496" i="32"/>
  <c r="L495" i="32"/>
  <c r="K495" i="32"/>
  <c r="E495" i="32"/>
  <c r="D495" i="32"/>
  <c r="H495" i="32"/>
  <c r="G495" i="32"/>
  <c r="L494" i="32"/>
  <c r="K494" i="32"/>
  <c r="E494" i="32"/>
  <c r="D494" i="32"/>
  <c r="H494" i="32"/>
  <c r="G494" i="32"/>
  <c r="L493" i="32"/>
  <c r="K493" i="32"/>
  <c r="E493" i="32"/>
  <c r="D493" i="32"/>
  <c r="H493" i="32"/>
  <c r="G493" i="32"/>
  <c r="L492" i="32"/>
  <c r="K492" i="32"/>
  <c r="E492" i="32"/>
  <c r="D492" i="32"/>
  <c r="H492" i="32"/>
  <c r="G492" i="32"/>
  <c r="L491" i="32"/>
  <c r="K491" i="32"/>
  <c r="E491" i="32"/>
  <c r="D491" i="32"/>
  <c r="H491" i="32"/>
  <c r="G491" i="32"/>
  <c r="L490" i="32"/>
  <c r="K490" i="32"/>
  <c r="E490" i="32"/>
  <c r="D490" i="32"/>
  <c r="H490" i="32"/>
  <c r="G490" i="32"/>
  <c r="L489" i="32"/>
  <c r="K489" i="32"/>
  <c r="E489" i="32"/>
  <c r="D489" i="32"/>
  <c r="H489" i="32"/>
  <c r="G489" i="32"/>
  <c r="L488" i="32"/>
  <c r="K488" i="32"/>
  <c r="E488" i="32"/>
  <c r="D488" i="32"/>
  <c r="H488" i="32"/>
  <c r="G488" i="32"/>
  <c r="L487" i="32"/>
  <c r="K487" i="32"/>
  <c r="E487" i="32"/>
  <c r="D487" i="32"/>
  <c r="H487" i="32"/>
  <c r="G487" i="32"/>
  <c r="L486" i="32"/>
  <c r="K486" i="32"/>
  <c r="E486" i="32"/>
  <c r="D486" i="32"/>
  <c r="H486" i="32"/>
  <c r="G486" i="32"/>
  <c r="L485" i="32"/>
  <c r="K485" i="32"/>
  <c r="E485" i="32"/>
  <c r="D485" i="32"/>
  <c r="H485" i="32"/>
  <c r="G485" i="32"/>
  <c r="F485" i="32" s="1"/>
  <c r="L484" i="32"/>
  <c r="K484" i="32"/>
  <c r="E484" i="32"/>
  <c r="D484" i="32"/>
  <c r="H484" i="32"/>
  <c r="G484" i="32"/>
  <c r="L483" i="32"/>
  <c r="K483" i="32"/>
  <c r="E483" i="32"/>
  <c r="D483" i="32"/>
  <c r="H483" i="32"/>
  <c r="G483" i="32"/>
  <c r="L482" i="32"/>
  <c r="K482" i="32"/>
  <c r="E482" i="32"/>
  <c r="D482" i="32"/>
  <c r="H482" i="32"/>
  <c r="G482" i="32"/>
  <c r="L481" i="32"/>
  <c r="K481" i="32"/>
  <c r="E481" i="32"/>
  <c r="D481" i="32"/>
  <c r="H481" i="32"/>
  <c r="G481" i="32"/>
  <c r="L480" i="32"/>
  <c r="K480" i="32"/>
  <c r="E480" i="32"/>
  <c r="D480" i="32"/>
  <c r="H480" i="32"/>
  <c r="G480" i="32"/>
  <c r="L479" i="32"/>
  <c r="K479" i="32"/>
  <c r="E479" i="32"/>
  <c r="D479" i="32"/>
  <c r="H479" i="32"/>
  <c r="G479" i="32"/>
  <c r="L478" i="32"/>
  <c r="K478" i="32"/>
  <c r="E478" i="32"/>
  <c r="D478" i="32"/>
  <c r="H478" i="32"/>
  <c r="G478" i="32"/>
  <c r="L477" i="32"/>
  <c r="K477" i="32"/>
  <c r="E477" i="32"/>
  <c r="D477" i="32"/>
  <c r="H477" i="32"/>
  <c r="G477" i="32"/>
  <c r="F477" i="32" s="1"/>
  <c r="L476" i="32"/>
  <c r="K476" i="32"/>
  <c r="E476" i="32"/>
  <c r="D476" i="32"/>
  <c r="H476" i="32"/>
  <c r="G476" i="32"/>
  <c r="L475" i="32"/>
  <c r="K475" i="32"/>
  <c r="E475" i="32"/>
  <c r="D475" i="32"/>
  <c r="H475" i="32"/>
  <c r="G475" i="32"/>
  <c r="L474" i="32"/>
  <c r="K474" i="32"/>
  <c r="E474" i="32"/>
  <c r="D474" i="32"/>
  <c r="H474" i="32"/>
  <c r="G474" i="32"/>
  <c r="L473" i="32"/>
  <c r="K473" i="32"/>
  <c r="E473" i="32"/>
  <c r="D473" i="32"/>
  <c r="H473" i="32"/>
  <c r="G473" i="32"/>
  <c r="F473" i="32" s="1"/>
  <c r="L472" i="32"/>
  <c r="K472" i="32"/>
  <c r="E472" i="32"/>
  <c r="D472" i="32"/>
  <c r="H472" i="32"/>
  <c r="G472" i="32"/>
  <c r="L471" i="32"/>
  <c r="K471" i="32"/>
  <c r="E471" i="32"/>
  <c r="D471" i="32"/>
  <c r="H471" i="32"/>
  <c r="G471" i="32"/>
  <c r="L470" i="32"/>
  <c r="K470" i="32"/>
  <c r="E470" i="32"/>
  <c r="D470" i="32"/>
  <c r="H470" i="32"/>
  <c r="G470" i="32"/>
  <c r="L469" i="32"/>
  <c r="K469" i="32"/>
  <c r="E469" i="32"/>
  <c r="D469" i="32"/>
  <c r="H469" i="32"/>
  <c r="G469" i="32"/>
  <c r="F469" i="32" s="1"/>
  <c r="L468" i="32"/>
  <c r="K468" i="32"/>
  <c r="E468" i="32"/>
  <c r="D468" i="32"/>
  <c r="H468" i="32"/>
  <c r="G468" i="32"/>
  <c r="L467" i="32"/>
  <c r="K467" i="32"/>
  <c r="E467" i="32"/>
  <c r="D467" i="32"/>
  <c r="H467" i="32"/>
  <c r="G467" i="32"/>
  <c r="L466" i="32"/>
  <c r="K466" i="32"/>
  <c r="E466" i="32"/>
  <c r="D466" i="32"/>
  <c r="H466" i="32"/>
  <c r="G466" i="32"/>
  <c r="L465" i="32"/>
  <c r="K465" i="32"/>
  <c r="E465" i="32"/>
  <c r="D465" i="32"/>
  <c r="H465" i="32"/>
  <c r="G465" i="32"/>
  <c r="F465" i="32" s="1"/>
  <c r="L464" i="32"/>
  <c r="K464" i="32"/>
  <c r="E464" i="32"/>
  <c r="D464" i="32"/>
  <c r="H464" i="32"/>
  <c r="G464" i="32"/>
  <c r="L463" i="32"/>
  <c r="K463" i="32"/>
  <c r="E463" i="32"/>
  <c r="D463" i="32"/>
  <c r="H463" i="32"/>
  <c r="G463" i="32"/>
  <c r="L462" i="32"/>
  <c r="K462" i="32"/>
  <c r="E462" i="32"/>
  <c r="D462" i="32"/>
  <c r="H462" i="32"/>
  <c r="G462" i="32"/>
  <c r="L461" i="32"/>
  <c r="K461" i="32"/>
  <c r="E461" i="32"/>
  <c r="D461" i="32"/>
  <c r="H461" i="32"/>
  <c r="G461" i="32"/>
  <c r="F461" i="32" s="1"/>
  <c r="L460" i="32"/>
  <c r="K460" i="32"/>
  <c r="E460" i="32"/>
  <c r="D460" i="32"/>
  <c r="H460" i="32"/>
  <c r="G460" i="32"/>
  <c r="L459" i="32"/>
  <c r="K459" i="32"/>
  <c r="E459" i="32"/>
  <c r="D459" i="32"/>
  <c r="H459" i="32"/>
  <c r="G459" i="32"/>
  <c r="L458" i="32"/>
  <c r="K458" i="32"/>
  <c r="E458" i="32"/>
  <c r="D458" i="32"/>
  <c r="H458" i="32"/>
  <c r="G458" i="32"/>
  <c r="L457" i="32"/>
  <c r="K457" i="32"/>
  <c r="E457" i="32"/>
  <c r="D457" i="32"/>
  <c r="H457" i="32"/>
  <c r="G457" i="32"/>
  <c r="L456" i="32"/>
  <c r="K456" i="32"/>
  <c r="E456" i="32"/>
  <c r="D456" i="32"/>
  <c r="H456" i="32"/>
  <c r="G456" i="32"/>
  <c r="L455" i="32"/>
  <c r="K455" i="32"/>
  <c r="E455" i="32"/>
  <c r="D455" i="32"/>
  <c r="H455" i="32"/>
  <c r="G455" i="32"/>
  <c r="L454" i="32"/>
  <c r="K454" i="32"/>
  <c r="E454" i="32"/>
  <c r="D454" i="32"/>
  <c r="H454" i="32"/>
  <c r="G454" i="32"/>
  <c r="L453" i="32"/>
  <c r="K453" i="32"/>
  <c r="E453" i="32"/>
  <c r="D453" i="32"/>
  <c r="H453" i="32"/>
  <c r="G453" i="32"/>
  <c r="F453" i="32" s="1"/>
  <c r="L452" i="32"/>
  <c r="K452" i="32"/>
  <c r="E452" i="32"/>
  <c r="D452" i="32"/>
  <c r="H452" i="32"/>
  <c r="G452" i="32"/>
  <c r="L451" i="32"/>
  <c r="K451" i="32"/>
  <c r="E451" i="32"/>
  <c r="D451" i="32"/>
  <c r="H451" i="32"/>
  <c r="G451" i="32"/>
  <c r="L450" i="32"/>
  <c r="K450" i="32"/>
  <c r="E450" i="32"/>
  <c r="D450" i="32"/>
  <c r="H450" i="32"/>
  <c r="G450" i="32"/>
  <c r="L449" i="32"/>
  <c r="K449" i="32"/>
  <c r="E449" i="32"/>
  <c r="D449" i="32"/>
  <c r="H449" i="32"/>
  <c r="G449" i="32"/>
  <c r="L448" i="32"/>
  <c r="K448" i="32"/>
  <c r="E448" i="32"/>
  <c r="D448" i="32"/>
  <c r="H448" i="32"/>
  <c r="G448" i="32"/>
  <c r="L447" i="32"/>
  <c r="K447" i="32"/>
  <c r="E447" i="32"/>
  <c r="D447" i="32"/>
  <c r="H447" i="32"/>
  <c r="G447" i="32"/>
  <c r="L446" i="32"/>
  <c r="K446" i="32"/>
  <c r="E446" i="32"/>
  <c r="D446" i="32"/>
  <c r="H446" i="32"/>
  <c r="F446" i="32" s="1"/>
  <c r="G446" i="32"/>
  <c r="L445" i="32"/>
  <c r="K445" i="32"/>
  <c r="E445" i="32"/>
  <c r="D445" i="32"/>
  <c r="H445" i="32"/>
  <c r="G445" i="32"/>
  <c r="F445" i="32" s="1"/>
  <c r="L444" i="32"/>
  <c r="K444" i="32"/>
  <c r="E444" i="32"/>
  <c r="D444" i="32"/>
  <c r="H444" i="32"/>
  <c r="G444" i="32"/>
  <c r="L443" i="32"/>
  <c r="K443" i="32"/>
  <c r="E443" i="32"/>
  <c r="D443" i="32"/>
  <c r="H443" i="32"/>
  <c r="G443" i="32"/>
  <c r="L442" i="32"/>
  <c r="K442" i="32"/>
  <c r="E442" i="32"/>
  <c r="D442" i="32"/>
  <c r="H442" i="32"/>
  <c r="G442" i="32"/>
  <c r="L441" i="32"/>
  <c r="K441" i="32"/>
  <c r="E441" i="32"/>
  <c r="D441" i="32"/>
  <c r="H441" i="32"/>
  <c r="G441" i="32"/>
  <c r="F441" i="32" s="1"/>
  <c r="L440" i="32"/>
  <c r="K440" i="32"/>
  <c r="E440" i="32"/>
  <c r="D440" i="32"/>
  <c r="H440" i="32"/>
  <c r="G440" i="32"/>
  <c r="L439" i="32"/>
  <c r="K439" i="32"/>
  <c r="E439" i="32"/>
  <c r="D439" i="32"/>
  <c r="H439" i="32"/>
  <c r="G439" i="32"/>
  <c r="L438" i="32"/>
  <c r="K438" i="32"/>
  <c r="E438" i="32"/>
  <c r="D438" i="32"/>
  <c r="H438" i="32"/>
  <c r="G438" i="32"/>
  <c r="L437" i="32"/>
  <c r="K437" i="32"/>
  <c r="E437" i="32"/>
  <c r="D437" i="32"/>
  <c r="H437" i="32"/>
  <c r="G437" i="32"/>
  <c r="L436" i="32"/>
  <c r="K436" i="32"/>
  <c r="E436" i="32"/>
  <c r="D436" i="32"/>
  <c r="H436" i="32"/>
  <c r="G436" i="32"/>
  <c r="L435" i="32"/>
  <c r="K435" i="32"/>
  <c r="E435" i="32"/>
  <c r="D435" i="32"/>
  <c r="H435" i="32"/>
  <c r="G435" i="32"/>
  <c r="L434" i="32"/>
  <c r="K434" i="32"/>
  <c r="E434" i="32"/>
  <c r="D434" i="32"/>
  <c r="H434" i="32"/>
  <c r="G434" i="32"/>
  <c r="L433" i="32"/>
  <c r="K433" i="32"/>
  <c r="E433" i="32"/>
  <c r="D433" i="32"/>
  <c r="H433" i="32"/>
  <c r="G433" i="32"/>
  <c r="L432" i="32"/>
  <c r="K432" i="32"/>
  <c r="E432" i="32"/>
  <c r="D432" i="32"/>
  <c r="H432" i="32"/>
  <c r="G432" i="32"/>
  <c r="L431" i="32"/>
  <c r="K431" i="32"/>
  <c r="E431" i="32"/>
  <c r="D431" i="32"/>
  <c r="H431" i="32"/>
  <c r="G431" i="32"/>
  <c r="L430" i="32"/>
  <c r="K430" i="32"/>
  <c r="E430" i="32"/>
  <c r="D430" i="32"/>
  <c r="H430" i="32"/>
  <c r="F430" i="32" s="1"/>
  <c r="G430" i="32"/>
  <c r="L429" i="32"/>
  <c r="K429" i="32"/>
  <c r="E429" i="32"/>
  <c r="D429" i="32"/>
  <c r="H429" i="32"/>
  <c r="G429" i="32"/>
  <c r="L428" i="32"/>
  <c r="K428" i="32"/>
  <c r="E428" i="32"/>
  <c r="D428" i="32"/>
  <c r="H428" i="32"/>
  <c r="G428" i="32"/>
  <c r="L427" i="32"/>
  <c r="K427" i="32"/>
  <c r="E427" i="32"/>
  <c r="D427" i="32"/>
  <c r="H427" i="32"/>
  <c r="G427" i="32"/>
  <c r="L426" i="32"/>
  <c r="K426" i="32"/>
  <c r="E426" i="32"/>
  <c r="D426" i="32"/>
  <c r="H426" i="32"/>
  <c r="G426" i="32"/>
  <c r="L425" i="32"/>
  <c r="K425" i="32"/>
  <c r="E425" i="32"/>
  <c r="D425" i="32"/>
  <c r="H425" i="32"/>
  <c r="G425" i="32"/>
  <c r="L424" i="32"/>
  <c r="K424" i="32"/>
  <c r="E424" i="32"/>
  <c r="D424" i="32"/>
  <c r="H424" i="32"/>
  <c r="G424" i="32"/>
  <c r="L423" i="32"/>
  <c r="K423" i="32"/>
  <c r="E423" i="32"/>
  <c r="D423" i="32"/>
  <c r="H423" i="32"/>
  <c r="G423" i="32"/>
  <c r="L422" i="32"/>
  <c r="K422" i="32"/>
  <c r="E422" i="32"/>
  <c r="D422" i="32"/>
  <c r="H422" i="32"/>
  <c r="G422" i="32"/>
  <c r="L421" i="32"/>
  <c r="K421" i="32"/>
  <c r="E421" i="32"/>
  <c r="D421" i="32"/>
  <c r="H421" i="32"/>
  <c r="G421" i="32"/>
  <c r="L420" i="32"/>
  <c r="K420" i="32"/>
  <c r="E420" i="32"/>
  <c r="D420" i="32"/>
  <c r="H420" i="32"/>
  <c r="G420" i="32"/>
  <c r="L419" i="32"/>
  <c r="K419" i="32"/>
  <c r="E419" i="32"/>
  <c r="D419" i="32"/>
  <c r="H419" i="32"/>
  <c r="G419" i="32"/>
  <c r="L418" i="32"/>
  <c r="K418" i="32"/>
  <c r="E418" i="32"/>
  <c r="D418" i="32"/>
  <c r="H418" i="32"/>
  <c r="F418" i="32" s="1"/>
  <c r="G418" i="32"/>
  <c r="L417" i="32"/>
  <c r="K417" i="32"/>
  <c r="E417" i="32"/>
  <c r="D417" i="32"/>
  <c r="H417" i="32"/>
  <c r="G417" i="32"/>
  <c r="L416" i="32"/>
  <c r="K416" i="32"/>
  <c r="E416" i="32"/>
  <c r="D416" i="32"/>
  <c r="H416" i="32"/>
  <c r="G416" i="32"/>
  <c r="L415" i="32"/>
  <c r="K415" i="32"/>
  <c r="E415" i="32"/>
  <c r="D415" i="32"/>
  <c r="H415" i="32"/>
  <c r="G415" i="32"/>
  <c r="L414" i="32"/>
  <c r="K414" i="32"/>
  <c r="E414" i="32"/>
  <c r="D414" i="32"/>
  <c r="H414" i="32"/>
  <c r="G414" i="32"/>
  <c r="L413" i="32"/>
  <c r="K413" i="32"/>
  <c r="E413" i="32"/>
  <c r="D413" i="32"/>
  <c r="H413" i="32"/>
  <c r="G413" i="32"/>
  <c r="L412" i="32"/>
  <c r="K412" i="32"/>
  <c r="E412" i="32"/>
  <c r="D412" i="32"/>
  <c r="H412" i="32"/>
  <c r="G412" i="32"/>
  <c r="L411" i="32"/>
  <c r="K411" i="32"/>
  <c r="E411" i="32"/>
  <c r="D411" i="32"/>
  <c r="H411" i="32"/>
  <c r="G411" i="32"/>
  <c r="L410" i="32"/>
  <c r="K410" i="32"/>
  <c r="E410" i="32"/>
  <c r="D410" i="32"/>
  <c r="H410" i="32"/>
  <c r="G410" i="32"/>
  <c r="L409" i="32"/>
  <c r="K409" i="32"/>
  <c r="E409" i="32"/>
  <c r="D409" i="32"/>
  <c r="H409" i="32"/>
  <c r="G409" i="32"/>
  <c r="L408" i="32"/>
  <c r="K408" i="32"/>
  <c r="E408" i="32"/>
  <c r="D408" i="32"/>
  <c r="H408" i="32"/>
  <c r="G408" i="32"/>
  <c r="L407" i="32"/>
  <c r="K407" i="32"/>
  <c r="E407" i="32"/>
  <c r="D407" i="32"/>
  <c r="H407" i="32"/>
  <c r="G407" i="32"/>
  <c r="L406" i="32"/>
  <c r="K406" i="32"/>
  <c r="E406" i="32"/>
  <c r="D406" i="32"/>
  <c r="H406" i="32"/>
  <c r="G406" i="32"/>
  <c r="L405" i="32"/>
  <c r="K405" i="32"/>
  <c r="E405" i="32"/>
  <c r="D405" i="32"/>
  <c r="H405" i="32"/>
  <c r="G405" i="32"/>
  <c r="L404" i="32"/>
  <c r="K404" i="32"/>
  <c r="E404" i="32"/>
  <c r="D404" i="32"/>
  <c r="H404" i="32"/>
  <c r="G404" i="32"/>
  <c r="L403" i="32"/>
  <c r="K403" i="32"/>
  <c r="E403" i="32"/>
  <c r="D403" i="32"/>
  <c r="H403" i="32"/>
  <c r="G403" i="32"/>
  <c r="L402" i="32"/>
  <c r="K402" i="32"/>
  <c r="E402" i="32"/>
  <c r="D402" i="32"/>
  <c r="H402" i="32"/>
  <c r="G402" i="32"/>
  <c r="L401" i="32"/>
  <c r="K401" i="32"/>
  <c r="E401" i="32"/>
  <c r="D401" i="32"/>
  <c r="H401" i="32"/>
  <c r="G401" i="32"/>
  <c r="L400" i="32"/>
  <c r="K400" i="32"/>
  <c r="E400" i="32"/>
  <c r="D400" i="32"/>
  <c r="H400" i="32"/>
  <c r="G400" i="32"/>
  <c r="L399" i="32"/>
  <c r="K399" i="32"/>
  <c r="E399" i="32"/>
  <c r="D399" i="32"/>
  <c r="H399" i="32"/>
  <c r="G399" i="32"/>
  <c r="L398" i="32"/>
  <c r="K398" i="32"/>
  <c r="E398" i="32"/>
  <c r="D398" i="32"/>
  <c r="H398" i="32"/>
  <c r="G398" i="32"/>
  <c r="L397" i="32"/>
  <c r="K397" i="32"/>
  <c r="E397" i="32"/>
  <c r="D397" i="32"/>
  <c r="H397" i="32"/>
  <c r="G397" i="32"/>
  <c r="F397" i="32" s="1"/>
  <c r="L396" i="32"/>
  <c r="K396" i="32"/>
  <c r="E396" i="32"/>
  <c r="D396" i="32"/>
  <c r="H396" i="32"/>
  <c r="G396" i="32"/>
  <c r="L395" i="32"/>
  <c r="K395" i="32"/>
  <c r="E395" i="32"/>
  <c r="D395" i="32"/>
  <c r="H395" i="32"/>
  <c r="G395" i="32"/>
  <c r="L394" i="32"/>
  <c r="K394" i="32"/>
  <c r="E394" i="32"/>
  <c r="D394" i="32"/>
  <c r="H394" i="32"/>
  <c r="G394" i="32"/>
  <c r="L393" i="32"/>
  <c r="K393" i="32"/>
  <c r="E393" i="32"/>
  <c r="D393" i="32"/>
  <c r="H393" i="32"/>
  <c r="G393" i="32"/>
  <c r="F393" i="32" s="1"/>
  <c r="L392" i="32"/>
  <c r="K392" i="32"/>
  <c r="E392" i="32"/>
  <c r="D392" i="32"/>
  <c r="H392" i="32"/>
  <c r="G392" i="32"/>
  <c r="L391" i="32"/>
  <c r="K391" i="32"/>
  <c r="E391" i="32"/>
  <c r="D391" i="32"/>
  <c r="H391" i="32"/>
  <c r="G391" i="32"/>
  <c r="L390" i="32"/>
  <c r="E390" i="32"/>
  <c r="D390" i="32"/>
  <c r="H390" i="32"/>
  <c r="G390" i="32"/>
  <c r="L389" i="32"/>
  <c r="E389" i="32"/>
  <c r="D389" i="32"/>
  <c r="H389" i="32"/>
  <c r="G389" i="32"/>
  <c r="L388" i="32"/>
  <c r="E388" i="32"/>
  <c r="D388" i="32"/>
  <c r="H388" i="32"/>
  <c r="G388" i="32"/>
  <c r="L387" i="32"/>
  <c r="E387" i="32"/>
  <c r="D387" i="32"/>
  <c r="H387" i="32"/>
  <c r="G387" i="32"/>
  <c r="F387" i="32" s="1"/>
  <c r="L386" i="32"/>
  <c r="E386" i="32"/>
  <c r="D386" i="32"/>
  <c r="H386" i="32"/>
  <c r="G386" i="32"/>
  <c r="L385" i="32"/>
  <c r="E385" i="32"/>
  <c r="D385" i="32"/>
  <c r="H385" i="32"/>
  <c r="G385" i="32"/>
  <c r="L384" i="32"/>
  <c r="E384" i="32"/>
  <c r="D384" i="32"/>
  <c r="H384" i="32"/>
  <c r="G384" i="32"/>
  <c r="L383" i="32"/>
  <c r="E383" i="32"/>
  <c r="D383" i="32"/>
  <c r="H383" i="32"/>
  <c r="G383" i="32"/>
  <c r="L382" i="32"/>
  <c r="E382" i="32"/>
  <c r="D382" i="32"/>
  <c r="H382" i="32"/>
  <c r="G382" i="32"/>
  <c r="L381" i="32"/>
  <c r="E381" i="32"/>
  <c r="D381" i="32"/>
  <c r="H381" i="32"/>
  <c r="G381" i="32"/>
  <c r="L380" i="32"/>
  <c r="E380" i="32"/>
  <c r="D380" i="32"/>
  <c r="H380" i="32"/>
  <c r="F380" i="32" s="1"/>
  <c r="G380" i="32"/>
  <c r="L379" i="32"/>
  <c r="E379" i="32"/>
  <c r="D379" i="32"/>
  <c r="H379" i="32"/>
  <c r="G379" i="32"/>
  <c r="F379" i="32" s="1"/>
  <c r="L378" i="32"/>
  <c r="E378" i="32"/>
  <c r="D378" i="32"/>
  <c r="H378" i="32"/>
  <c r="G378" i="32"/>
  <c r="L377" i="32"/>
  <c r="E377" i="32"/>
  <c r="D377" i="32"/>
  <c r="H377" i="32"/>
  <c r="G377" i="32"/>
  <c r="L376" i="32"/>
  <c r="E376" i="32"/>
  <c r="D376" i="32"/>
  <c r="H376" i="32"/>
  <c r="G376" i="32"/>
  <c r="L375" i="32"/>
  <c r="E375" i="32"/>
  <c r="D375" i="32"/>
  <c r="H375" i="32"/>
  <c r="G375" i="32"/>
  <c r="L374" i="32"/>
  <c r="E374" i="32"/>
  <c r="D374" i="32"/>
  <c r="H374" i="32"/>
  <c r="G374" i="32"/>
  <c r="L373" i="32"/>
  <c r="E373" i="32"/>
  <c r="D373" i="32"/>
  <c r="H373" i="32"/>
  <c r="G373" i="32"/>
  <c r="L372" i="32"/>
  <c r="E372" i="32"/>
  <c r="D372" i="32"/>
  <c r="H372" i="32"/>
  <c r="G372" i="32"/>
  <c r="L371" i="32"/>
  <c r="E371" i="32"/>
  <c r="D371" i="32"/>
  <c r="H371" i="32"/>
  <c r="G371" i="32"/>
  <c r="L370" i="32"/>
  <c r="E370" i="32"/>
  <c r="D370" i="32"/>
  <c r="H370" i="32"/>
  <c r="G370" i="32"/>
  <c r="L369" i="32"/>
  <c r="E369" i="32"/>
  <c r="D369" i="32"/>
  <c r="H369" i="32"/>
  <c r="G369" i="32"/>
  <c r="L368" i="32"/>
  <c r="E368" i="32"/>
  <c r="D368" i="32"/>
  <c r="H368" i="32"/>
  <c r="G368" i="32"/>
  <c r="L367" i="32"/>
  <c r="E367" i="32"/>
  <c r="D367" i="32"/>
  <c r="H367" i="32"/>
  <c r="G367" i="32"/>
  <c r="L366" i="32"/>
  <c r="E366" i="32"/>
  <c r="D366" i="32"/>
  <c r="H366" i="32"/>
  <c r="G366" i="32"/>
  <c r="L365" i="32"/>
  <c r="E365" i="32"/>
  <c r="D365" i="32"/>
  <c r="H365" i="32"/>
  <c r="G365" i="32"/>
  <c r="L364" i="32"/>
  <c r="E364" i="32"/>
  <c r="D364" i="32"/>
  <c r="H364" i="32"/>
  <c r="G364" i="32"/>
  <c r="L363" i="32"/>
  <c r="E363" i="32"/>
  <c r="D363" i="32"/>
  <c r="H363" i="32"/>
  <c r="G363" i="32"/>
  <c r="F363" i="32" s="1"/>
  <c r="L362" i="32"/>
  <c r="E362" i="32"/>
  <c r="D362" i="32"/>
  <c r="H362" i="32"/>
  <c r="G362" i="32"/>
  <c r="L361" i="32"/>
  <c r="E361" i="32"/>
  <c r="D361" i="32"/>
  <c r="H361" i="32"/>
  <c r="G361" i="32"/>
  <c r="L360" i="32"/>
  <c r="E360" i="32"/>
  <c r="D360" i="32"/>
  <c r="H360" i="32"/>
  <c r="F360" i="32" s="1"/>
  <c r="G360" i="32"/>
  <c r="L359" i="32"/>
  <c r="E359" i="32"/>
  <c r="D359" i="32"/>
  <c r="H359" i="32"/>
  <c r="G359" i="32"/>
  <c r="L358" i="32"/>
  <c r="E358" i="32"/>
  <c r="D358" i="32"/>
  <c r="H358" i="32"/>
  <c r="G358" i="32"/>
  <c r="L357" i="32"/>
  <c r="E357" i="32"/>
  <c r="D357" i="32"/>
  <c r="H357" i="32"/>
  <c r="G357" i="32"/>
  <c r="L356" i="32"/>
  <c r="E356" i="32"/>
  <c r="D356" i="32"/>
  <c r="H356" i="32"/>
  <c r="G356" i="32"/>
  <c r="L355" i="32"/>
  <c r="E355" i="32"/>
  <c r="D355" i="32"/>
  <c r="H355" i="32"/>
  <c r="G355" i="32"/>
  <c r="L354" i="32"/>
  <c r="E354" i="32"/>
  <c r="D354" i="32"/>
  <c r="H354" i="32"/>
  <c r="G354" i="32"/>
  <c r="L353" i="32"/>
  <c r="E353" i="32"/>
  <c r="D353" i="32"/>
  <c r="H353" i="32"/>
  <c r="G353" i="32"/>
  <c r="L352" i="32"/>
  <c r="E352" i="32"/>
  <c r="D352" i="32"/>
  <c r="H352" i="32"/>
  <c r="G352" i="32"/>
  <c r="L351" i="32"/>
  <c r="E351" i="32"/>
  <c r="D351" i="32"/>
  <c r="H351" i="32"/>
  <c r="G351" i="32"/>
  <c r="L350" i="32"/>
  <c r="E350" i="32"/>
  <c r="D350" i="32"/>
  <c r="H350" i="32"/>
  <c r="G350" i="32"/>
  <c r="L349" i="32"/>
  <c r="E349" i="32"/>
  <c r="D349" i="32"/>
  <c r="H349" i="32"/>
  <c r="G349" i="32"/>
  <c r="L348" i="32"/>
  <c r="E348" i="32"/>
  <c r="D348" i="32"/>
  <c r="H348" i="32"/>
  <c r="F348" i="32" s="1"/>
  <c r="G348" i="32"/>
  <c r="L347" i="32"/>
  <c r="E347" i="32"/>
  <c r="D347" i="32"/>
  <c r="H347" i="32"/>
  <c r="G347" i="32"/>
  <c r="F347" i="32" s="1"/>
  <c r="L346" i="32"/>
  <c r="E346" i="32"/>
  <c r="D346" i="32"/>
  <c r="H346" i="32"/>
  <c r="G346" i="32"/>
  <c r="L345" i="32"/>
  <c r="E345" i="32"/>
  <c r="D345" i="32"/>
  <c r="H345" i="32"/>
  <c r="G345" i="32"/>
  <c r="L344" i="32"/>
  <c r="E344" i="32"/>
  <c r="D344" i="32"/>
  <c r="H344" i="32"/>
  <c r="G344" i="32"/>
  <c r="L343" i="32"/>
  <c r="E343" i="32"/>
  <c r="D343" i="32"/>
  <c r="H343" i="32"/>
  <c r="G343" i="32"/>
  <c r="L342" i="32"/>
  <c r="E342" i="32"/>
  <c r="D342" i="32"/>
  <c r="H342" i="32"/>
  <c r="G342" i="32"/>
  <c r="L341" i="32"/>
  <c r="E341" i="32"/>
  <c r="D341" i="32"/>
  <c r="H341" i="32"/>
  <c r="G341" i="32"/>
  <c r="L340" i="32"/>
  <c r="E340" i="32"/>
  <c r="D340" i="32"/>
  <c r="H340" i="32"/>
  <c r="G340" i="32"/>
  <c r="L339" i="32"/>
  <c r="E339" i="32"/>
  <c r="D339" i="32"/>
  <c r="H339" i="32"/>
  <c r="G339" i="32"/>
  <c r="L338" i="32"/>
  <c r="E338" i="32"/>
  <c r="D338" i="32"/>
  <c r="H338" i="32"/>
  <c r="G338" i="32"/>
  <c r="F338" i="32" s="1"/>
  <c r="L337" i="32"/>
  <c r="E337" i="32"/>
  <c r="D337" i="32"/>
  <c r="H337" i="32"/>
  <c r="G337" i="32"/>
  <c r="L336" i="32"/>
  <c r="E336" i="32"/>
  <c r="D336" i="32"/>
  <c r="H336" i="32"/>
  <c r="G336" i="32"/>
  <c r="L335" i="32"/>
  <c r="E335" i="32"/>
  <c r="D335" i="32"/>
  <c r="H335" i="32"/>
  <c r="G335" i="32"/>
  <c r="L334" i="32"/>
  <c r="E334" i="32"/>
  <c r="D334" i="32"/>
  <c r="H334" i="32"/>
  <c r="G334" i="32"/>
  <c r="L333" i="32"/>
  <c r="E333" i="32"/>
  <c r="D333" i="32"/>
  <c r="H333" i="32"/>
  <c r="G333" i="32"/>
  <c r="L332" i="32"/>
  <c r="E332" i="32"/>
  <c r="D332" i="32"/>
  <c r="H332" i="32"/>
  <c r="F332" i="32" s="1"/>
  <c r="G332" i="32"/>
  <c r="L331" i="32"/>
  <c r="E331" i="32"/>
  <c r="D331" i="32"/>
  <c r="H331" i="32"/>
  <c r="G331" i="32"/>
  <c r="L330" i="32"/>
  <c r="E330" i="32"/>
  <c r="D330" i="32"/>
  <c r="H330" i="32"/>
  <c r="G330" i="32"/>
  <c r="L329" i="32"/>
  <c r="E329" i="32"/>
  <c r="D329" i="32"/>
  <c r="H329" i="32"/>
  <c r="F329" i="32" s="1"/>
  <c r="G329" i="32"/>
  <c r="L328" i="32"/>
  <c r="E328" i="32"/>
  <c r="D328" i="32"/>
  <c r="H328" i="32"/>
  <c r="G328" i="32"/>
  <c r="L327" i="32"/>
  <c r="E327" i="32"/>
  <c r="D327" i="32"/>
  <c r="H327" i="32"/>
  <c r="G327" i="32"/>
  <c r="L326" i="32"/>
  <c r="E326" i="32"/>
  <c r="D326" i="32"/>
  <c r="H326" i="32"/>
  <c r="G326" i="32"/>
  <c r="L325" i="32"/>
  <c r="E325" i="32"/>
  <c r="D325" i="32"/>
  <c r="H325" i="32"/>
  <c r="G325" i="32"/>
  <c r="L324" i="32"/>
  <c r="E324" i="32"/>
  <c r="D324" i="32"/>
  <c r="H324" i="32"/>
  <c r="F324" i="32" s="1"/>
  <c r="G324" i="32"/>
  <c r="L323" i="32"/>
  <c r="E323" i="32"/>
  <c r="D323" i="32"/>
  <c r="H323" i="32"/>
  <c r="G323" i="32"/>
  <c r="F323" i="32" s="1"/>
  <c r="L322" i="32"/>
  <c r="E322" i="32"/>
  <c r="D322" i="32"/>
  <c r="H322" i="32"/>
  <c r="G322" i="32"/>
  <c r="L321" i="32"/>
  <c r="E321" i="32"/>
  <c r="D321" i="32"/>
  <c r="H321" i="32"/>
  <c r="G321" i="32"/>
  <c r="L320" i="32"/>
  <c r="E320" i="32"/>
  <c r="D320" i="32"/>
  <c r="H320" i="32"/>
  <c r="G320" i="32"/>
  <c r="L319" i="32"/>
  <c r="E319" i="32"/>
  <c r="D319" i="32"/>
  <c r="H319" i="32"/>
  <c r="G319" i="32"/>
  <c r="L318" i="32"/>
  <c r="E318" i="32"/>
  <c r="D318" i="32"/>
  <c r="H318" i="32"/>
  <c r="G318" i="32"/>
  <c r="L317" i="32"/>
  <c r="E317" i="32"/>
  <c r="D317" i="32"/>
  <c r="H317" i="32"/>
  <c r="G317" i="32"/>
  <c r="L316" i="32"/>
  <c r="E316" i="32"/>
  <c r="D316" i="32"/>
  <c r="H316" i="32"/>
  <c r="G316" i="32"/>
  <c r="L315" i="32"/>
  <c r="E315" i="32"/>
  <c r="D315" i="32"/>
  <c r="H315" i="32"/>
  <c r="G315" i="32"/>
  <c r="L314" i="32"/>
  <c r="E314" i="32"/>
  <c r="D314" i="32"/>
  <c r="H314" i="32"/>
  <c r="G314" i="32"/>
  <c r="L313" i="32"/>
  <c r="E313" i="32"/>
  <c r="D313" i="32"/>
  <c r="H313" i="32"/>
  <c r="G313" i="32"/>
  <c r="L312" i="32"/>
  <c r="E312" i="32"/>
  <c r="D312" i="32"/>
  <c r="H312" i="32"/>
  <c r="F312" i="32" s="1"/>
  <c r="G312" i="32"/>
  <c r="L311" i="32"/>
  <c r="E311" i="32"/>
  <c r="D311" i="32"/>
  <c r="H311" i="32"/>
  <c r="G311" i="32"/>
  <c r="L310" i="32"/>
  <c r="E310" i="32"/>
  <c r="D310" i="32"/>
  <c r="H310" i="32"/>
  <c r="G310" i="32"/>
  <c r="L309" i="32"/>
  <c r="E309" i="32"/>
  <c r="D309" i="32"/>
  <c r="H309" i="32"/>
  <c r="G309" i="32"/>
  <c r="L308" i="32"/>
  <c r="E308" i="32"/>
  <c r="D308" i="32"/>
  <c r="H308" i="32"/>
  <c r="G308" i="32"/>
  <c r="L307" i="32"/>
  <c r="E307" i="32"/>
  <c r="D307" i="32"/>
  <c r="H307" i="32"/>
  <c r="G307" i="32"/>
  <c r="L306" i="32"/>
  <c r="E306" i="32"/>
  <c r="D306" i="32"/>
  <c r="H306" i="32"/>
  <c r="G306" i="32"/>
  <c r="L305" i="32"/>
  <c r="E305" i="32"/>
  <c r="D305" i="32"/>
  <c r="H305" i="32"/>
  <c r="G305" i="32"/>
  <c r="L304" i="32"/>
  <c r="E304" i="32"/>
  <c r="D304" i="32"/>
  <c r="H304" i="32"/>
  <c r="G304" i="32"/>
  <c r="L303" i="32"/>
  <c r="E303" i="32"/>
  <c r="D303" i="32"/>
  <c r="H303" i="32"/>
  <c r="G303" i="32"/>
  <c r="L302" i="32"/>
  <c r="E302" i="32"/>
  <c r="D302" i="32"/>
  <c r="H302" i="32"/>
  <c r="G302" i="32"/>
  <c r="L301" i="32"/>
  <c r="E301" i="32"/>
  <c r="D301" i="32"/>
  <c r="H301" i="32"/>
  <c r="G301" i="32"/>
  <c r="L300" i="32"/>
  <c r="E300" i="32"/>
  <c r="D300" i="32"/>
  <c r="H300" i="32"/>
  <c r="F300" i="32" s="1"/>
  <c r="G300" i="32"/>
  <c r="L299" i="32"/>
  <c r="E299" i="32"/>
  <c r="D299" i="32"/>
  <c r="H299" i="32"/>
  <c r="G299" i="32"/>
  <c r="F299" i="32" s="1"/>
  <c r="L298" i="32"/>
  <c r="E298" i="32"/>
  <c r="D298" i="32"/>
  <c r="H298" i="32"/>
  <c r="G298" i="32"/>
  <c r="L297" i="32"/>
  <c r="E297" i="32"/>
  <c r="D297" i="32"/>
  <c r="H297" i="32"/>
  <c r="G297" i="32"/>
  <c r="L296" i="32"/>
  <c r="E296" i="32"/>
  <c r="D296" i="32"/>
  <c r="H296" i="32"/>
  <c r="G296" i="32"/>
  <c r="L295" i="32"/>
  <c r="E295" i="32"/>
  <c r="D295" i="32"/>
  <c r="H295" i="32"/>
  <c r="G295" i="32"/>
  <c r="F295" i="32" s="1"/>
  <c r="L294" i="32"/>
  <c r="E294" i="32"/>
  <c r="D294" i="32"/>
  <c r="H294" i="32"/>
  <c r="G294" i="32"/>
  <c r="L293" i="32"/>
  <c r="E293" i="32"/>
  <c r="D293" i="32"/>
  <c r="H293" i="32"/>
  <c r="G293" i="32"/>
  <c r="L292" i="32"/>
  <c r="E292" i="32"/>
  <c r="D292" i="32"/>
  <c r="H292" i="32"/>
  <c r="F292" i="32" s="1"/>
  <c r="G292" i="32"/>
  <c r="L291" i="32"/>
  <c r="E291" i="32"/>
  <c r="D291" i="32"/>
  <c r="H291" i="32"/>
  <c r="G291" i="32"/>
  <c r="L290" i="32"/>
  <c r="E290" i="32"/>
  <c r="D290" i="32"/>
  <c r="H290" i="32"/>
  <c r="G290" i="32"/>
  <c r="L289" i="32"/>
  <c r="E289" i="32"/>
  <c r="D289" i="32"/>
  <c r="H289" i="32"/>
  <c r="G289" i="32"/>
  <c r="L288" i="32"/>
  <c r="E288" i="32"/>
  <c r="D288" i="32"/>
  <c r="H288" i="32"/>
  <c r="G288" i="32"/>
  <c r="L287" i="32"/>
  <c r="E287" i="32"/>
  <c r="D287" i="32"/>
  <c r="H287" i="32"/>
  <c r="G287" i="32"/>
  <c r="L286" i="32"/>
  <c r="E286" i="32"/>
  <c r="D286" i="32"/>
  <c r="H286" i="32"/>
  <c r="G286" i="32"/>
  <c r="L285" i="32"/>
  <c r="E285" i="32"/>
  <c r="D285" i="32"/>
  <c r="H285" i="32"/>
  <c r="G285" i="32"/>
  <c r="L284" i="32"/>
  <c r="E284" i="32"/>
  <c r="D284" i="32"/>
  <c r="H284" i="32"/>
  <c r="G284" i="32"/>
  <c r="L283" i="32"/>
  <c r="E283" i="32"/>
  <c r="D283" i="32"/>
  <c r="H283" i="32"/>
  <c r="G283" i="32"/>
  <c r="L282" i="32"/>
  <c r="E282" i="32"/>
  <c r="D282" i="32"/>
  <c r="H282" i="32"/>
  <c r="G282" i="32"/>
  <c r="L281" i="32"/>
  <c r="E281" i="32"/>
  <c r="D281" i="32"/>
  <c r="H281" i="32"/>
  <c r="G281" i="32"/>
  <c r="L280" i="32"/>
  <c r="E280" i="32"/>
  <c r="D280" i="32"/>
  <c r="H280" i="32"/>
  <c r="G280" i="32"/>
  <c r="L279" i="32"/>
  <c r="E279" i="32"/>
  <c r="D279" i="32"/>
  <c r="H279" i="32"/>
  <c r="G279" i="32"/>
  <c r="L278" i="32"/>
  <c r="E278" i="32"/>
  <c r="D278" i="32"/>
  <c r="H278" i="32"/>
  <c r="G278" i="32"/>
  <c r="L277" i="32"/>
  <c r="E277" i="32"/>
  <c r="D277" i="32"/>
  <c r="H277" i="32"/>
  <c r="G277" i="32"/>
  <c r="L276" i="32"/>
  <c r="E276" i="32"/>
  <c r="D276" i="32"/>
  <c r="H276" i="32"/>
  <c r="G276" i="32"/>
  <c r="L275" i="32"/>
  <c r="E275" i="32"/>
  <c r="D275" i="32"/>
  <c r="H275" i="32"/>
  <c r="G275" i="32"/>
  <c r="F275" i="32" s="1"/>
  <c r="L274" i="32"/>
  <c r="E274" i="32"/>
  <c r="D274" i="32"/>
  <c r="H274" i="32"/>
  <c r="G274" i="32"/>
  <c r="L273" i="32"/>
  <c r="E273" i="32"/>
  <c r="D273" i="32"/>
  <c r="H273" i="32"/>
  <c r="G273" i="32"/>
  <c r="L272" i="32"/>
  <c r="E272" i="32"/>
  <c r="D272" i="32"/>
  <c r="H272" i="32"/>
  <c r="G272" i="32"/>
  <c r="L271" i="32"/>
  <c r="E271" i="32"/>
  <c r="D271" i="32"/>
  <c r="H271" i="32"/>
  <c r="G271" i="32"/>
  <c r="F271" i="32" s="1"/>
  <c r="L270" i="32"/>
  <c r="E270" i="32"/>
  <c r="D270" i="32"/>
  <c r="H270" i="32"/>
  <c r="G270" i="32"/>
  <c r="L269" i="32"/>
  <c r="E269" i="32"/>
  <c r="D269" i="32"/>
  <c r="H269" i="32"/>
  <c r="G269" i="32"/>
  <c r="L268" i="32"/>
  <c r="E268" i="32"/>
  <c r="D268" i="32"/>
  <c r="H268" i="32"/>
  <c r="G268" i="32"/>
  <c r="L267" i="32"/>
  <c r="E267" i="32"/>
  <c r="D267" i="32"/>
  <c r="H267" i="32"/>
  <c r="G267" i="32"/>
  <c r="L266" i="32"/>
  <c r="E266" i="32"/>
  <c r="D266" i="32"/>
  <c r="H266" i="32"/>
  <c r="G266" i="32"/>
  <c r="L265" i="32"/>
  <c r="E265" i="32"/>
  <c r="D265" i="32"/>
  <c r="H265" i="32"/>
  <c r="G265" i="32"/>
  <c r="L264" i="32"/>
  <c r="E264" i="32"/>
  <c r="D264" i="32"/>
  <c r="H264" i="32"/>
  <c r="G264" i="32"/>
  <c r="L263" i="32"/>
  <c r="E263" i="32"/>
  <c r="D263" i="32"/>
  <c r="H263" i="32"/>
  <c r="G263" i="32"/>
  <c r="L262" i="32"/>
  <c r="E262" i="32"/>
  <c r="D262" i="32"/>
  <c r="H262" i="32"/>
  <c r="G262" i="32"/>
  <c r="L261" i="32"/>
  <c r="E261" i="32"/>
  <c r="D261" i="32"/>
  <c r="H261" i="32"/>
  <c r="G261" i="32"/>
  <c r="L260" i="32"/>
  <c r="E260" i="32"/>
  <c r="D260" i="32"/>
  <c r="H260" i="32"/>
  <c r="G260" i="32"/>
  <c r="L259" i="32"/>
  <c r="E259" i="32"/>
  <c r="D259" i="32"/>
  <c r="H259" i="32"/>
  <c r="G259" i="32"/>
  <c r="F259" i="32" s="1"/>
  <c r="L258" i="32"/>
  <c r="E258" i="32"/>
  <c r="D258" i="32"/>
  <c r="H258" i="32"/>
  <c r="G258" i="32"/>
  <c r="L257" i="32"/>
  <c r="E257" i="32"/>
  <c r="D257" i="32"/>
  <c r="H257" i="32"/>
  <c r="G257" i="32"/>
  <c r="L256" i="32"/>
  <c r="E256" i="32"/>
  <c r="D256" i="32"/>
  <c r="H256" i="32"/>
  <c r="G256" i="32"/>
  <c r="L255" i="32"/>
  <c r="E255" i="32"/>
  <c r="D255" i="32"/>
  <c r="H255" i="32"/>
  <c r="G255" i="32"/>
  <c r="L254" i="32"/>
  <c r="E254" i="32"/>
  <c r="D254" i="32"/>
  <c r="H254" i="32"/>
  <c r="G254" i="32"/>
  <c r="L253" i="32"/>
  <c r="E253" i="32"/>
  <c r="D253" i="32"/>
  <c r="H253" i="32"/>
  <c r="G253" i="32"/>
  <c r="L252" i="32"/>
  <c r="E252" i="32"/>
  <c r="D252" i="32"/>
  <c r="H252" i="32"/>
  <c r="F252" i="32" s="1"/>
  <c r="G252" i="32"/>
  <c r="L251" i="32"/>
  <c r="E251" i="32"/>
  <c r="D251" i="32"/>
  <c r="H251" i="32"/>
  <c r="G251" i="32"/>
  <c r="L250" i="32"/>
  <c r="E250" i="32"/>
  <c r="D250" i="32"/>
  <c r="H250" i="32"/>
  <c r="G250" i="32"/>
  <c r="L249" i="32"/>
  <c r="E249" i="32"/>
  <c r="D249" i="32"/>
  <c r="H249" i="32"/>
  <c r="G249" i="32"/>
  <c r="L248" i="32"/>
  <c r="E248" i="32"/>
  <c r="D248" i="32"/>
  <c r="H248" i="32"/>
  <c r="G248" i="32"/>
  <c r="L247" i="32"/>
  <c r="E247" i="32"/>
  <c r="D247" i="32"/>
  <c r="H247" i="32"/>
  <c r="G247" i="32"/>
  <c r="L246" i="32"/>
  <c r="E246" i="32"/>
  <c r="D246" i="32"/>
  <c r="H246" i="32"/>
  <c r="G246" i="32"/>
  <c r="L245" i="32"/>
  <c r="E245" i="32"/>
  <c r="D245" i="32"/>
  <c r="H245" i="32"/>
  <c r="G245" i="32"/>
  <c r="L244" i="32"/>
  <c r="E244" i="32"/>
  <c r="D244" i="32"/>
  <c r="H244" i="32"/>
  <c r="G244" i="32"/>
  <c r="L243" i="32"/>
  <c r="E243" i="32"/>
  <c r="D243" i="32"/>
  <c r="H243" i="32"/>
  <c r="G243" i="32"/>
  <c r="L242" i="32"/>
  <c r="E242" i="32"/>
  <c r="D242" i="32"/>
  <c r="H242" i="32"/>
  <c r="G242" i="32"/>
  <c r="L241" i="32"/>
  <c r="E241" i="32"/>
  <c r="D241" i="32"/>
  <c r="H241" i="32"/>
  <c r="G241" i="32"/>
  <c r="L240" i="32"/>
  <c r="E240" i="32"/>
  <c r="D240" i="32"/>
  <c r="H240" i="32"/>
  <c r="G240" i="32"/>
  <c r="L239" i="32"/>
  <c r="E239" i="32"/>
  <c r="D239" i="32"/>
  <c r="H239" i="32"/>
  <c r="G239" i="32"/>
  <c r="L238" i="32"/>
  <c r="E238" i="32"/>
  <c r="D238" i="32"/>
  <c r="H238" i="32"/>
  <c r="G238" i="32"/>
  <c r="L237" i="32"/>
  <c r="E237" i="32"/>
  <c r="D237" i="32"/>
  <c r="H237" i="32"/>
  <c r="G237" i="32"/>
  <c r="L236" i="32"/>
  <c r="E236" i="32"/>
  <c r="D236" i="32"/>
  <c r="H236" i="32"/>
  <c r="G236" i="32"/>
  <c r="L235" i="32"/>
  <c r="E235" i="32"/>
  <c r="D235" i="32"/>
  <c r="H235" i="32"/>
  <c r="G235" i="32"/>
  <c r="L234" i="32"/>
  <c r="E234" i="32"/>
  <c r="D234" i="32"/>
  <c r="H234" i="32"/>
  <c r="G234" i="32"/>
  <c r="L233" i="32"/>
  <c r="E233" i="32"/>
  <c r="D233" i="32"/>
  <c r="H233" i="32"/>
  <c r="G233" i="32"/>
  <c r="L232" i="32"/>
  <c r="E232" i="32"/>
  <c r="D232" i="32"/>
  <c r="H232" i="32"/>
  <c r="G232" i="32"/>
  <c r="L231" i="32"/>
  <c r="E231" i="32"/>
  <c r="D231" i="32"/>
  <c r="H231" i="32"/>
  <c r="G231" i="32"/>
  <c r="L230" i="32"/>
  <c r="E230" i="32"/>
  <c r="D230" i="32"/>
  <c r="H230" i="32"/>
  <c r="G230" i="32"/>
  <c r="L229" i="32"/>
  <c r="E229" i="32"/>
  <c r="D229" i="32"/>
  <c r="H229" i="32"/>
  <c r="G229" i="32"/>
  <c r="L228" i="32"/>
  <c r="E228" i="32"/>
  <c r="D228" i="32"/>
  <c r="H228" i="32"/>
  <c r="G228" i="32"/>
  <c r="L227" i="32"/>
  <c r="E227" i="32"/>
  <c r="D227" i="32"/>
  <c r="H227" i="32"/>
  <c r="G227" i="32"/>
  <c r="L226" i="32"/>
  <c r="E226" i="32"/>
  <c r="D226" i="32"/>
  <c r="H226" i="32"/>
  <c r="G226" i="32"/>
  <c r="L225" i="32"/>
  <c r="E225" i="32"/>
  <c r="D225" i="32"/>
  <c r="H225" i="32"/>
  <c r="G225" i="32"/>
  <c r="L224" i="32"/>
  <c r="E224" i="32"/>
  <c r="D224" i="32"/>
  <c r="H224" i="32"/>
  <c r="G224" i="32"/>
  <c r="L223" i="32"/>
  <c r="E223" i="32"/>
  <c r="D223" i="32"/>
  <c r="H223" i="32"/>
  <c r="G223" i="32"/>
  <c r="L222" i="32"/>
  <c r="E222" i="32"/>
  <c r="D222" i="32"/>
  <c r="H222" i="32"/>
  <c r="G222" i="32"/>
  <c r="L221" i="32"/>
  <c r="E221" i="32"/>
  <c r="D221" i="32"/>
  <c r="H221" i="32"/>
  <c r="G221" i="32"/>
  <c r="L220" i="32"/>
  <c r="E220" i="32"/>
  <c r="D220" i="32"/>
  <c r="H220" i="32"/>
  <c r="G220" i="32"/>
  <c r="L219" i="32"/>
  <c r="E219" i="32"/>
  <c r="D219" i="32"/>
  <c r="H219" i="32"/>
  <c r="G219" i="32"/>
  <c r="L218" i="32"/>
  <c r="E218" i="32"/>
  <c r="D218" i="32"/>
  <c r="H218" i="32"/>
  <c r="G218" i="32"/>
  <c r="L217" i="32"/>
  <c r="E217" i="32"/>
  <c r="D217" i="32"/>
  <c r="H217" i="32"/>
  <c r="G217" i="32"/>
  <c r="L216" i="32"/>
  <c r="E216" i="32"/>
  <c r="D216" i="32"/>
  <c r="H216" i="32"/>
  <c r="G216" i="32"/>
  <c r="L215" i="32"/>
  <c r="E215" i="32"/>
  <c r="D215" i="32"/>
  <c r="H215" i="32"/>
  <c r="G215" i="32"/>
  <c r="L214" i="32"/>
  <c r="E214" i="32"/>
  <c r="D214" i="32"/>
  <c r="H214" i="32"/>
  <c r="G214" i="32"/>
  <c r="L213" i="32"/>
  <c r="E213" i="32"/>
  <c r="D213" i="32"/>
  <c r="H213" i="32"/>
  <c r="G213" i="32"/>
  <c r="L212" i="32"/>
  <c r="E212" i="32"/>
  <c r="D212" i="32"/>
  <c r="H212" i="32"/>
  <c r="F212" i="32" s="1"/>
  <c r="G212" i="32"/>
  <c r="L211" i="32"/>
  <c r="E211" i="32"/>
  <c r="D211" i="32"/>
  <c r="H211" i="32"/>
  <c r="G211" i="32"/>
  <c r="L210" i="32"/>
  <c r="E210" i="32"/>
  <c r="D210" i="32"/>
  <c r="H210" i="32"/>
  <c r="G210" i="32"/>
  <c r="L209" i="32"/>
  <c r="E209" i="32"/>
  <c r="D209" i="32"/>
  <c r="H209" i="32"/>
  <c r="G209" i="32"/>
  <c r="L208" i="32"/>
  <c r="E208" i="32"/>
  <c r="D208" i="32"/>
  <c r="H208" i="32"/>
  <c r="G208" i="32"/>
  <c r="L207" i="32"/>
  <c r="E207" i="32"/>
  <c r="D207" i="32"/>
  <c r="H207" i="32"/>
  <c r="G207" i="32"/>
  <c r="L206" i="32"/>
  <c r="E206" i="32"/>
  <c r="D206" i="32"/>
  <c r="H206" i="32"/>
  <c r="G206" i="32"/>
  <c r="L205" i="32"/>
  <c r="E205" i="32"/>
  <c r="D205" i="32"/>
  <c r="H205" i="32"/>
  <c r="G205" i="32"/>
  <c r="L204" i="32"/>
  <c r="E204" i="32"/>
  <c r="D204" i="32"/>
  <c r="H204" i="32"/>
  <c r="G204" i="32"/>
  <c r="L203" i="32"/>
  <c r="E203" i="32"/>
  <c r="D203" i="32"/>
  <c r="H203" i="32"/>
  <c r="G203" i="32"/>
  <c r="L201" i="32"/>
  <c r="H201" i="32"/>
  <c r="G201" i="32"/>
  <c r="L156" i="32"/>
  <c r="K156" i="32"/>
  <c r="E156" i="32"/>
  <c r="D156" i="32"/>
  <c r="H156" i="32"/>
  <c r="G156" i="32"/>
  <c r="L155" i="32"/>
  <c r="K155" i="32"/>
  <c r="E155" i="32"/>
  <c r="D155" i="32"/>
  <c r="H155" i="32"/>
  <c r="G155" i="32"/>
  <c r="L154" i="32"/>
  <c r="K154" i="32"/>
  <c r="E154" i="32"/>
  <c r="D154" i="32"/>
  <c r="H154" i="32"/>
  <c r="G154" i="32"/>
  <c r="L153" i="32"/>
  <c r="K153" i="32"/>
  <c r="E153" i="32"/>
  <c r="D153" i="32"/>
  <c r="H153" i="32"/>
  <c r="G153" i="32"/>
  <c r="L152" i="32"/>
  <c r="K152" i="32"/>
  <c r="E152" i="32"/>
  <c r="D152" i="32"/>
  <c r="H152" i="32"/>
  <c r="G152" i="32"/>
  <c r="L151" i="32"/>
  <c r="K151" i="32"/>
  <c r="E151" i="32"/>
  <c r="D151" i="32"/>
  <c r="H151" i="32"/>
  <c r="G151" i="32"/>
  <c r="L150" i="32"/>
  <c r="K150" i="32"/>
  <c r="K157" i="32" s="1"/>
  <c r="D150" i="32"/>
  <c r="H150" i="32"/>
  <c r="G150" i="32"/>
  <c r="L148" i="32"/>
  <c r="K148" i="32"/>
  <c r="E148" i="32"/>
  <c r="D148" i="32"/>
  <c r="H148" i="32"/>
  <c r="G148" i="32"/>
  <c r="L147" i="32"/>
  <c r="K147" i="32"/>
  <c r="E147" i="32"/>
  <c r="D147" i="32"/>
  <c r="H147" i="32"/>
  <c r="G147" i="32"/>
  <c r="L146" i="32"/>
  <c r="K146" i="32"/>
  <c r="E146" i="32"/>
  <c r="D146" i="32"/>
  <c r="H146" i="32"/>
  <c r="G146" i="32"/>
  <c r="L145" i="32"/>
  <c r="K145" i="32"/>
  <c r="E145" i="32"/>
  <c r="D145" i="32"/>
  <c r="H145" i="32"/>
  <c r="G145" i="32"/>
  <c r="L144" i="32"/>
  <c r="K144" i="32"/>
  <c r="E144" i="32"/>
  <c r="H144" i="32"/>
  <c r="G144" i="32"/>
  <c r="G149" i="32" s="1"/>
  <c r="L142" i="32"/>
  <c r="K142" i="32"/>
  <c r="E142" i="32"/>
  <c r="D142" i="32"/>
  <c r="H142" i="32"/>
  <c r="G142" i="32"/>
  <c r="L141" i="32"/>
  <c r="K141" i="32"/>
  <c r="E141" i="32"/>
  <c r="D141" i="32"/>
  <c r="H141" i="32"/>
  <c r="G141" i="32"/>
  <c r="L140" i="32"/>
  <c r="K140" i="32"/>
  <c r="E140" i="32"/>
  <c r="D140" i="32"/>
  <c r="H140" i="32"/>
  <c r="G140" i="32"/>
  <c r="L139" i="32"/>
  <c r="K139" i="32"/>
  <c r="E139" i="32"/>
  <c r="D139" i="32"/>
  <c r="H139" i="32"/>
  <c r="G139" i="32"/>
  <c r="L138" i="32"/>
  <c r="K138" i="32"/>
  <c r="E138" i="32"/>
  <c r="D138" i="32"/>
  <c r="H138" i="32"/>
  <c r="G138" i="32"/>
  <c r="L137" i="32"/>
  <c r="K137" i="32"/>
  <c r="E137" i="32"/>
  <c r="D137" i="32"/>
  <c r="H137" i="32"/>
  <c r="G137" i="32"/>
  <c r="L136" i="32"/>
  <c r="K136" i="32"/>
  <c r="E136" i="32"/>
  <c r="H136" i="32"/>
  <c r="G136" i="32"/>
  <c r="D498" i="32"/>
  <c r="D201" i="32"/>
  <c r="F447" i="32"/>
  <c r="F455" i="32"/>
  <c r="F479" i="32"/>
  <c r="F263" i="32"/>
  <c r="F429" i="32"/>
  <c r="F496" i="32"/>
  <c r="F256" i="32"/>
  <c r="F288" i="32"/>
  <c r="F296" i="32"/>
  <c r="F470" i="32" l="1"/>
  <c r="H149" i="32"/>
  <c r="L157" i="32"/>
  <c r="F94" i="32"/>
  <c r="F134" i="32"/>
  <c r="G200" i="32"/>
  <c r="H200" i="32"/>
  <c r="K143" i="32"/>
  <c r="K149" i="32"/>
  <c r="L200" i="32"/>
  <c r="F298" i="32"/>
  <c r="F314" i="32"/>
  <c r="F346" i="32"/>
  <c r="F362" i="32"/>
  <c r="F500" i="32"/>
  <c r="F50" i="32"/>
  <c r="F66" i="32"/>
  <c r="F122" i="32"/>
  <c r="F130" i="32"/>
  <c r="G157" i="32"/>
  <c r="H157" i="32"/>
  <c r="F217" i="32"/>
  <c r="F233" i="32"/>
  <c r="F249" i="32"/>
  <c r="F289" i="32"/>
  <c r="F305" i="32"/>
  <c r="F313" i="32"/>
  <c r="F321" i="32"/>
  <c r="F337" i="32"/>
  <c r="F345" i="32"/>
  <c r="F353" i="32"/>
  <c r="F369" i="32"/>
  <c r="F377" i="32"/>
  <c r="F394" i="32"/>
  <c r="F398" i="32"/>
  <c r="F402" i="32"/>
  <c r="F406" i="32"/>
  <c r="F410" i="32"/>
  <c r="F414" i="32"/>
  <c r="F422" i="32"/>
  <c r="F426" i="32"/>
  <c r="F434" i="32"/>
  <c r="F450" i="32"/>
  <c r="F458" i="32"/>
  <c r="F478" i="32"/>
  <c r="F490" i="32"/>
  <c r="K200" i="32"/>
  <c r="F160" i="32"/>
  <c r="F140" i="32"/>
  <c r="F391" i="32"/>
  <c r="F395" i="32"/>
  <c r="F399" i="32"/>
  <c r="F403" i="32"/>
  <c r="F407" i="32"/>
  <c r="F411" i="32"/>
  <c r="F415" i="32"/>
  <c r="F419" i="32"/>
  <c r="F423" i="32"/>
  <c r="F427" i="32"/>
  <c r="F431" i="32"/>
  <c r="F435" i="32"/>
  <c r="F439" i="32"/>
  <c r="F459" i="32"/>
  <c r="F110" i="32"/>
  <c r="F152" i="32"/>
  <c r="F131" i="32"/>
  <c r="F35" i="32"/>
  <c r="F185" i="32"/>
  <c r="F177" i="32"/>
  <c r="F173" i="32"/>
  <c r="F169" i="32"/>
  <c r="F165" i="32"/>
  <c r="F502" i="32"/>
  <c r="F278" i="32"/>
  <c r="F326" i="32"/>
  <c r="F401" i="32"/>
  <c r="F405" i="32"/>
  <c r="F413" i="32"/>
  <c r="F417" i="32"/>
  <c r="F425" i="32"/>
  <c r="F489" i="32"/>
  <c r="J26" i="32"/>
  <c r="E26" i="32" s="1"/>
  <c r="F155" i="32"/>
  <c r="F499" i="32"/>
  <c r="F112" i="32"/>
  <c r="F198" i="32"/>
  <c r="F176" i="32"/>
  <c r="F172" i="32"/>
  <c r="F168" i="32"/>
  <c r="F164" i="32"/>
  <c r="J25" i="32"/>
  <c r="F209" i="32"/>
  <c r="F381" i="32"/>
  <c r="F389" i="32"/>
  <c r="F416" i="32"/>
  <c r="F480" i="32"/>
  <c r="F488" i="32"/>
  <c r="I26" i="32"/>
  <c r="J27" i="32"/>
  <c r="E27" i="32" s="1"/>
  <c r="I25" i="32"/>
  <c r="F91" i="32"/>
  <c r="I27" i="32"/>
  <c r="D27" i="32" s="1"/>
  <c r="F531"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F211" i="32"/>
  <c r="F231" i="32"/>
  <c r="F253" i="32"/>
  <c r="F267" i="32"/>
  <c r="F281" i="32"/>
  <c r="F366" i="32"/>
  <c r="F476"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149" i="32" s="1"/>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G143" i="32"/>
  <c r="F228" i="32"/>
  <c r="F234" i="32"/>
  <c r="F40" i="32"/>
  <c r="F80" i="32"/>
  <c r="F81" i="32"/>
  <c r="F82" i="32"/>
  <c r="F92" i="32"/>
  <c r="F118" i="32"/>
  <c r="F119" i="32"/>
  <c r="F121"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G27" i="32"/>
  <c r="F351" i="32"/>
  <c r="F218" i="32"/>
  <c r="F376" i="32"/>
  <c r="F47" i="32"/>
  <c r="F515" i="32"/>
  <c r="F528" i="32"/>
  <c r="F524" i="32"/>
  <c r="F163" i="32"/>
  <c r="H26" i="32"/>
  <c r="F322" i="32"/>
  <c r="F334" i="32"/>
  <c r="F49" i="32"/>
  <c r="L149" i="32"/>
  <c r="F214" i="32"/>
  <c r="F261" i="32"/>
  <c r="F287" i="32"/>
  <c r="F290" i="32"/>
  <c r="F302" i="32"/>
  <c r="F340" i="32"/>
  <c r="F33" i="32"/>
  <c r="F202" i="32"/>
  <c r="D497" i="32"/>
  <c r="E520" i="32"/>
  <c r="F83" i="32"/>
  <c r="F88" i="32"/>
  <c r="F120" i="32"/>
  <c r="L26" i="32"/>
  <c r="H27" i="32"/>
  <c r="E149" i="32"/>
  <c r="F517" i="32"/>
  <c r="F512" i="32"/>
  <c r="F508" i="32"/>
  <c r="D520" i="32"/>
  <c r="D144" i="32"/>
  <c r="D149" i="32" s="1"/>
  <c r="F230" i="32"/>
  <c r="F262" i="32"/>
  <c r="F55" i="32"/>
  <c r="H143" i="32"/>
  <c r="F148" i="32"/>
  <c r="F215" i="32"/>
  <c r="F247" i="32"/>
  <c r="F254" i="32"/>
  <c r="F286" i="32"/>
  <c r="F318" i="32"/>
  <c r="F350" i="32"/>
  <c r="F64" i="32"/>
  <c r="F518" i="32"/>
  <c r="F513" i="32"/>
  <c r="F509" i="32"/>
  <c r="F197" i="32"/>
  <c r="F239" i="32"/>
  <c r="F95" i="32"/>
  <c r="F111" i="32"/>
  <c r="F127" i="32"/>
  <c r="E143" i="32"/>
  <c r="F146" i="32"/>
  <c r="F206" i="32"/>
  <c r="F245" i="32"/>
  <c r="F277" i="32"/>
  <c r="F309" i="32"/>
  <c r="F341" i="32"/>
  <c r="F384" i="32"/>
  <c r="F385" i="32"/>
  <c r="F37" i="32"/>
  <c r="F39" i="32"/>
  <c r="F71" i="32"/>
  <c r="F526" i="32"/>
  <c r="F522" i="32"/>
  <c r="F507" i="32"/>
  <c r="F199" i="32"/>
  <c r="F195" i="32"/>
  <c r="F184" i="32"/>
  <c r="F180" i="32"/>
  <c r="F514" i="32"/>
  <c r="F145" i="32"/>
  <c r="D157" i="32"/>
  <c r="F501" i="32"/>
  <c r="H25" i="32"/>
  <c r="L25" i="32"/>
  <c r="F150" i="32"/>
  <c r="F205" i="32"/>
  <c r="L143" i="32"/>
  <c r="E201" i="32"/>
  <c r="E497" i="32" s="1"/>
  <c r="F238" i="32"/>
  <c r="K26" i="32"/>
  <c r="E159" i="32"/>
  <c r="E200" i="32" s="1"/>
  <c r="F158" i="32"/>
  <c r="L135" i="32"/>
  <c r="D532" i="32"/>
  <c r="K25" i="32"/>
  <c r="G25" i="32"/>
  <c r="F196" i="32"/>
  <c r="F29" i="32"/>
  <c r="G135" i="32"/>
  <c r="H135" i="32"/>
  <c r="F31" i="32"/>
  <c r="F181" i="32"/>
  <c r="K27" i="32"/>
  <c r="D37" i="32"/>
  <c r="D135" i="32" s="1"/>
  <c r="L27" i="32"/>
  <c r="E35" i="32"/>
  <c r="E135" i="32" s="1"/>
  <c r="F186" i="32"/>
  <c r="F182" i="32"/>
  <c r="F178" i="32"/>
  <c r="D187" i="32"/>
  <c r="D200" i="32" s="1"/>
  <c r="K135" i="32"/>
  <c r="E532" i="32"/>
  <c r="F188" i="32"/>
  <c r="F183" i="32"/>
  <c r="F175" i="32"/>
  <c r="G26" i="32"/>
  <c r="D26" i="32"/>
  <c r="F521" i="32"/>
  <c r="P16" i="32"/>
  <c r="Q10" i="21" l="1"/>
  <c r="C20" i="42" s="1"/>
  <c r="F532" i="32"/>
  <c r="F143" i="32"/>
  <c r="F26" i="32"/>
  <c r="F157" i="32"/>
  <c r="F27" i="32"/>
  <c r="F497" i="32"/>
  <c r="F520"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E14" i="32" l="1"/>
  <c r="E16" i="32" s="1"/>
  <c r="D16" i="32"/>
  <c r="F14" i="32" l="1"/>
  <c r="F15" i="32" s="1"/>
  <c r="F16" i="32" s="1"/>
  <c r="G12" i="50" l="1"/>
  <c r="G14" i="50" s="1"/>
  <c r="F25" i="50" s="1"/>
  <c r="F43" i="50" l="1"/>
  <c r="G43" i="50" s="1"/>
  <c r="K43" i="50"/>
  <c r="J43" i="50"/>
  <c r="I43" i="50"/>
  <c r="H43" i="50"/>
  <c r="F27" i="50"/>
  <c r="F28" i="50" s="1"/>
  <c r="F29" i="50" s="1"/>
  <c r="F32" i="50" s="1"/>
  <c r="F45" i="50" s="1"/>
  <c r="D24" i="56" l="1"/>
  <c r="G26" i="50"/>
  <c r="G27" i="50"/>
  <c r="G28" i="50" s="1"/>
  <c r="G29" i="50" s="1"/>
  <c r="F30" i="50" l="1"/>
  <c r="F31" i="50" s="1"/>
  <c r="F44" i="50" s="1"/>
  <c r="G30" i="50"/>
  <c r="G31" i="50" s="1"/>
  <c r="G32" i="50"/>
  <c r="G33" i="50" l="1"/>
  <c r="K44" i="50"/>
  <c r="G44" i="50"/>
  <c r="J44" i="50"/>
  <c r="D8" i="56"/>
  <c r="D7" i="46"/>
  <c r="I44" i="50"/>
  <c r="H44" i="50"/>
  <c r="D25" i="56"/>
  <c r="K25" i="56" s="1"/>
  <c r="D8" i="46"/>
  <c r="D9" i="56"/>
  <c r="F33" i="50"/>
  <c r="J45" i="50" l="1"/>
  <c r="F46" i="50"/>
  <c r="E64" i="50" s="1"/>
  <c r="F64" i="50" s="1"/>
  <c r="D10" i="56"/>
  <c r="H7" i="46"/>
  <c r="H8" i="56"/>
  <c r="H25" i="56"/>
  <c r="O25" i="56" s="1"/>
  <c r="D26" i="56"/>
  <c r="K24" i="56"/>
  <c r="K26" i="56" s="1"/>
  <c r="K12" i="56" s="1"/>
  <c r="E8" i="56"/>
  <c r="E7" i="46"/>
  <c r="E25" i="56"/>
  <c r="L25" i="56" s="1"/>
  <c r="G8" i="56"/>
  <c r="G7" i="46"/>
  <c r="G25" i="56"/>
  <c r="N25" i="56" s="1"/>
  <c r="H8" i="46"/>
  <c r="H9" i="56"/>
  <c r="H24" i="56"/>
  <c r="F8" i="56"/>
  <c r="F7" i="46"/>
  <c r="F25" i="56"/>
  <c r="M25" i="56" s="1"/>
  <c r="D9" i="46"/>
  <c r="I8" i="56"/>
  <c r="I7" i="46"/>
  <c r="I25" i="56"/>
  <c r="P25" i="56" s="1"/>
  <c r="K45" i="50"/>
  <c r="H45" i="50"/>
  <c r="I45" i="50"/>
  <c r="G45" i="50"/>
  <c r="K46" i="50" l="1"/>
  <c r="I8" i="42" s="1"/>
  <c r="J46" i="50"/>
  <c r="G8" i="47" s="1"/>
  <c r="D12" i="56"/>
  <c r="D32" i="56"/>
  <c r="D33" i="56" s="1"/>
  <c r="D13" i="56" s="1"/>
  <c r="D8" i="42"/>
  <c r="D14" i="42" s="1"/>
  <c r="E65" i="50"/>
  <c r="F65" i="50" s="1"/>
  <c r="F66" i="50" s="1"/>
  <c r="K15" i="21" s="1"/>
  <c r="L15" i="21" s="1"/>
  <c r="C8" i="47"/>
  <c r="E9" i="56"/>
  <c r="E8" i="46"/>
  <c r="E24" i="56"/>
  <c r="H8" i="47"/>
  <c r="H26" i="56"/>
  <c r="H32" i="56" s="1"/>
  <c r="H33" i="56" s="1"/>
  <c r="O24" i="56"/>
  <c r="O26" i="56" s="1"/>
  <c r="G9" i="56"/>
  <c r="G8" i="46"/>
  <c r="G24" i="56"/>
  <c r="I46" i="50"/>
  <c r="G46" i="50"/>
  <c r="H10" i="56"/>
  <c r="H9" i="46"/>
  <c r="F9" i="56"/>
  <c r="F8" i="46"/>
  <c r="F24" i="56"/>
  <c r="H46" i="50"/>
  <c r="I9" i="56"/>
  <c r="I8" i="46"/>
  <c r="I24" i="56"/>
  <c r="H8" i="42" l="1"/>
  <c r="D39" i="46"/>
  <c r="C13" i="47"/>
  <c r="D15" i="42"/>
  <c r="D13" i="42"/>
  <c r="D119" i="46" s="1"/>
  <c r="K119" i="46" s="1"/>
  <c r="K120" i="46" s="1"/>
  <c r="K22" i="46" s="1"/>
  <c r="I15" i="21"/>
  <c r="N15" i="21" s="1"/>
  <c r="P15" i="21" s="1"/>
  <c r="C22" i="42" s="1"/>
  <c r="F9" i="46"/>
  <c r="E10" i="56"/>
  <c r="E9" i="46"/>
  <c r="G9" i="46"/>
  <c r="I10" i="56"/>
  <c r="G10" i="56"/>
  <c r="F8" i="47"/>
  <c r="G8" i="42"/>
  <c r="G26" i="56"/>
  <c r="G32" i="56" s="1"/>
  <c r="G33" i="56" s="1"/>
  <c r="N24" i="56"/>
  <c r="N26" i="56" s="1"/>
  <c r="H34" i="56"/>
  <c r="H13" i="56"/>
  <c r="E8" i="47"/>
  <c r="F8" i="42"/>
  <c r="H27" i="56"/>
  <c r="H12" i="56"/>
  <c r="I26" i="56"/>
  <c r="I32" i="56" s="1"/>
  <c r="I33" i="56" s="1"/>
  <c r="P24" i="56"/>
  <c r="P26" i="56" s="1"/>
  <c r="F26" i="56"/>
  <c r="F32" i="56" s="1"/>
  <c r="F33" i="56" s="1"/>
  <c r="M24" i="56"/>
  <c r="M26" i="56" s="1"/>
  <c r="I9" i="46"/>
  <c r="D8" i="47"/>
  <c r="E8" i="42"/>
  <c r="E13" i="42" s="1"/>
  <c r="O12" i="56"/>
  <c r="O27" i="56"/>
  <c r="F10" i="56"/>
  <c r="E26" i="56"/>
  <c r="E32" i="56" s="1"/>
  <c r="E33" i="56" s="1"/>
  <c r="L24" i="56"/>
  <c r="L26" i="56" s="1"/>
  <c r="D160" i="46"/>
  <c r="D21" i="42"/>
  <c r="D132" i="46"/>
  <c r="D20" i="42" l="1"/>
  <c r="D146" i="46"/>
  <c r="D147" i="46" s="1"/>
  <c r="D26" i="46" s="1"/>
  <c r="D17" i="42"/>
  <c r="D184" i="46"/>
  <c r="K184" i="46" s="1"/>
  <c r="D113" i="46"/>
  <c r="D114" i="46" s="1"/>
  <c r="D21" i="46" s="1"/>
  <c r="C10" i="47"/>
  <c r="D16" i="42"/>
  <c r="D153" i="46"/>
  <c r="K153" i="46" s="1"/>
  <c r="K154" i="46" s="1"/>
  <c r="K27" i="46" s="1"/>
  <c r="D139" i="46"/>
  <c r="D140" i="46" s="1"/>
  <c r="D25" i="46" s="1"/>
  <c r="D177" i="46"/>
  <c r="K177" i="46" s="1"/>
  <c r="K178" i="46" s="1"/>
  <c r="K30" i="46" s="1"/>
  <c r="D107" i="46"/>
  <c r="D108" i="46" s="1"/>
  <c r="D20" i="46" s="1"/>
  <c r="D64" i="46"/>
  <c r="D71" i="46" s="1"/>
  <c r="E194" i="46"/>
  <c r="L194" i="46" s="1"/>
  <c r="E193" i="46"/>
  <c r="L193" i="46" s="1"/>
  <c r="E55" i="56"/>
  <c r="E48" i="46"/>
  <c r="D40" i="46"/>
  <c r="D41" i="46" s="1"/>
  <c r="D11" i="46" s="1"/>
  <c r="F13" i="42"/>
  <c r="F56" i="46" s="1"/>
  <c r="F57" i="46" s="1"/>
  <c r="F13" i="46" s="1"/>
  <c r="D39" i="56"/>
  <c r="D193" i="46"/>
  <c r="D194" i="46"/>
  <c r="K194" i="46" s="1"/>
  <c r="D55" i="56"/>
  <c r="D56" i="56" s="1"/>
  <c r="D16" i="56" s="1"/>
  <c r="D48" i="46"/>
  <c r="D49" i="46" s="1"/>
  <c r="D12" i="46" s="1"/>
  <c r="D185" i="46"/>
  <c r="K185" i="46" s="1"/>
  <c r="D125" i="46"/>
  <c r="K125" i="46" s="1"/>
  <c r="K126" i="46" s="1"/>
  <c r="K23" i="46" s="1"/>
  <c r="D56" i="46"/>
  <c r="D57" i="46" s="1"/>
  <c r="D13" i="46" s="1"/>
  <c r="D22" i="42"/>
  <c r="P17" i="21"/>
  <c r="E68" i="47"/>
  <c r="E177" i="46"/>
  <c r="L177" i="46" s="1"/>
  <c r="E56" i="46"/>
  <c r="E57" i="46" s="1"/>
  <c r="E13" i="46" s="1"/>
  <c r="E14" i="42"/>
  <c r="F14" i="42" s="1"/>
  <c r="E15" i="42"/>
  <c r="F15" i="42" s="1"/>
  <c r="E132" i="46"/>
  <c r="E12" i="56"/>
  <c r="E27" i="56"/>
  <c r="P27" i="56"/>
  <c r="P12" i="56"/>
  <c r="G27" i="56"/>
  <c r="G12" i="56"/>
  <c r="M12" i="56"/>
  <c r="M27" i="56"/>
  <c r="I13" i="56"/>
  <c r="I34" i="56"/>
  <c r="E13" i="56"/>
  <c r="E34" i="56"/>
  <c r="F13" i="56"/>
  <c r="F34" i="56"/>
  <c r="I12" i="56"/>
  <c r="I27" i="56"/>
  <c r="G13" i="56"/>
  <c r="G34" i="56"/>
  <c r="L27" i="56"/>
  <c r="L12" i="56"/>
  <c r="F27" i="56"/>
  <c r="F12" i="56"/>
  <c r="N12" i="56"/>
  <c r="N27" i="56"/>
  <c r="E185" i="46"/>
  <c r="L185" i="46" s="1"/>
  <c r="E160" i="46"/>
  <c r="E153" i="46"/>
  <c r="L153" i="46" s="1"/>
  <c r="E139" i="46"/>
  <c r="E64" i="46"/>
  <c r="E119" i="46"/>
  <c r="L119" i="46" s="1"/>
  <c r="L120" i="46" s="1"/>
  <c r="L121" i="46" s="1"/>
  <c r="E146" i="46"/>
  <c r="E147" i="46" s="1"/>
  <c r="E125" i="46"/>
  <c r="L125" i="46" s="1"/>
  <c r="L126" i="46" s="1"/>
  <c r="E113" i="46"/>
  <c r="E114" i="46" s="1"/>
  <c r="E184" i="46"/>
  <c r="E107" i="46"/>
  <c r="E108" i="46" s="1"/>
  <c r="F153" i="46"/>
  <c r="M153" i="46" s="1"/>
  <c r="D78" i="46"/>
  <c r="D186" i="46"/>
  <c r="D31" i="46" s="1"/>
  <c r="D65" i="46"/>
  <c r="D14" i="46" s="1"/>
  <c r="D120" i="46"/>
  <c r="D22" i="46" s="1"/>
  <c r="D10" i="47"/>
  <c r="D13" i="47" s="1"/>
  <c r="D168" i="46"/>
  <c r="E20" i="42"/>
  <c r="E49" i="46"/>
  <c r="D26" i="42"/>
  <c r="E16" i="42"/>
  <c r="D14" i="47" s="1"/>
  <c r="D178" i="46"/>
  <c r="D133" i="46"/>
  <c r="K139" i="46" l="1"/>
  <c r="K140" i="46" s="1"/>
  <c r="K25" i="46" s="1"/>
  <c r="K186" i="46"/>
  <c r="K31" i="46" s="1"/>
  <c r="D15" i="47"/>
  <c r="C14" i="47"/>
  <c r="C15" i="47" s="1"/>
  <c r="F26" i="42"/>
  <c r="E26" i="42"/>
  <c r="E27" i="42" s="1"/>
  <c r="D161" i="46"/>
  <c r="D169" i="46" s="1"/>
  <c r="K169" i="46" s="1"/>
  <c r="E109" i="46"/>
  <c r="D58" i="47" s="1"/>
  <c r="D93" i="46"/>
  <c r="D94" i="46" s="1"/>
  <c r="D18" i="46" s="1"/>
  <c r="D40" i="56"/>
  <c r="D48" i="56" s="1"/>
  <c r="K48" i="56" s="1"/>
  <c r="L127" i="46"/>
  <c r="L195" i="46"/>
  <c r="K55" i="56"/>
  <c r="K56" i="56" s="1"/>
  <c r="K16" i="56" s="1"/>
  <c r="E115" i="46"/>
  <c r="D59" i="47" s="1"/>
  <c r="D154" i="46"/>
  <c r="D27" i="46" s="1"/>
  <c r="E195" i="46"/>
  <c r="E32" i="46" s="1"/>
  <c r="D126" i="46"/>
  <c r="D23" i="46" s="1"/>
  <c r="F40" i="46"/>
  <c r="G15" i="42"/>
  <c r="F22" i="42"/>
  <c r="F39" i="46"/>
  <c r="F21" i="42"/>
  <c r="G14" i="42"/>
  <c r="K193" i="46"/>
  <c r="K195" i="46" s="1"/>
  <c r="K32" i="46" s="1"/>
  <c r="D195" i="46"/>
  <c r="D32" i="46" s="1"/>
  <c r="F193" i="46"/>
  <c r="F194" i="46"/>
  <c r="M194" i="46" s="1"/>
  <c r="F55" i="56"/>
  <c r="F56" i="56" s="1"/>
  <c r="F48" i="46"/>
  <c r="F49" i="46" s="1"/>
  <c r="F12" i="46" s="1"/>
  <c r="E40" i="56"/>
  <c r="E48" i="56" s="1"/>
  <c r="L48" i="56" s="1"/>
  <c r="E39" i="56"/>
  <c r="G13" i="42"/>
  <c r="H26" i="42" s="1"/>
  <c r="H27" i="42" s="1"/>
  <c r="G21" i="47" s="1"/>
  <c r="E22" i="42"/>
  <c r="E40" i="46"/>
  <c r="E21" i="42"/>
  <c r="E39" i="46"/>
  <c r="E41" i="46" s="1"/>
  <c r="D23" i="42"/>
  <c r="C20" i="47" s="1"/>
  <c r="F139" i="46"/>
  <c r="M139" i="46" s="1"/>
  <c r="M140" i="46" s="1"/>
  <c r="F107" i="46"/>
  <c r="F108" i="46" s="1"/>
  <c r="F109" i="46" s="1"/>
  <c r="E58" i="47" s="1"/>
  <c r="F64" i="46"/>
  <c r="F71" i="46" s="1"/>
  <c r="F185" i="46"/>
  <c r="M185" i="46" s="1"/>
  <c r="F20" i="42"/>
  <c r="G26" i="42"/>
  <c r="G27" i="42" s="1"/>
  <c r="F125" i="46"/>
  <c r="M125" i="46" s="1"/>
  <c r="M126" i="46" s="1"/>
  <c r="M127" i="46" s="1"/>
  <c r="E10" i="47"/>
  <c r="E13" i="47" s="1"/>
  <c r="F119" i="46"/>
  <c r="M119" i="46" s="1"/>
  <c r="M120" i="46" s="1"/>
  <c r="M121" i="46" s="1"/>
  <c r="F132" i="46"/>
  <c r="F133" i="46" s="1"/>
  <c r="F24" i="46" s="1"/>
  <c r="F160" i="46"/>
  <c r="F168" i="46" s="1"/>
  <c r="F184" i="46"/>
  <c r="F113" i="46"/>
  <c r="F114" i="46" s="1"/>
  <c r="F115" i="46" s="1"/>
  <c r="E59" i="47" s="1"/>
  <c r="F177" i="46"/>
  <c r="M177" i="46" s="1"/>
  <c r="M178" i="46" s="1"/>
  <c r="F16" i="42"/>
  <c r="E14" i="47" s="1"/>
  <c r="F146" i="46"/>
  <c r="F147" i="46" s="1"/>
  <c r="F26" i="46" s="1"/>
  <c r="F68" i="47"/>
  <c r="F69" i="47" s="1"/>
  <c r="D47" i="56"/>
  <c r="E93" i="46"/>
  <c r="E94" i="46" s="1"/>
  <c r="F58" i="46"/>
  <c r="E47" i="47" s="1"/>
  <c r="E58" i="46"/>
  <c r="D47" i="47" s="1"/>
  <c r="E120" i="46"/>
  <c r="E121" i="46" s="1"/>
  <c r="D60" i="47" s="1"/>
  <c r="K168" i="46"/>
  <c r="E186" i="46"/>
  <c r="L184" i="46"/>
  <c r="L186" i="46" s="1"/>
  <c r="E26" i="46"/>
  <c r="E148" i="46"/>
  <c r="L154" i="46"/>
  <c r="E154" i="46"/>
  <c r="D72" i="46"/>
  <c r="K71" i="46"/>
  <c r="K72" i="46" s="1"/>
  <c r="L139" i="46"/>
  <c r="L140" i="46" s="1"/>
  <c r="E140" i="46"/>
  <c r="E126" i="46"/>
  <c r="E23" i="46" s="1"/>
  <c r="D79" i="46"/>
  <c r="D16" i="46" s="1"/>
  <c r="D85" i="46"/>
  <c r="K85" i="46" s="1"/>
  <c r="E168" i="46"/>
  <c r="E78" i="46"/>
  <c r="E161" i="46"/>
  <c r="E169" i="46" s="1"/>
  <c r="L169" i="46" s="1"/>
  <c r="M154" i="46"/>
  <c r="F154" i="46"/>
  <c r="E65" i="46"/>
  <c r="E71" i="46"/>
  <c r="L55" i="56"/>
  <c r="L56" i="56" s="1"/>
  <c r="E56" i="56"/>
  <c r="E50" i="46"/>
  <c r="D46" i="47" s="1"/>
  <c r="E12" i="46"/>
  <c r="F50" i="46"/>
  <c r="E46" i="47" s="1"/>
  <c r="E20" i="46"/>
  <c r="D24" i="46"/>
  <c r="D30" i="46"/>
  <c r="L22" i="46"/>
  <c r="L32" i="46"/>
  <c r="E133" i="46"/>
  <c r="E134" i="46" s="1"/>
  <c r="E21" i="46"/>
  <c r="L23" i="46"/>
  <c r="E17" i="42"/>
  <c r="F27" i="42"/>
  <c r="E21" i="47" s="1"/>
  <c r="E178" i="46"/>
  <c r="E179" i="46" s="1"/>
  <c r="D72" i="47" s="1"/>
  <c r="L178" i="46"/>
  <c r="K170" i="46" l="1"/>
  <c r="K29" i="46" s="1"/>
  <c r="D41" i="56"/>
  <c r="D14" i="56" s="1"/>
  <c r="D170" i="46"/>
  <c r="D29" i="46" s="1"/>
  <c r="D162" i="46"/>
  <c r="D28" i="46" s="1"/>
  <c r="D100" i="46"/>
  <c r="K100" i="46" s="1"/>
  <c r="K101" i="46" s="1"/>
  <c r="K19" i="46" s="1"/>
  <c r="E15" i="47"/>
  <c r="L196" i="46"/>
  <c r="E23" i="42"/>
  <c r="E29" i="42" s="1"/>
  <c r="E30" i="42" s="1"/>
  <c r="E196" i="46"/>
  <c r="D78" i="47" s="1"/>
  <c r="G193" i="46"/>
  <c r="G194" i="46"/>
  <c r="N194" i="46" s="1"/>
  <c r="G55" i="56"/>
  <c r="G48" i="46"/>
  <c r="G49" i="46" s="1"/>
  <c r="H13" i="42"/>
  <c r="G68" i="47"/>
  <c r="G69" i="47" s="1"/>
  <c r="G185" i="46"/>
  <c r="N185" i="46" s="1"/>
  <c r="G107" i="46"/>
  <c r="G108" i="46" s="1"/>
  <c r="G139" i="46"/>
  <c r="G177" i="46"/>
  <c r="G153" i="46"/>
  <c r="G20" i="42"/>
  <c r="G146" i="46"/>
  <c r="G147" i="46" s="1"/>
  <c r="F10" i="47"/>
  <c r="F13" i="47" s="1"/>
  <c r="G119" i="46"/>
  <c r="G64" i="46"/>
  <c r="G160" i="46"/>
  <c r="G168" i="46" s="1"/>
  <c r="N168" i="46" s="1"/>
  <c r="G184" i="46"/>
  <c r="G56" i="46"/>
  <c r="G57" i="46" s="1"/>
  <c r="G132" i="46"/>
  <c r="G133" i="46" s="1"/>
  <c r="G24" i="46" s="1"/>
  <c r="G113" i="46"/>
  <c r="G114" i="46" s="1"/>
  <c r="G16" i="42"/>
  <c r="F14" i="47" s="1"/>
  <c r="G125" i="46"/>
  <c r="G40" i="46"/>
  <c r="H15" i="42"/>
  <c r="G22" i="42"/>
  <c r="F40" i="56"/>
  <c r="F48" i="56" s="1"/>
  <c r="M48" i="56" s="1"/>
  <c r="F39" i="56"/>
  <c r="F47" i="56" s="1"/>
  <c r="M193" i="46"/>
  <c r="M195" i="46" s="1"/>
  <c r="M196" i="46" s="1"/>
  <c r="F195" i="46"/>
  <c r="G39" i="46"/>
  <c r="H14" i="42"/>
  <c r="G21" i="42"/>
  <c r="E66" i="46"/>
  <c r="D48" i="47" s="1"/>
  <c r="E14" i="46"/>
  <c r="F126" i="46"/>
  <c r="F23" i="46" s="1"/>
  <c r="F140" i="46"/>
  <c r="F141" i="46" s="1"/>
  <c r="F21" i="46"/>
  <c r="M23" i="46"/>
  <c r="F161" i="46"/>
  <c r="F169" i="46" s="1"/>
  <c r="M169" i="46" s="1"/>
  <c r="F78" i="46"/>
  <c r="F85" i="46" s="1"/>
  <c r="M85" i="46" s="1"/>
  <c r="M55" i="56"/>
  <c r="M56" i="56" s="1"/>
  <c r="M16" i="56" s="1"/>
  <c r="F148" i="46"/>
  <c r="F178" i="46"/>
  <c r="F30" i="46" s="1"/>
  <c r="F186" i="46"/>
  <c r="F31" i="46" s="1"/>
  <c r="F120" i="46"/>
  <c r="F121" i="46" s="1"/>
  <c r="E60" i="47" s="1"/>
  <c r="M184" i="46"/>
  <c r="M186" i="46" s="1"/>
  <c r="M31" i="46" s="1"/>
  <c r="M22" i="46"/>
  <c r="F41" i="46"/>
  <c r="F11" i="46" s="1"/>
  <c r="F17" i="42"/>
  <c r="F93" i="46"/>
  <c r="F100" i="46" s="1"/>
  <c r="M100" i="46" s="1"/>
  <c r="M101" i="46" s="1"/>
  <c r="F23" i="42"/>
  <c r="F20" i="46"/>
  <c r="F65" i="46"/>
  <c r="D101" i="46"/>
  <c r="D19" i="46" s="1"/>
  <c r="F21" i="47"/>
  <c r="E100" i="46"/>
  <c r="L100" i="46" s="1"/>
  <c r="L101" i="46" s="1"/>
  <c r="L102" i="46" s="1"/>
  <c r="E95" i="46"/>
  <c r="E18" i="46"/>
  <c r="E41" i="56"/>
  <c r="E47" i="56"/>
  <c r="D49" i="56"/>
  <c r="D15" i="56" s="1"/>
  <c r="K47" i="56"/>
  <c r="K49" i="56" s="1"/>
  <c r="K15" i="56" s="1"/>
  <c r="K17" i="56" s="1"/>
  <c r="K15" i="46"/>
  <c r="D15" i="46"/>
  <c r="E22" i="46"/>
  <c r="E127" i="46"/>
  <c r="D61" i="47" s="1"/>
  <c r="E11" i="46"/>
  <c r="E42" i="46"/>
  <c r="D45" i="47" s="1"/>
  <c r="E79" i="46"/>
  <c r="E85" i="46"/>
  <c r="L85" i="46" s="1"/>
  <c r="L31" i="46"/>
  <c r="L187" i="46"/>
  <c r="L71" i="46"/>
  <c r="L72" i="46" s="1"/>
  <c r="E72" i="46"/>
  <c r="M168" i="46"/>
  <c r="L25" i="46"/>
  <c r="L141" i="46"/>
  <c r="L27" i="46"/>
  <c r="L155" i="46"/>
  <c r="E31" i="46"/>
  <c r="E187" i="46"/>
  <c r="D75" i="47" s="1"/>
  <c r="E25" i="46"/>
  <c r="E141" i="46"/>
  <c r="E155" i="46"/>
  <c r="E27" i="46"/>
  <c r="E16" i="56"/>
  <c r="E57" i="56"/>
  <c r="F155" i="46"/>
  <c r="F27" i="46"/>
  <c r="E162" i="46"/>
  <c r="M25" i="46"/>
  <c r="M141" i="46"/>
  <c r="F16" i="56"/>
  <c r="F57" i="56"/>
  <c r="L16" i="56"/>
  <c r="L57" i="56"/>
  <c r="M27" i="46"/>
  <c r="M155" i="46"/>
  <c r="F72" i="46"/>
  <c r="M71" i="46"/>
  <c r="M72" i="46" s="1"/>
  <c r="L168" i="46"/>
  <c r="L170" i="46" s="1"/>
  <c r="E170" i="46"/>
  <c r="K86" i="46"/>
  <c r="K17" i="46" s="1"/>
  <c r="D86" i="46"/>
  <c r="L179" i="46"/>
  <c r="L30" i="46"/>
  <c r="M179" i="46"/>
  <c r="M30" i="46"/>
  <c r="F134" i="46"/>
  <c r="E24" i="46"/>
  <c r="E30" i="46"/>
  <c r="D20" i="47" l="1"/>
  <c r="D22" i="47" s="1"/>
  <c r="D23" i="47" s="1"/>
  <c r="M102" i="46"/>
  <c r="F15" i="47"/>
  <c r="G134" i="46"/>
  <c r="M32" i="46"/>
  <c r="F162" i="46"/>
  <c r="F28" i="46" s="1"/>
  <c r="F25" i="46"/>
  <c r="G41" i="46"/>
  <c r="F127" i="46"/>
  <c r="E61" i="47" s="1"/>
  <c r="G109" i="46"/>
  <c r="F58" i="47" s="1"/>
  <c r="G20" i="46"/>
  <c r="H194" i="46"/>
  <c r="O194" i="46" s="1"/>
  <c r="H193" i="46"/>
  <c r="H55" i="56"/>
  <c r="H48" i="46"/>
  <c r="H49" i="46" s="1"/>
  <c r="I13" i="42"/>
  <c r="H20" i="42"/>
  <c r="H146" i="46"/>
  <c r="H147" i="46" s="1"/>
  <c r="H177" i="46"/>
  <c r="H125" i="46"/>
  <c r="H119" i="46"/>
  <c r="H56" i="46"/>
  <c r="H57" i="46" s="1"/>
  <c r="H160" i="46"/>
  <c r="G10" i="47"/>
  <c r="G13" i="47" s="1"/>
  <c r="H153" i="46"/>
  <c r="H132" i="46"/>
  <c r="H133" i="46" s="1"/>
  <c r="H64" i="46"/>
  <c r="H68" i="47"/>
  <c r="H69" i="47" s="1"/>
  <c r="H16" i="42"/>
  <c r="G14" i="47" s="1"/>
  <c r="H107" i="46"/>
  <c r="H108" i="46" s="1"/>
  <c r="H113" i="46"/>
  <c r="H114" i="46" s="1"/>
  <c r="H184" i="46"/>
  <c r="H139" i="46"/>
  <c r="H185" i="46"/>
  <c r="O185" i="46" s="1"/>
  <c r="I26" i="42"/>
  <c r="I27" i="42" s="1"/>
  <c r="H21" i="47" s="1"/>
  <c r="N193" i="46"/>
  <c r="N195" i="46" s="1"/>
  <c r="G195" i="46"/>
  <c r="F66" i="46"/>
  <c r="E48" i="47" s="1"/>
  <c r="F14" i="46"/>
  <c r="H40" i="46"/>
  <c r="I15" i="42"/>
  <c r="H22" i="42"/>
  <c r="N125" i="46"/>
  <c r="N126" i="46" s="1"/>
  <c r="G126" i="46"/>
  <c r="G13" i="46"/>
  <c r="G58" i="46"/>
  <c r="F47" i="47" s="1"/>
  <c r="G71" i="46"/>
  <c r="G65" i="46"/>
  <c r="G26" i="46"/>
  <c r="G148" i="46"/>
  <c r="N153" i="46"/>
  <c r="N154" i="46" s="1"/>
  <c r="G154" i="46"/>
  <c r="G12" i="46"/>
  <c r="G50" i="46"/>
  <c r="F46" i="47" s="1"/>
  <c r="F32" i="46"/>
  <c r="F196" i="46"/>
  <c r="E78" i="47" s="1"/>
  <c r="G40" i="56"/>
  <c r="G48" i="56" s="1"/>
  <c r="N48" i="56" s="1"/>
  <c r="G39" i="56"/>
  <c r="G93" i="46"/>
  <c r="G23" i="42"/>
  <c r="G78" i="46"/>
  <c r="G161" i="46"/>
  <c r="G17" i="42"/>
  <c r="G186" i="46"/>
  <c r="N184" i="46"/>
  <c r="N186" i="46" s="1"/>
  <c r="N119" i="46"/>
  <c r="N120" i="46" s="1"/>
  <c r="G120" i="46"/>
  <c r="N177" i="46"/>
  <c r="N178" i="46" s="1"/>
  <c r="G178" i="46"/>
  <c r="N55" i="56"/>
  <c r="N56" i="56" s="1"/>
  <c r="G56" i="56"/>
  <c r="H39" i="46"/>
  <c r="H21" i="42"/>
  <c r="I14" i="42"/>
  <c r="G21" i="46"/>
  <c r="G115" i="46"/>
  <c r="F59" i="47" s="1"/>
  <c r="G140" i="46"/>
  <c r="N139" i="46"/>
  <c r="N140" i="46" s="1"/>
  <c r="F179" i="46"/>
  <c r="E72" i="47" s="1"/>
  <c r="M187" i="46"/>
  <c r="F79" i="46"/>
  <c r="F16" i="46" s="1"/>
  <c r="F41" i="56"/>
  <c r="F14" i="56" s="1"/>
  <c r="M57" i="56"/>
  <c r="F94" i="46"/>
  <c r="F95" i="46" s="1"/>
  <c r="F187" i="46"/>
  <c r="E75" i="47" s="1"/>
  <c r="F170" i="46"/>
  <c r="F29" i="46" s="1"/>
  <c r="M170" i="46"/>
  <c r="M171" i="46" s="1"/>
  <c r="M19" i="46"/>
  <c r="F22" i="46"/>
  <c r="F101" i="46"/>
  <c r="F102" i="46" s="1"/>
  <c r="F42" i="46"/>
  <c r="E45" i="47" s="1"/>
  <c r="F29" i="42"/>
  <c r="E20" i="47"/>
  <c r="E22" i="47" s="1"/>
  <c r="L19" i="46"/>
  <c r="E101" i="46"/>
  <c r="M47" i="56"/>
  <c r="M49" i="56" s="1"/>
  <c r="F49" i="56"/>
  <c r="F50" i="56" s="1"/>
  <c r="E49" i="56"/>
  <c r="E50" i="56" s="1"/>
  <c r="L47" i="56"/>
  <c r="L49" i="56" s="1"/>
  <c r="E14" i="56"/>
  <c r="E42" i="56"/>
  <c r="K33" i="46"/>
  <c r="C31" i="47" s="1"/>
  <c r="C37" i="47" s="1"/>
  <c r="D17" i="46"/>
  <c r="L86" i="46"/>
  <c r="E86" i="46"/>
  <c r="E16" i="46"/>
  <c r="E80" i="46"/>
  <c r="D49" i="47" s="1"/>
  <c r="L171" i="46"/>
  <c r="L29" i="46"/>
  <c r="M73" i="46"/>
  <c r="M15" i="46"/>
  <c r="E28" i="46"/>
  <c r="E163" i="46"/>
  <c r="D65" i="47" s="1"/>
  <c r="E73" i="46"/>
  <c r="D53" i="47" s="1"/>
  <c r="E15" i="46"/>
  <c r="E171" i="46"/>
  <c r="E29" i="46"/>
  <c r="F73" i="46"/>
  <c r="E53" i="47" s="1"/>
  <c r="F15" i="46"/>
  <c r="M86" i="46"/>
  <c r="F86" i="46"/>
  <c r="L73" i="46"/>
  <c r="L15" i="46"/>
  <c r="G15" i="47" l="1"/>
  <c r="F163" i="46"/>
  <c r="E65" i="47" s="1"/>
  <c r="G42" i="46"/>
  <c r="F45" i="47" s="1"/>
  <c r="G11" i="46"/>
  <c r="H115" i="46"/>
  <c r="G59" i="47" s="1"/>
  <c r="H21" i="46"/>
  <c r="H24" i="46"/>
  <c r="H134" i="46"/>
  <c r="H168" i="46"/>
  <c r="O177" i="46"/>
  <c r="O178" i="46" s="1"/>
  <c r="H178" i="46"/>
  <c r="I194" i="46"/>
  <c r="P194" i="46" s="1"/>
  <c r="I193" i="46"/>
  <c r="I55" i="56"/>
  <c r="I48" i="46"/>
  <c r="I49" i="46" s="1"/>
  <c r="I146" i="46"/>
  <c r="I147" i="46" s="1"/>
  <c r="I20" i="42"/>
  <c r="I107" i="46"/>
  <c r="I108" i="46" s="1"/>
  <c r="I160" i="46"/>
  <c r="I184" i="46"/>
  <c r="I64" i="46"/>
  <c r="I119" i="46"/>
  <c r="I139" i="46"/>
  <c r="H10" i="47"/>
  <c r="H13" i="47" s="1"/>
  <c r="I153" i="46"/>
  <c r="I132" i="46"/>
  <c r="I133" i="46" s="1"/>
  <c r="I185" i="46"/>
  <c r="P185" i="46" s="1"/>
  <c r="I177" i="46"/>
  <c r="I16" i="42"/>
  <c r="H14" i="47" s="1"/>
  <c r="I113" i="46"/>
  <c r="I114" i="46" s="1"/>
  <c r="I125" i="46"/>
  <c r="I56" i="46"/>
  <c r="I57" i="46" s="1"/>
  <c r="G31" i="46"/>
  <c r="G187" i="46"/>
  <c r="F75" i="47" s="1"/>
  <c r="I40" i="46"/>
  <c r="I22" i="42"/>
  <c r="N141" i="46"/>
  <c r="N25" i="46"/>
  <c r="I39" i="46"/>
  <c r="I21" i="42"/>
  <c r="G30" i="46"/>
  <c r="G179" i="46"/>
  <c r="F72" i="47" s="1"/>
  <c r="G22" i="46"/>
  <c r="G121" i="46"/>
  <c r="F60" i="47" s="1"/>
  <c r="G94" i="46"/>
  <c r="G100" i="46"/>
  <c r="G27" i="46"/>
  <c r="G155" i="46"/>
  <c r="G66" i="46"/>
  <c r="F48" i="47" s="1"/>
  <c r="G14" i="46"/>
  <c r="G23" i="46"/>
  <c r="G127" i="46"/>
  <c r="F61" i="47" s="1"/>
  <c r="H20" i="46"/>
  <c r="H109" i="46"/>
  <c r="G58" i="47" s="1"/>
  <c r="O153" i="46"/>
  <c r="O154" i="46" s="1"/>
  <c r="H154" i="46"/>
  <c r="H13" i="46"/>
  <c r="H58" i="46"/>
  <c r="G47" i="47" s="1"/>
  <c r="H148" i="46"/>
  <c r="H26" i="46"/>
  <c r="H12" i="46"/>
  <c r="H50" i="46"/>
  <c r="G46" i="47" s="1"/>
  <c r="O193" i="46"/>
  <c r="O195" i="46" s="1"/>
  <c r="H195" i="46"/>
  <c r="N16" i="56"/>
  <c r="N57" i="56"/>
  <c r="G25" i="46"/>
  <c r="G141" i="46"/>
  <c r="N30" i="46"/>
  <c r="N179" i="46"/>
  <c r="N22" i="46"/>
  <c r="N121" i="46"/>
  <c r="G169" i="46"/>
  <c r="G162" i="46"/>
  <c r="N27" i="46"/>
  <c r="N155" i="46"/>
  <c r="G72" i="46"/>
  <c r="N71" i="46"/>
  <c r="N72" i="46" s="1"/>
  <c r="N23" i="46"/>
  <c r="N127" i="46"/>
  <c r="G196" i="46"/>
  <c r="F78" i="47" s="1"/>
  <c r="G32" i="46"/>
  <c r="H140" i="46"/>
  <c r="O139" i="46"/>
  <c r="O140" i="46" s="1"/>
  <c r="H40" i="56"/>
  <c r="H48" i="56" s="1"/>
  <c r="O48" i="56" s="1"/>
  <c r="H39" i="56"/>
  <c r="H161" i="46"/>
  <c r="H169" i="46" s="1"/>
  <c r="O169" i="46" s="1"/>
  <c r="H23" i="42"/>
  <c r="H17" i="42"/>
  <c r="H78" i="46"/>
  <c r="H93" i="46"/>
  <c r="H65" i="46"/>
  <c r="H71" i="46"/>
  <c r="O119" i="46"/>
  <c r="O120" i="46" s="1"/>
  <c r="H120" i="46"/>
  <c r="G29" i="42"/>
  <c r="G30" i="42" s="1"/>
  <c r="F20" i="47"/>
  <c r="F22" i="47" s="1"/>
  <c r="F23" i="47" s="1"/>
  <c r="H41" i="46"/>
  <c r="G16" i="56"/>
  <c r="G57" i="56"/>
  <c r="N187" i="46"/>
  <c r="N31" i="46"/>
  <c r="G79" i="46"/>
  <c r="G85" i="46"/>
  <c r="G41" i="56"/>
  <c r="G47" i="56"/>
  <c r="N196" i="46"/>
  <c r="N32" i="46"/>
  <c r="O184" i="46"/>
  <c r="O186" i="46" s="1"/>
  <c r="H186" i="46"/>
  <c r="O125" i="46"/>
  <c r="O126" i="46" s="1"/>
  <c r="H126" i="46"/>
  <c r="O55" i="56"/>
  <c r="O56" i="56" s="1"/>
  <c r="H56" i="56"/>
  <c r="F80" i="46"/>
  <c r="E49" i="47" s="1"/>
  <c r="E50" i="47" s="1"/>
  <c r="F42" i="56"/>
  <c r="F18" i="46"/>
  <c r="M29" i="46"/>
  <c r="F171" i="46"/>
  <c r="F19" i="46"/>
  <c r="F30" i="42"/>
  <c r="E19" i="46"/>
  <c r="E102" i="46"/>
  <c r="F15" i="56"/>
  <c r="E15" i="56"/>
  <c r="L15" i="56"/>
  <c r="L17" i="56" s="1"/>
  <c r="L50" i="56"/>
  <c r="M15" i="56"/>
  <c r="M17" i="56" s="1"/>
  <c r="M50" i="56"/>
  <c r="D50" i="47"/>
  <c r="E23" i="47"/>
  <c r="M17" i="46"/>
  <c r="M87" i="46"/>
  <c r="E17" i="46"/>
  <c r="E87" i="46"/>
  <c r="D54" i="47" s="1"/>
  <c r="F17" i="46"/>
  <c r="F87" i="46"/>
  <c r="E54" i="47" s="1"/>
  <c r="L17" i="46"/>
  <c r="L33" i="46" s="1"/>
  <c r="L87" i="46"/>
  <c r="H15" i="47" l="1"/>
  <c r="G14" i="56"/>
  <c r="G42" i="56"/>
  <c r="H57" i="56"/>
  <c r="H16" i="56"/>
  <c r="H23" i="46"/>
  <c r="H127" i="46"/>
  <c r="G61" i="47" s="1"/>
  <c r="H187" i="46"/>
  <c r="G75" i="47" s="1"/>
  <c r="H31" i="46"/>
  <c r="N47" i="56"/>
  <c r="N49" i="56" s="1"/>
  <c r="G49" i="56"/>
  <c r="H42" i="46"/>
  <c r="G45" i="47" s="1"/>
  <c r="H11" i="46"/>
  <c r="H14" i="46"/>
  <c r="H66" i="46"/>
  <c r="G48" i="47" s="1"/>
  <c r="G20" i="47"/>
  <c r="G22" i="47" s="1"/>
  <c r="G23" i="47" s="1"/>
  <c r="H29" i="42"/>
  <c r="H30" i="42" s="1"/>
  <c r="G73" i="46"/>
  <c r="F53" i="47" s="1"/>
  <c r="G15" i="46"/>
  <c r="O27" i="46"/>
  <c r="O155" i="46"/>
  <c r="G95" i="46"/>
  <c r="G18" i="46"/>
  <c r="I115" i="46"/>
  <c r="H59" i="47" s="1"/>
  <c r="I21" i="46"/>
  <c r="P139" i="46"/>
  <c r="P140" i="46" s="1"/>
  <c r="I140" i="46"/>
  <c r="I109" i="46"/>
  <c r="H58" i="47" s="1"/>
  <c r="I20" i="46"/>
  <c r="P55" i="56"/>
  <c r="P56" i="56" s="1"/>
  <c r="I56" i="56"/>
  <c r="P193" i="46"/>
  <c r="P195" i="46" s="1"/>
  <c r="I195" i="46"/>
  <c r="H162" i="46"/>
  <c r="O31" i="46"/>
  <c r="O187" i="46"/>
  <c r="H22" i="46"/>
  <c r="H121" i="46"/>
  <c r="G60" i="47" s="1"/>
  <c r="H94" i="46"/>
  <c r="H100" i="46"/>
  <c r="O141" i="46"/>
  <c r="O25" i="46"/>
  <c r="G28" i="46"/>
  <c r="G163" i="46"/>
  <c r="F65" i="47" s="1"/>
  <c r="H196" i="46"/>
  <c r="G78" i="47" s="1"/>
  <c r="H32" i="46"/>
  <c r="I13" i="46"/>
  <c r="I58" i="46"/>
  <c r="H47" i="47" s="1"/>
  <c r="I40" i="56"/>
  <c r="I48" i="56" s="1"/>
  <c r="P48" i="56" s="1"/>
  <c r="I39" i="56"/>
  <c r="I17" i="42"/>
  <c r="I93" i="46"/>
  <c r="I78" i="46"/>
  <c r="I161" i="46"/>
  <c r="I169" i="46" s="1"/>
  <c r="P169" i="46" s="1"/>
  <c r="I23" i="42"/>
  <c r="I24" i="46"/>
  <c r="I134" i="46"/>
  <c r="P119" i="46"/>
  <c r="P120" i="46" s="1"/>
  <c r="I120" i="46"/>
  <c r="P184" i="46"/>
  <c r="P186" i="46" s="1"/>
  <c r="I186" i="46"/>
  <c r="O168" i="46"/>
  <c r="O170" i="46" s="1"/>
  <c r="H170" i="46"/>
  <c r="N85" i="46"/>
  <c r="N86" i="46" s="1"/>
  <c r="G86" i="46"/>
  <c r="O22" i="46"/>
  <c r="O121" i="46"/>
  <c r="H85" i="46"/>
  <c r="H79" i="46"/>
  <c r="H25" i="46"/>
  <c r="H141" i="46"/>
  <c r="N169" i="46"/>
  <c r="N170" i="46" s="1"/>
  <c r="G170" i="46"/>
  <c r="O196" i="46"/>
  <c r="O32" i="46"/>
  <c r="P125" i="46"/>
  <c r="P126" i="46" s="1"/>
  <c r="I126" i="46"/>
  <c r="P177" i="46"/>
  <c r="P178" i="46" s="1"/>
  <c r="I178" i="46"/>
  <c r="P153" i="46"/>
  <c r="P154" i="46" s="1"/>
  <c r="I154" i="46"/>
  <c r="I148" i="46"/>
  <c r="I26" i="46"/>
  <c r="H30" i="46"/>
  <c r="H179" i="46"/>
  <c r="G72" i="47" s="1"/>
  <c r="O57" i="56"/>
  <c r="O16" i="56"/>
  <c r="O127" i="46"/>
  <c r="O23" i="46"/>
  <c r="G16" i="46"/>
  <c r="G80" i="46"/>
  <c r="F49" i="47" s="1"/>
  <c r="F50" i="47" s="1"/>
  <c r="H72" i="46"/>
  <c r="O71" i="46"/>
  <c r="O72" i="46" s="1"/>
  <c r="H41" i="56"/>
  <c r="H47" i="56"/>
  <c r="N15" i="46"/>
  <c r="N73" i="46"/>
  <c r="H155" i="46"/>
  <c r="H27" i="46"/>
  <c r="N100" i="46"/>
  <c r="N101" i="46" s="1"/>
  <c r="G101" i="46"/>
  <c r="I41" i="46"/>
  <c r="I65" i="46"/>
  <c r="I71" i="46"/>
  <c r="I168" i="46"/>
  <c r="I162" i="46"/>
  <c r="I12" i="46"/>
  <c r="I50" i="46"/>
  <c r="H46" i="47" s="1"/>
  <c r="O30" i="46"/>
  <c r="O179" i="46"/>
  <c r="M33" i="46"/>
  <c r="E31" i="47"/>
  <c r="E32" i="47" s="1"/>
  <c r="D31" i="47"/>
  <c r="D55" i="47"/>
  <c r="E55" i="47"/>
  <c r="P168" i="46" l="1"/>
  <c r="P170" i="46" s="1"/>
  <c r="I170" i="46"/>
  <c r="G19" i="46"/>
  <c r="G102" i="46"/>
  <c r="O15" i="46"/>
  <c r="O73" i="46"/>
  <c r="I30" i="46"/>
  <c r="I179" i="46"/>
  <c r="H72" i="47" s="1"/>
  <c r="O171" i="46"/>
  <c r="O29" i="46"/>
  <c r="P22" i="46"/>
  <c r="P121" i="46"/>
  <c r="O100" i="46"/>
  <c r="O101" i="46" s="1"/>
  <c r="H101" i="46"/>
  <c r="I196" i="46"/>
  <c r="H78" i="47" s="1"/>
  <c r="I32" i="46"/>
  <c r="I141" i="46"/>
  <c r="I25" i="46"/>
  <c r="P71" i="46"/>
  <c r="P72" i="46" s="1"/>
  <c r="I72" i="46"/>
  <c r="N102" i="46"/>
  <c r="N19" i="46"/>
  <c r="H73" i="46"/>
  <c r="G53" i="47" s="1"/>
  <c r="H15" i="46"/>
  <c r="P30" i="46"/>
  <c r="P179" i="46"/>
  <c r="G29" i="46"/>
  <c r="G171" i="46"/>
  <c r="H16" i="46"/>
  <c r="H80" i="46"/>
  <c r="G49" i="47" s="1"/>
  <c r="G50" i="47" s="1"/>
  <c r="G17" i="46"/>
  <c r="G87" i="46"/>
  <c r="F54" i="47" s="1"/>
  <c r="F55" i="47" s="1"/>
  <c r="I31" i="46"/>
  <c r="I187" i="46"/>
  <c r="H75" i="47" s="1"/>
  <c r="I85" i="46"/>
  <c r="I79" i="46"/>
  <c r="I47" i="56"/>
  <c r="I41" i="56"/>
  <c r="H18" i="46"/>
  <c r="H95" i="46"/>
  <c r="P196" i="46"/>
  <c r="P32" i="46"/>
  <c r="P25" i="46"/>
  <c r="P141" i="46"/>
  <c r="I14" i="46"/>
  <c r="I66" i="46"/>
  <c r="H48" i="47" s="1"/>
  <c r="I155" i="46"/>
  <c r="I27" i="46"/>
  <c r="O85" i="46"/>
  <c r="O86" i="46" s="1"/>
  <c r="H86" i="46"/>
  <c r="H163" i="46"/>
  <c r="G65" i="47" s="1"/>
  <c r="H28" i="46"/>
  <c r="I16" i="56"/>
  <c r="I57" i="56"/>
  <c r="G15" i="56"/>
  <c r="G50" i="56"/>
  <c r="O47" i="56"/>
  <c r="O49" i="56" s="1"/>
  <c r="H49" i="56"/>
  <c r="I23" i="46"/>
  <c r="I127" i="46"/>
  <c r="H61" i="47" s="1"/>
  <c r="N171" i="46"/>
  <c r="N29" i="46"/>
  <c r="N17" i="46"/>
  <c r="N87" i="46"/>
  <c r="P31" i="46"/>
  <c r="P187" i="46"/>
  <c r="I94" i="46"/>
  <c r="I100" i="46"/>
  <c r="I28" i="46"/>
  <c r="I163" i="46"/>
  <c r="H65" i="47" s="1"/>
  <c r="I11" i="46"/>
  <c r="I42" i="46"/>
  <c r="H45" i="47" s="1"/>
  <c r="H14" i="56"/>
  <c r="H42" i="56"/>
  <c r="P27" i="46"/>
  <c r="P155" i="46"/>
  <c r="P23" i="46"/>
  <c r="P127" i="46"/>
  <c r="H29" i="46"/>
  <c r="H171" i="46"/>
  <c r="I22" i="46"/>
  <c r="I121" i="46"/>
  <c r="H60" i="47" s="1"/>
  <c r="H20" i="47"/>
  <c r="H22" i="47" s="1"/>
  <c r="H23" i="47" s="1"/>
  <c r="I29" i="42"/>
  <c r="I30" i="42" s="1"/>
  <c r="P57" i="56"/>
  <c r="P16" i="56"/>
  <c r="N50" i="56"/>
  <c r="N15" i="56"/>
  <c r="N17" i="56" s="1"/>
  <c r="F31" i="47" s="1"/>
  <c r="F33" i="47" s="1"/>
  <c r="E37" i="47"/>
  <c r="E38" i="47" s="1"/>
  <c r="E33" i="47"/>
  <c r="D33" i="47"/>
  <c r="D32" i="47"/>
  <c r="D37" i="47"/>
  <c r="D38" i="47" s="1"/>
  <c r="N33" i="46" l="1"/>
  <c r="H102" i="46"/>
  <c r="H19" i="46"/>
  <c r="I29" i="46"/>
  <c r="I171" i="46"/>
  <c r="P100" i="46"/>
  <c r="P101" i="46" s="1"/>
  <c r="I101" i="46"/>
  <c r="H17" i="46"/>
  <c r="H87" i="46"/>
  <c r="G54" i="47" s="1"/>
  <c r="G55" i="47" s="1"/>
  <c r="I16" i="46"/>
  <c r="I80" i="46"/>
  <c r="H49" i="47" s="1"/>
  <c r="H50" i="47" s="1"/>
  <c r="O102" i="46"/>
  <c r="O19" i="46"/>
  <c r="P29" i="46"/>
  <c r="P171" i="46"/>
  <c r="I49" i="56"/>
  <c r="P47" i="56"/>
  <c r="P49" i="56" s="1"/>
  <c r="I18" i="46"/>
  <c r="I95" i="46"/>
  <c r="O17" i="46"/>
  <c r="O33" i="46" s="1"/>
  <c r="O87" i="46"/>
  <c r="P85" i="46"/>
  <c r="P86" i="46" s="1"/>
  <c r="I86" i="46"/>
  <c r="I15" i="46"/>
  <c r="I73" i="46"/>
  <c r="H53" i="47" s="1"/>
  <c r="O15" i="56"/>
  <c r="O17" i="56" s="1"/>
  <c r="G31" i="47" s="1"/>
  <c r="O50" i="56"/>
  <c r="F37" i="47"/>
  <c r="F38" i="47" s="1"/>
  <c r="F32" i="47"/>
  <c r="H15" i="56"/>
  <c r="H50" i="56"/>
  <c r="I14" i="56"/>
  <c r="I42" i="56"/>
  <c r="P15" i="46"/>
  <c r="P73" i="46"/>
  <c r="D39" i="47"/>
  <c r="E39" i="47"/>
  <c r="F39" i="47" l="1"/>
  <c r="G37" i="47"/>
  <c r="G33" i="47"/>
  <c r="G32" i="47"/>
  <c r="I87" i="46"/>
  <c r="H54" i="47" s="1"/>
  <c r="H55" i="47" s="1"/>
  <c r="I17" i="46"/>
  <c r="I19" i="46"/>
  <c r="I102" i="46"/>
  <c r="P50" i="56"/>
  <c r="P15" i="56"/>
  <c r="P17" i="56" s="1"/>
  <c r="H31" i="47" s="1"/>
  <c r="P102" i="46"/>
  <c r="P19" i="46"/>
  <c r="P17" i="46"/>
  <c r="P87" i="46"/>
  <c r="I50" i="56"/>
  <c r="I15" i="56"/>
  <c r="P33" i="46" l="1"/>
  <c r="H37" i="47"/>
  <c r="H32" i="47"/>
  <c r="H33" i="47"/>
  <c r="G38" i="47"/>
  <c r="G39" i="47"/>
  <c r="H38" i="47" l="1"/>
  <c r="H3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46ED1ABD-5DDD-4F2B-9632-1E5B37690990}">
      <text>
        <r>
          <rPr>
            <b/>
            <sz val="9"/>
            <color indexed="81"/>
            <rFont val="Tahoma"/>
            <family val="2"/>
          </rPr>
          <t>Author:</t>
        </r>
        <r>
          <rPr>
            <sz val="9"/>
            <color indexed="81"/>
            <rFont val="Tahoma"/>
            <family val="2"/>
          </rPr>
          <t xml:space="preserve">
0,1 and 2 years completed as a consultant
</t>
        </r>
      </text>
    </comment>
    <comment ref="B46" authorId="0" shapeId="0" xr:uid="{372759B2-0547-4BBF-B4F5-61CE2909EF25}">
      <text>
        <r>
          <rPr>
            <b/>
            <sz val="9"/>
            <color indexed="81"/>
            <rFont val="Tahoma"/>
            <family val="2"/>
          </rPr>
          <t>Author:</t>
        </r>
        <r>
          <rPr>
            <sz val="9"/>
            <color indexed="81"/>
            <rFont val="Tahoma"/>
            <family val="2"/>
          </rPr>
          <t xml:space="preserve">
4 to 13 years completed as a consultant (average pay)
</t>
        </r>
      </text>
    </comment>
    <comment ref="B47" authorId="0" shapeId="0" xr:uid="{763AA43A-2F08-46A3-AACF-35435E4D0A90}">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<sst xmlns="http://schemas.openxmlformats.org/spreadsheetml/2006/main" count="2532" uniqueCount="1198">
  <si>
    <t>Putting NICE guidance into practice</t>
  </si>
  <si>
    <t>Resource impact template:</t>
  </si>
  <si>
    <t>Exagamglogene autotemcel for treating transfusion</t>
  </si>
  <si>
    <t>dependent beta thalassaemia</t>
  </si>
  <si>
    <t xml:space="preserve">Published: </t>
  </si>
  <si>
    <t>Specialty area</t>
  </si>
  <si>
    <t>Haematology</t>
  </si>
  <si>
    <t>Disease area</t>
  </si>
  <si>
    <t>Beta thalassaemia</t>
  </si>
  <si>
    <t>Pathway position</t>
  </si>
  <si>
    <t>Transfusion dependent beta thalassaemia</t>
  </si>
  <si>
    <t>Administration method</t>
  </si>
  <si>
    <t>Intravenous</t>
  </si>
  <si>
    <t>Provider</t>
  </si>
  <si>
    <t>Secondary care - acute</t>
  </si>
  <si>
    <t>Commissioner</t>
  </si>
  <si>
    <t>NHS England</t>
  </si>
  <si>
    <t>Programme budget category</t>
  </si>
  <si>
    <t>3 Disorders of blood.</t>
  </si>
  <si>
    <t>Implementation period</t>
  </si>
  <si>
    <t>Managed access</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</si>
  <si>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</si>
  <si>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</si>
  <si>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</si>
  <si>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</si>
  <si>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</si>
  <si>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</si>
  <si>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</si>
  <si>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</si>
  <si>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</si>
  <si>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</si>
  <si>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</si>
  <si>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</si>
  <si>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</si>
  <si>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</si>
  <si>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</si>
  <si>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</si>
  <si>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</si>
  <si>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</si>
  <si>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</si>
  <si>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</si>
  <si>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</si>
  <si>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</si>
  <si>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</si>
  <si>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</si>
  <si>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</si>
  <si>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</si>
  <si>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</si>
  <si>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</si>
  <si>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</si>
  <si>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</si>
  <si>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</si>
  <si>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</si>
  <si>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</si>
  <si>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</si>
  <si>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</si>
  <si>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</si>
  <si>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</si>
  <si>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</si>
  <si>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</si>
  <si>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</si>
  <si>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</si>
  <si>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</si>
  <si>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</si>
  <si>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</si>
  <si>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</si>
  <si>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</si>
  <si>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</si>
  <si>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</si>
  <si>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</si>
  <si>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</si>
  <si>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</si>
  <si>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</si>
  <si>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</si>
  <si>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</si>
  <si>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</si>
  <si>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</si>
  <si>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</si>
  <si>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</si>
  <si>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</si>
  <si>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</si>
  <si>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</si>
  <si>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</si>
  <si>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</si>
  <si>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</si>
  <si>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</si>
  <si>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</si>
  <si>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</si>
  <si>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</si>
  <si>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12 and over</t>
  </si>
  <si>
    <t>Females aged 12 and over</t>
  </si>
  <si>
    <t>Topic-specific population selected</t>
  </si>
  <si>
    <t>LA England</t>
  </si>
  <si>
    <t>LOCALAUTHENG</t>
  </si>
  <si>
    <t>England – CCGs</t>
  </si>
  <si>
    <t>ENGCCGS</t>
  </si>
  <si>
    <t>medical</t>
  </si>
  <si>
    <t>mixed</t>
  </si>
  <si>
    <t>TOTAL</t>
  </si>
  <si>
    <t>Organisation name</t>
  </si>
  <si>
    <t>Concatenated field (for search)</t>
  </si>
  <si>
    <t>12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</si>
  <si>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</si>
  <si>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</si>
  <si>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</si>
  <si>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</si>
  <si>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</si>
  <si>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</si>
  <si>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</si>
  <si>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</si>
  <si>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</si>
  <si>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</si>
  <si>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</si>
  <si>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</si>
  <si>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</si>
  <si>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</si>
  <si>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</si>
  <si>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</si>
  <si>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</si>
  <si>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</si>
  <si>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</si>
  <si>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</si>
  <si>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</si>
  <si>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</si>
  <si>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</si>
  <si>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</si>
  <si>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</si>
  <si>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</si>
  <si>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</si>
  <si>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</si>
  <si>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</si>
  <si>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</si>
  <si>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</si>
  <si>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</si>
  <si>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</si>
  <si>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</si>
  <si>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</si>
  <si>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</si>
  <si>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</si>
  <si>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</si>
  <si>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</si>
  <si>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</si>
  <si>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</si>
  <si>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</si>
  <si>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</si>
  <si>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</si>
  <si>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</si>
  <si>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</si>
  <si>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</si>
  <si>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</si>
  <si>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</si>
  <si>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</si>
  <si>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</si>
  <si>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</si>
  <si>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</si>
  <si>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</si>
  <si>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</si>
  <si>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</si>
  <si>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</si>
  <si>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</si>
  <si>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</si>
  <si>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</si>
  <si>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</si>
  <si>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</si>
  <si>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</si>
  <si>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</si>
  <si>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</si>
  <si>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</si>
  <si>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</si>
  <si>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</si>
  <si>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</si>
  <si>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</si>
  <si>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</si>
  <si>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</si>
  <si>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</si>
  <si>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</si>
  <si>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</si>
  <si>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</si>
  <si>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</si>
  <si>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</si>
  <si>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</si>
  <si>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</si>
  <si>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</si>
  <si>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</si>
  <si>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</si>
  <si>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</si>
  <si>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</si>
  <si>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</si>
  <si>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</si>
  <si>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</si>
  <si>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</si>
  <si>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</si>
  <si>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</si>
  <si>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</si>
  <si>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</si>
  <si>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</si>
  <si>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</si>
  <si>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</si>
  <si>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</si>
  <si>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</si>
  <si>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</si>
  <si>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</si>
  <si>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</si>
  <si>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</si>
  <si>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</si>
  <si>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</si>
  <si>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</si>
  <si>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</si>
  <si>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</si>
  <si>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</si>
  <si>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</si>
  <si>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</si>
  <si>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</si>
  <si>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</si>
  <si>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</si>
  <si>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</si>
  <si>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</si>
  <si>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</si>
  <si>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</si>
  <si>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</si>
  <si>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</si>
  <si>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</si>
  <si>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</si>
  <si>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</si>
  <si>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</si>
  <si>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</si>
  <si>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</si>
  <si>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</si>
  <si>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</si>
  <si>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</si>
  <si>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</si>
  <si>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</si>
  <si>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</si>
  <si>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</si>
  <si>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</si>
  <si>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</si>
  <si>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</si>
  <si>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</si>
  <si>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</si>
  <si>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</si>
  <si>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</si>
  <si>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</si>
  <si>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</si>
  <si>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</si>
  <si>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</si>
  <si>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</si>
  <si>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</si>
  <si>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</si>
  <si>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</si>
  <si>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</si>
  <si>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</si>
  <si>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</si>
  <si>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</si>
  <si>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</si>
  <si>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</si>
  <si>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</si>
  <si>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</si>
  <si>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</si>
  <si>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</si>
  <si>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</si>
  <si>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</si>
  <si>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</si>
  <si>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</si>
  <si>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</si>
  <si>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</si>
  <si>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</si>
  <si>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</si>
  <si>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</si>
  <si>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</si>
  <si>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</si>
  <si>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</si>
  <si>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</si>
  <si>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</si>
  <si>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</si>
  <si>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</si>
  <si>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</si>
  <si>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</si>
  <si>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</si>
  <si>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</si>
  <si>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</si>
  <si>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</si>
  <si>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</si>
  <si>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</si>
  <si>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</si>
  <si>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</si>
  <si>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</si>
  <si>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</si>
  <si>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</si>
  <si>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</si>
  <si>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</si>
  <si>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</si>
  <si>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</si>
  <si>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</si>
  <si>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</si>
  <si>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</si>
  <si>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</si>
  <si>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</si>
  <si>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</si>
  <si>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</si>
  <si>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</si>
  <si>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</si>
  <si>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</si>
  <si>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</si>
  <si>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</si>
  <si>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</si>
  <si>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</si>
  <si>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</si>
  <si>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</si>
  <si>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</si>
  <si>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</si>
  <si>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</si>
  <si>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</si>
  <si>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</si>
  <si>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</si>
  <si>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</si>
  <si>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</si>
  <si>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</si>
  <si>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</si>
  <si>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</si>
  <si>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</si>
  <si>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</si>
  <si>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</si>
  <si>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</si>
  <si>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</si>
  <si>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</si>
  <si>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</si>
  <si>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</si>
  <si>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</si>
  <si>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</si>
  <si>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</si>
  <si>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</si>
  <si>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</si>
  <si>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</si>
  <si>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</si>
  <si>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</si>
  <si>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</si>
  <si>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</si>
  <si>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</si>
  <si>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</si>
  <si>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</si>
  <si>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</si>
  <si>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</si>
  <si>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</si>
  <si>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</si>
  <si>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</si>
  <si>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</si>
  <si>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</si>
  <si>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</si>
  <si>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</si>
  <si>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</si>
  <si>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</si>
  <si>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</si>
  <si>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</si>
  <si>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</si>
  <si>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</si>
  <si>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</si>
  <si>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</si>
  <si>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</si>
  <si>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</si>
  <si>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</si>
  <si>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</si>
  <si>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</si>
  <si>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</si>
  <si>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</si>
  <si>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</si>
  <si>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</si>
  <si>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</si>
  <si>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</si>
  <si>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</si>
  <si>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</si>
  <si>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</si>
  <si>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</si>
  <si>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</si>
  <si>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</si>
  <si>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</si>
  <si>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</si>
  <si>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</si>
  <si>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</si>
  <si>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</si>
  <si>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</si>
  <si>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</si>
  <si>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</si>
  <si>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</si>
  <si>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</si>
  <si>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</si>
  <si>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</si>
  <si>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</si>
  <si>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</si>
  <si>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</si>
  <si>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</si>
  <si>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</si>
  <si>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</si>
  <si>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</si>
  <si>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</si>
  <si>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</si>
  <si>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</si>
  <si>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</si>
  <si>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</si>
  <si>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</si>
  <si>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</si>
  <si>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</si>
  <si>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</si>
  <si>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</si>
  <si>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</si>
  <si>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</si>
  <si>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</si>
  <si>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</si>
  <si>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</si>
  <si>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</si>
  <si>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</si>
  <si>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</si>
  <si>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</si>
  <si>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</si>
  <si>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</si>
  <si>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</si>
  <si>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</si>
  <si>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</si>
  <si>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</si>
  <si>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</si>
  <si>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</si>
  <si>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</si>
  <si>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</si>
  <si>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</si>
  <si>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</si>
  <si>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</si>
  <si>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</si>
  <si>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</si>
  <si>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</si>
  <si>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</si>
  <si>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</si>
  <si>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</si>
  <si>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</si>
  <si>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</si>
  <si>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</si>
  <si>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</si>
  <si>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</si>
  <si>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</si>
  <si>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</si>
  <si>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</si>
  <si>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</si>
  <si>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</si>
  <si>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</si>
  <si>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</si>
  <si>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</si>
  <si>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</si>
  <si>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</si>
  <si>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</si>
  <si>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</si>
  <si>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</si>
  <si>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</si>
  <si>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</si>
  <si>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</si>
  <si>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</si>
  <si>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</si>
  <si>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</si>
  <si>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</si>
  <si>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</si>
  <si>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</si>
  <si>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</si>
  <si>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</si>
  <si>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</si>
  <si>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</si>
  <si>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</si>
  <si>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</si>
  <si>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</si>
  <si>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</si>
  <si>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</si>
  <si>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</si>
  <si>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</si>
  <si>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</si>
  <si>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</si>
  <si>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</si>
  <si>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</si>
  <si>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</si>
  <si>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</si>
  <si>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</si>
  <si>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</si>
  <si>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</si>
  <si>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</si>
  <si>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</si>
  <si>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</si>
  <si>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</si>
  <si>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</si>
  <si>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</si>
  <si>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</si>
  <si>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</si>
  <si>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</si>
  <si>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</si>
  <si>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</si>
  <si>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</si>
  <si>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</si>
  <si>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</si>
  <si>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</si>
  <si>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</si>
  <si>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</si>
  <si>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</si>
  <si>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</si>
  <si>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</si>
  <si>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</si>
  <si>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</si>
  <si>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</si>
  <si>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</si>
  <si>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</si>
  <si>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</si>
  <si>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</si>
  <si>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</si>
  <si>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</si>
  <si>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</si>
  <si>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</si>
  <si>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</si>
  <si>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</si>
  <si>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</si>
  <si>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</si>
  <si>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</si>
  <si>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</si>
  <si>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</si>
  <si>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</si>
  <si>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</si>
  <si>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</si>
  <si>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</si>
  <si>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</si>
  <si>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</si>
  <si>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</si>
  <si>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</si>
  <si>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</si>
  <si>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</si>
  <si>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</si>
  <si>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</si>
  <si>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</si>
  <si>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</si>
  <si>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</si>
  <si>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</si>
  <si>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</si>
  <si>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</si>
  <si>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</si>
  <si>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</si>
  <si>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</si>
  <si>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</si>
  <si>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</si>
  <si>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</si>
  <si>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</si>
  <si>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</si>
  <si>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</si>
  <si>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</si>
  <si>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</si>
  <si>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</si>
  <si>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</si>
  <si>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</si>
  <si>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</si>
  <si>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</si>
  <si>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</si>
  <si>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</si>
  <si>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</si>
  <si>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</si>
  <si>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</si>
  <si>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</si>
  <si>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</si>
  <si>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</si>
  <si>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</si>
  <si>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</si>
  <si>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</si>
  <si>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</si>
  <si>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</si>
  <si>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</si>
  <si>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</si>
  <si>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</si>
  <si>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</si>
  <si>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</si>
  <si>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</si>
  <si>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</si>
  <si>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</si>
  <si>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</si>
  <si>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</si>
  <si>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</si>
  <si>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</si>
  <si>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</si>
  <si>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</si>
  <si>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</si>
  <si>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</si>
  <si>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</si>
  <si>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</si>
  <si>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</si>
  <si>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</si>
  <si>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</si>
  <si>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</si>
  <si>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</si>
  <si>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</si>
  <si>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</si>
  <si>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</si>
  <si>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</si>
  <si>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</si>
  <si>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</si>
  <si>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</si>
  <si>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</si>
  <si>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</si>
  <si>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</si>
  <si>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</si>
  <si>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</si>
  <si>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</si>
  <si>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</si>
  <si>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</si>
  <si>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</si>
  <si>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</si>
  <si>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</si>
  <si>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</si>
  <si>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</si>
  <si>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</si>
  <si>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</si>
  <si>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</si>
  <si>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</si>
  <si>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</si>
  <si>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</si>
  <si>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</si>
  <si>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</si>
  <si>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</si>
  <si>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</si>
  <si>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</si>
  <si>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</si>
  <si>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</si>
  <si>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</si>
  <si>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</si>
  <si>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</si>
  <si>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</si>
  <si>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</si>
  <si>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</si>
  <si>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</si>
  <si>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</si>
  <si>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</si>
  <si>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</si>
  <si>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</si>
  <si>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</si>
  <si>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</si>
  <si>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</si>
  <si>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</si>
  <si>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</si>
  <si>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</si>
  <si>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</si>
  <si>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</si>
  <si>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</si>
  <si>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</si>
  <si>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</si>
  <si>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</si>
  <si>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</si>
  <si>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</si>
  <si>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</si>
  <si>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</si>
  <si>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</si>
  <si>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</si>
  <si>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</si>
  <si>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</si>
  <si>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</si>
  <si>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</si>
  <si>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</si>
  <si>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</si>
  <si>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</si>
  <si>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</si>
  <si>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</si>
  <si>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</si>
  <si>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</si>
  <si>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</si>
  <si>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</si>
  <si>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</si>
  <si>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</si>
  <si>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</si>
  <si>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</si>
  <si>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</si>
  <si>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</si>
  <si>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Exagamglogene autotemcel for treating transfusion-dependent beta-thalassaemia</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</si>
  <si>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</si>
  <si>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</si>
  <si>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</si>
  <si>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</si>
  <si>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</si>
  <si>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</si>
  <si>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</si>
  <si>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growth rate to inflate 2022 data to 2024</t>
  </si>
  <si>
    <t>Population above inflated to estimated 2024 value, current year</t>
  </si>
  <si>
    <t>Do you want to use the NICE estimate of your population?</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</si>
  <si>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</si>
  <si>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</si>
  <si>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</si>
  <si>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</si>
  <si>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</si>
  <si>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</si>
  <si>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People aged 12 years and over</t>
  </si>
  <si>
    <t>See notes below</t>
  </si>
  <si>
    <t>People aged 12 years and over forecast at year 5</t>
  </si>
  <si>
    <t>People who have thalassaemia</t>
  </si>
  <si>
    <t>National Haemoglobinopathy Registry (NHR) 2021/2022</t>
  </si>
  <si>
    <t>NHR – Home (mdsas.com)</t>
  </si>
  <si>
    <t>People who have beta thalassaemia</t>
  </si>
  <si>
    <t>National Haemoglobinopathies Registry 2021/22 data (for relevant age group - per NHSE)</t>
  </si>
  <si>
    <t>People who have transfusion dependent beta thalassaemia</t>
  </si>
  <si>
    <t>NHR-Annual-Report-2021-2022.pdf (mdsas.com)</t>
  </si>
  <si>
    <t>Proportion who are aged between 12 years and 17 years and have regular transfusions</t>
  </si>
  <si>
    <t>NHR – number of patients on regular transfusions aged 12-17</t>
  </si>
  <si>
    <r>
      <t>Of whom a human leukocyte antigen-matched related haematopoietic stem cell donor is not available</t>
    </r>
    <r>
      <rPr>
        <b/>
        <sz val="11"/>
        <color theme="1"/>
        <rFont val="Calibri"/>
        <family val="2"/>
        <scheme val="minor"/>
      </rPr>
      <t xml:space="preserve"> (A)</t>
    </r>
  </si>
  <si>
    <t>Estimated at 85% (range 70-90%) of transfusion dependent population. NHSE&amp;I  clinical opinion.</t>
  </si>
  <si>
    <r>
      <t xml:space="preserve">Transfusion dependent beta thalassaemia people aged over 18 years old - regular transfusions </t>
    </r>
    <r>
      <rPr>
        <b/>
        <sz val="11"/>
        <rFont val="Calibri"/>
        <family val="2"/>
        <scheme val="minor"/>
      </rPr>
      <t>(B)</t>
    </r>
  </si>
  <si>
    <t>NHR – number of patients on regular transfusions aged over 18.  Note: Not all people who have transfusion dependent beta thalassaemia receive regular transfusions, some people may receive ad-hoc or top up transfusions.</t>
  </si>
  <si>
    <t>Eligible population for second line treatment (A)+(B)</t>
  </si>
  <si>
    <t>Midpoint of estimates from company and NHSE</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</si>
  <si>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</si>
  <si>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</si>
  <si>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</si>
  <si>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</si>
  <si>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</si>
  <si>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</si>
  <si>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</si>
  <si>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</si>
  <si>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</si>
  <si>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12-17 years</t>
  </si>
  <si>
    <t>over 18 years</t>
  </si>
  <si>
    <t>Interventions</t>
  </si>
  <si>
    <t>Treatment day(s)</t>
  </si>
  <si>
    <t>cycles year 1</t>
  </si>
  <si>
    <t>Exagamglogene autotemcel</t>
  </si>
  <si>
    <t>Supportive drug costs - plerixafor</t>
  </si>
  <si>
    <t>Supportive drug costs - defibrotide</t>
  </si>
  <si>
    <t>Drug</t>
  </si>
  <si>
    <t>Strength, container type, quantity</t>
  </si>
  <si>
    <t>Price</t>
  </si>
  <si>
    <t>VAT rate applicable</t>
  </si>
  <si>
    <t>Source</t>
  </si>
  <si>
    <t>Single dose IV infusion</t>
  </si>
  <si>
    <t>Vial for IV infusion:  20 mg fixed dose or 0.24 mg/kg of body weight for patients weighing ≤ 83 kg. 0.24 mg/kg of body weight for patients weighing &gt; 83 kg.</t>
  </si>
  <si>
    <t>Medicinal forms | Plerixafor | Drugs | BNF | NICE</t>
  </si>
  <si>
    <t xml:space="preserve">Vial for IV infusion: 6.25 mg/kg body weight every 6 hours (up to a max of 25 mg/kg/day) for a minimum of 21 days </t>
  </si>
  <si>
    <t>NHSE list price</t>
  </si>
  <si>
    <t>Blood transfusions</t>
  </si>
  <si>
    <t>IV transfusions</t>
  </si>
  <si>
    <t>Portfolio and prices - Hospitals and Science - NHSBT (blood.co.uk)</t>
  </si>
  <si>
    <t>Kg</t>
  </si>
  <si>
    <t>Proportion of popln</t>
  </si>
  <si>
    <t>Weighted average (kg)</t>
  </si>
  <si>
    <t>Average weight (kg) people aged 12-17</t>
  </si>
  <si>
    <t>Average height and weight - Proxim (groupeproxim.ca)</t>
  </si>
  <si>
    <t>Avge taken.</t>
  </si>
  <si>
    <t>Average weight (kg) adults aged 18 and over</t>
  </si>
  <si>
    <t>Part 4: Trends - NHS England Digital</t>
  </si>
  <si>
    <t>Mid-point used men/women.</t>
  </si>
  <si>
    <t>Estimated average weight (amend locally)</t>
  </si>
  <si>
    <t>Market Shares</t>
  </si>
  <si>
    <t>Market share estimates are NICE assumptions for illustrative purposes to show how the template works.</t>
  </si>
  <si>
    <t>In a world with the new options</t>
  </si>
  <si>
    <t>Current, year 0</t>
  </si>
  <si>
    <t>year 1</t>
  </si>
  <si>
    <t>year 2</t>
  </si>
  <si>
    <t>year 3</t>
  </si>
  <si>
    <t>year 4</t>
  </si>
  <si>
    <t>year 5</t>
  </si>
  <si>
    <t>People receiving blood transfusions</t>
  </si>
  <si>
    <t>Blood transfusions stop after people receive treatment with exagamglogene autotemcel</t>
  </si>
  <si>
    <t>This is expected to occur in the year after the normalisation period following treatment. The template takes a prudent appeoach assuming resources released occur in year 2.</t>
  </si>
  <si>
    <t>Resources released - % of people achieving transfusion independence for at least 12 months</t>
  </si>
  <si>
    <t>Proportion of people achieving transfusion independence</t>
  </si>
  <si>
    <r>
      <t xml:space="preserve">Source: FDG : At the latest data cut, 39 out of 42 people (92.9%; p&lt;0.0001) had the TI12 (transfusion independence at 12 months)  outcome.  The committee concluded that the results of CLIMB THAL 111 were generalisable to the UK.  However there was uncertainty with the long-term treatment effects of exa cel because of the relatively short-term follow up of CLIMB THAL 111. This needs to be explored with further data collection. </t>
    </r>
    <r>
      <rPr>
        <b/>
        <sz val="11"/>
        <color theme="1"/>
        <rFont val="Calibri"/>
        <family val="2"/>
        <scheme val="minor"/>
      </rPr>
      <t>Please review above estimates locally.</t>
    </r>
  </si>
  <si>
    <t>Proportion of population who are male/female (fertility preservation)</t>
  </si>
  <si>
    <t>Male</t>
  </si>
  <si>
    <t>Female</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</si>
  <si>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</si>
  <si>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</si>
  <si>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</si>
  <si>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</si>
  <si>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</si>
  <si>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Stages Exa-cell</t>
  </si>
  <si>
    <t>Standard care - blood transfusions</t>
  </si>
  <si>
    <t>Staff grade</t>
  </si>
  <si>
    <t>Hourly cost</t>
  </si>
  <si>
    <t>pathology / diagnostics / radiology</t>
  </si>
  <si>
    <t>Liver,cardiac &amp; Iron MRI</t>
  </si>
  <si>
    <t>scans per patient</t>
  </si>
  <si>
    <t>Pre-mobilisation</t>
  </si>
  <si>
    <t>Number of MRI scans</t>
  </si>
  <si>
    <t>per patient/yr</t>
  </si>
  <si>
    <t>Number of MRI scans (adults)</t>
  </si>
  <si>
    <t>Staff time per test (minutes)</t>
  </si>
  <si>
    <t>Band 7 Mid</t>
  </si>
  <si>
    <t>Number of MRI scans (paediatric)</t>
  </si>
  <si>
    <t>Specialty  haematology</t>
  </si>
  <si>
    <t>Screening clinicial assessment visits with haematologist</t>
  </si>
  <si>
    <t>Screening appointments with haematologist</t>
  </si>
  <si>
    <t>Staff time per appointment (minutes)</t>
  </si>
  <si>
    <t>Consultant mid</t>
  </si>
  <si>
    <t>Specialty  fertility</t>
  </si>
  <si>
    <t>Fetility preservation</t>
  </si>
  <si>
    <t>per female patient</t>
  </si>
  <si>
    <t>Staff time per oocyte recovery (minutes)</t>
  </si>
  <si>
    <t>per male patient</t>
  </si>
  <si>
    <t>Collection of sperm (mins)</t>
  </si>
  <si>
    <t>haematology nurse</t>
  </si>
  <si>
    <t>Mobilisation cycles  - plerixafor</t>
  </si>
  <si>
    <t>per patient (number of days)</t>
  </si>
  <si>
    <t>Mobilsation</t>
  </si>
  <si>
    <t>Mobilisation cycles  - defibrotide</t>
  </si>
  <si>
    <t xml:space="preserve">myeloablative conditioning </t>
  </si>
  <si>
    <t>number of transfusions</t>
  </si>
  <si>
    <t>Myeloblation</t>
  </si>
  <si>
    <t xml:space="preserve">Medical </t>
  </si>
  <si>
    <t>Hospitalisation for harvesting procedure - apheresis</t>
  </si>
  <si>
    <t>per patient per visit</t>
  </si>
  <si>
    <t>Stem cell harvesting</t>
  </si>
  <si>
    <t>Duration of procedure (minutes)</t>
  </si>
  <si>
    <t>Exa-cel treatment</t>
  </si>
  <si>
    <t>Dose per patient</t>
  </si>
  <si>
    <t>Treatment</t>
  </si>
  <si>
    <t>Average duration of infusion</t>
  </si>
  <si>
    <t>Post Exa-cel treatment</t>
  </si>
  <si>
    <t>Inpatient post infusion care (days)</t>
  </si>
  <si>
    <t>Post Exa-cel treatment (blood product support)</t>
  </si>
  <si>
    <t>Transfusions per patient per year</t>
  </si>
  <si>
    <t>Normalisation</t>
  </si>
  <si>
    <t>Transfusion time (minutes) per patient in 1st 12 months</t>
  </si>
  <si>
    <t>Number of transfusions standard care</t>
  </si>
  <si>
    <t>per patient per year</t>
  </si>
  <si>
    <t>per patient per transfusion</t>
  </si>
  <si>
    <t>Chelation monitoring</t>
  </si>
  <si>
    <t>Per patient per year (standard care)</t>
  </si>
  <si>
    <t>Monitoring</t>
  </si>
  <si>
    <t>Appointment time (minutes)</t>
  </si>
  <si>
    <t>pharmacy</t>
  </si>
  <si>
    <t>In-house number of aseptic unit preparations</t>
  </si>
  <si>
    <t>per patient per visit (bulsufan)</t>
  </si>
  <si>
    <t>Bought-in number of aseptic unit preparations</t>
  </si>
  <si>
    <t>handling time per prep (bulsufan)</t>
  </si>
  <si>
    <t>handling time per prep</t>
  </si>
  <si>
    <t>Appointments with transplant specialist</t>
  </si>
  <si>
    <t>Follow up visits per patient per year</t>
  </si>
  <si>
    <t>Follow up</t>
  </si>
  <si>
    <t>Notes</t>
  </si>
  <si>
    <t>Pre-mobilisation screening and fertility</t>
  </si>
  <si>
    <t>Number of MRI scans as per company submission</t>
  </si>
  <si>
    <t>Screening appointments per company model.</t>
  </si>
  <si>
    <t>Fertility attendance is assumed prior to mobilisation treatment. The time taken for female egg retrieval is per link below. One hour is assumed (15 minutes for procedure and mid point of 30-60 minutes recovery time).</t>
  </si>
  <si>
    <t>The Egg Retrieval Process (extendfertility.com)</t>
  </si>
  <si>
    <t>Mobilisation cycles plerixafor (x3) per company model</t>
  </si>
  <si>
    <t>Mobilisation cycles defibrotide (x21) per company model</t>
  </si>
  <si>
    <t>Myeloablative conditioning:</t>
  </si>
  <si>
    <t>Aseptics prep time assumed for IV administration of bulsufan. NICE assumption on handling based on product emc: https://www.medicines.org.uk/emc/product/11731/smpc#gref</t>
  </si>
  <si>
    <t>Up to 3 cycles (3 consecutive days) per company (document B) Table 10.</t>
  </si>
  <si>
    <t>Single dose exa-cel infusion assumed 2 hours infusion time.</t>
  </si>
  <si>
    <t>NHSE:  Following administration, it is anticipated patients will receive inpatient post infusion care for approximately 4 weeks. An intensive care bed is not needed for treatment to commence.</t>
  </si>
  <si>
    <t>Calculated as 28 days x 120 minutes nurse time per day - observation  / tests / notes ect.</t>
  </si>
  <si>
    <t>Per company, transfusions continue every other week for 12 months. Assumed each transfusion is one hour. Pease amend locally.</t>
  </si>
  <si>
    <t>Per company: Outpatient follow up post treatment is anticipated by clinical experts to be monthly for the first few years to ensure full blood count (FBC) is monitored and iron chelation is carried out until any residual iron overload is resolved. Following this, it is likely only annual review will be needed, with blood tests to check FBC and iron levels (chelation). A late effects review may be required to assess the effects of busulfan. The specialist and time of the appointment (45 minutes) is based on consultant haematologist opinion (minimum appointment time half an hour).</t>
  </si>
  <si>
    <t>Number of blood transfusions per year for people receiving standard care = 15 (NICE estimate based on FDG)</t>
  </si>
  <si>
    <t>Chelation monitoring assumed to happen every two months (see p68) Standards 2016.</t>
  </si>
  <si>
    <t>Standards 2016 (stgeorges.nhs.uk)</t>
  </si>
  <si>
    <t xml:space="preserve">For standard care, specialist appointments are assumed to occur monthly  when blood transfusions are given. </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</si>
  <si>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</si>
  <si>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</si>
  <si>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</si>
  <si>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</si>
  <si>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</si>
  <si>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</si>
  <si>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</si>
  <si>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</si>
  <si>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</si>
  <si>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</si>
  <si>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</si>
  <si>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</si>
  <si>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</si>
  <si>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</si>
  <si>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Regimen</t>
  </si>
  <si>
    <t>Drug name</t>
  </si>
  <si>
    <t>Admin method</t>
  </si>
  <si>
    <t>Pack type</t>
  </si>
  <si>
    <t>Strength (mg)</t>
  </si>
  <si>
    <t>Quantity</t>
  </si>
  <si>
    <t>Total contents (mg)</t>
  </si>
  <si>
    <t>Dose (mg)</t>
  </si>
  <si>
    <r>
      <t>BSA (m</t>
    </r>
    <r>
      <rPr>
        <vertAlign val="superscript"/>
        <sz val="11"/>
        <rFont val="Calibri"/>
        <family val="2"/>
        <scheme val="minor"/>
      </rPr>
      <t>2</t>
    </r>
    <r>
      <rPr>
        <sz val="11"/>
        <rFont val="Calibri"/>
        <family val="2"/>
        <scheme val="minor"/>
      </rPr>
      <t>)</t>
    </r>
  </si>
  <si>
    <t>Weight (kg)</t>
  </si>
  <si>
    <t>Dose per admin</t>
  </si>
  <si>
    <t>Frequency (days)</t>
  </si>
  <si>
    <t>Cycles</t>
  </si>
  <si>
    <t xml:space="preserve">Cost </t>
  </si>
  <si>
    <t>VAT rate</t>
  </si>
  <si>
    <t>Annual cost</t>
  </si>
  <si>
    <t>Single dose intravenous infusion treatment</t>
  </si>
  <si>
    <t>IV</t>
  </si>
  <si>
    <t>vial</t>
  </si>
  <si>
    <t>n/a</t>
  </si>
  <si>
    <t>&lt;spare row&gt;</t>
  </si>
  <si>
    <t>All components</t>
  </si>
  <si>
    <t>Suportive drug costs</t>
  </si>
  <si>
    <t>Quantity in pack</t>
  </si>
  <si>
    <t>Average number of vials assumed per day</t>
  </si>
  <si>
    <t>Average number of doses (assumption)</t>
  </si>
  <si>
    <t>Dose per admin (mg)</t>
  </si>
  <si>
    <t>Cost per vial/ course</t>
  </si>
  <si>
    <t>Cost exluding VAT</t>
  </si>
  <si>
    <t>Daily dose of 20 mg fixed dose or 0.24 mg/kg of body weight for patients weighing ≤ 83 kg. 0.24 mg/kg of body weight for patients weighing &gt; 83 kg.</t>
  </si>
  <si>
    <t>Plerixafor</t>
  </si>
  <si>
    <t>SC injection</t>
  </si>
  <si>
    <t xml:space="preserve">6.25 mg/kg body weight every 6 hours (up to a max of 25 mg/kg/day) for a minimum of 21 days </t>
  </si>
  <si>
    <t>Defibrotide</t>
  </si>
  <si>
    <t>Duration of treatment of plerixafor is between 2-4 days. The treatment is administered via subcutaneous injection (see NHSE policy below)</t>
  </si>
  <si>
    <t>Plerixafor-for-stem-cell-mobilisation.pdf (england.nhs.uk)</t>
  </si>
  <si>
    <t>Duration of treatment of defibrotide is a minimum of 21 days. Defibrotide assumed to be given via IV infusion every 6 hours over 21 days in hospital setting.</t>
  </si>
  <si>
    <t xml:space="preserve">There are other supportive drugs not included in the cost calculations above because these are included within the tariff for the procedure and therefore do not represent additional costs (per the NHSE submission). These are filgrastim (GCSF) and busulfan. </t>
  </si>
  <si>
    <t>Administrations</t>
  </si>
  <si>
    <t>Treatment option</t>
  </si>
  <si>
    <t>HRG code</t>
  </si>
  <si>
    <t>day(s)</t>
  </si>
  <si>
    <t>HRG description</t>
  </si>
  <si>
    <t>Average service cost, CAR-T tariff could be used as a proxy, based on clinical opinion. Can use weighted average of adult and paediatric costs (enter locally)</t>
  </si>
  <si>
    <t>Assumed to include post transfusion hospital stay (28 bed days)</t>
  </si>
  <si>
    <t>Tariff 2024/25</t>
  </si>
  <si>
    <t>Supporting red blood cell and platelet transfusions during normalisation phase (blood transfusions assumed to stop the year after receiviing exa-cel)</t>
  </si>
  <si>
    <t>SA44A</t>
  </si>
  <si>
    <t>Single Plasma Exchange or Other Intravenous Blood Transfusion, 19 years and over (day case)</t>
  </si>
  <si>
    <t>SA44B</t>
  </si>
  <si>
    <t>Single Plasma Exchange or Other Intravenous Blood Transfusion, 18 years and under (day case)</t>
  </si>
  <si>
    <t>Not included as not significantly different to SoC. People who receive exa-cel may opt to have fertility treatment.</t>
  </si>
  <si>
    <t>Comparator - blood transfusions</t>
  </si>
  <si>
    <t>Units per admin</t>
  </si>
  <si>
    <t xml:space="preserve">Cost* </t>
  </si>
  <si>
    <t>N/A</t>
  </si>
  <si>
    <t>Number of blood transfusions per year for people receiving standard care is a NICE estimate using  approx. mid point between 13 and 17.3 per FDG (page 16). Please review and amend locally.</t>
  </si>
  <si>
    <t>*Item code BC004, full cost price list 2023-24</t>
  </si>
  <si>
    <t>Dose per admin - NICE assumption for illustrative purposes - please amend locally.</t>
  </si>
  <si>
    <t>The</t>
  </si>
  <si>
    <t>Number</t>
  </si>
  <si>
    <t xml:space="preserve">prices </t>
  </si>
  <si>
    <t xml:space="preserve">selection </t>
  </si>
  <si>
    <t>are</t>
  </si>
  <si>
    <t>between</t>
  </si>
  <si>
    <t>used</t>
  </si>
  <si>
    <t xml:space="preserve">using </t>
  </si>
  <si>
    <t>Based on 2023/25 National Tariff Payment System -  24/25 prices</t>
  </si>
  <si>
    <t>on the</t>
  </si>
  <si>
    <t>local or</t>
  </si>
  <si>
    <t>https://www.england.nhs.uk/pay-syst/national-tariff/national-tariff-payment-system/#National-Tariff-Payment-System</t>
  </si>
  <si>
    <t>left.</t>
  </si>
  <si>
    <t>national</t>
  </si>
  <si>
    <t>is made</t>
  </si>
  <si>
    <t>Local</t>
  </si>
  <si>
    <t>prices</t>
  </si>
  <si>
    <t>summary</t>
  </si>
  <si>
    <t>WF01 A Paediatric Clinical Haematology Service (follow up)</t>
  </si>
  <si>
    <t xml:space="preserve">can be </t>
  </si>
  <si>
    <t>worksheet.</t>
  </si>
  <si>
    <t>WF01 AClinical Haematology Service</t>
  </si>
  <si>
    <t xml:space="preserve">used as </t>
  </si>
  <si>
    <t>Average</t>
  </si>
  <si>
    <t xml:space="preserve">as an </t>
  </si>
  <si>
    <t>alternative.</t>
  </si>
  <si>
    <t xml:space="preserve">Exagamglogene autotemcel is a stem cell transplant treatment given as a single infusion. The patient pathway for exagamglogene autotemcel is complex, with estimates of an average pathway from patient screening to engraftment of 21 weeks, but possibly up to 12 months. </t>
  </si>
  <si>
    <t xml:space="preserve">The resource impact covers  key elements of the pathway before and after treatment. </t>
  </si>
  <si>
    <t>The number of people receiving single dose exa-cel and supporting treatments each year have been adjusted to remove the cumulative effect of people who received treatment in a previous year.</t>
  </si>
  <si>
    <t>Eligible population and uptake</t>
  </si>
  <si>
    <t>Current practice</t>
  </si>
  <si>
    <t>Eligible population</t>
  </si>
  <si>
    <t>Uptake rate for exagamglogene autotemcel (exa-cel)</t>
  </si>
  <si>
    <t>Population receiving exa-cel each year</t>
  </si>
  <si>
    <t>People receiving the treatment options</t>
  </si>
  <si>
    <t>People receiving exa-cel in year</t>
  </si>
  <si>
    <t>People receiving standard care (blood transfusions)</t>
  </si>
  <si>
    <t>Financial resource impact</t>
  </si>
  <si>
    <t>Cash items</t>
  </si>
  <si>
    <t>£'000</t>
  </si>
  <si>
    <t>Drug resource impact per year</t>
  </si>
  <si>
    <t>Savings in blood transfusions</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</si>
  <si>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</si>
  <si>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</si>
  <si>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</si>
  <si>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</si>
  <si>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</si>
  <si>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</si>
  <si>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</si>
  <si>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</si>
  <si>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</si>
  <si>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hospital activity</t>
  </si>
  <si>
    <t>Mobilisation administrations (hospital bed days)</t>
  </si>
  <si>
    <t>Total (various activity)</t>
  </si>
  <si>
    <t>Capacity impact on nursing staffing - hours</t>
  </si>
  <si>
    <t>Total</t>
  </si>
  <si>
    <t>Capacity impact on pharmacy</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</si>
  <si>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</si>
  <si>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</si>
  <si>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</si>
  <si>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</si>
  <si>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Capacity impact on haematology medical staffing</t>
  </si>
  <si>
    <t>Appointments with specialist exa-cel treatment - change</t>
  </si>
  <si>
    <t>Capacity impact on standard care transfusions after treatment</t>
  </si>
  <si>
    <t>Number of blood transfusions (transfusions avoided from people achieving transfusion independence)</t>
  </si>
  <si>
    <t>Cumulative transfusions avoided</t>
  </si>
  <si>
    <t>Capacity impact on  haematology screening service</t>
  </si>
  <si>
    <t>Appointments with haematology specialty - change</t>
  </si>
  <si>
    <t>Capacity impact on  fertility service</t>
  </si>
  <si>
    <t>Appointments with fertility specialty - change</t>
  </si>
  <si>
    <t>Capacity impact on pathology/ radiology /diagnostics</t>
  </si>
  <si>
    <t>Imaging MRI scans - number of</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</si>
  <si>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</si>
  <si>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</si>
  <si>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</si>
  <si>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</si>
  <si>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</si>
  <si>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</si>
  <si>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</si>
  <si>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Drugs - people receiving treatment options</t>
  </si>
  <si>
    <t>People receiving exagamglogene autotemcel (Exa-cel)</t>
  </si>
  <si>
    <t>People receiving standard care - blood transfusions</t>
  </si>
  <si>
    <t>Supportive drgs excluded from total to avoid double counting people receiving exa-cel</t>
  </si>
  <si>
    <t>Drugs - resource impact</t>
  </si>
  <si>
    <t>Unit Cost</t>
  </si>
  <si>
    <t>Blood units costs</t>
  </si>
  <si>
    <t>Drug resource impact (cash)</t>
  </si>
  <si>
    <t>Net increase in cost to current practice</t>
  </si>
  <si>
    <t>Drug resource impact (cash) year on year</t>
  </si>
  <si>
    <t>Capacity impact (local prices)</t>
  </si>
  <si>
    <t>This sheet shows the capacity impact of the guidance.</t>
  </si>
  <si>
    <t>Eligible population - 12-17years</t>
  </si>
  <si>
    <t>Eligible population 18 and over</t>
  </si>
  <si>
    <t>Total eligible population</t>
  </si>
  <si>
    <t>Summary table</t>
  </si>
  <si>
    <t>Post treatment hospital stay - bed days</t>
  </si>
  <si>
    <t>Standard care - chelation monitoring appointments</t>
  </si>
  <si>
    <t>Standard care - chelation monitoring (Hours)</t>
  </si>
  <si>
    <t>Each item of capacity is modelled in an individual table below to give an overall estimate of resource impact</t>
  </si>
  <si>
    <t>Haematology nurse</t>
  </si>
  <si>
    <t xml:space="preserve">Mobilisation administrations </t>
  </si>
  <si>
    <t>Number of days in hospital</t>
  </si>
  <si>
    <t>Plerixafor SC injection</t>
  </si>
  <si>
    <t>Defibrotide IV infusion</t>
  </si>
  <si>
    <t>Hospital bed days</t>
  </si>
  <si>
    <t>Myeloablative conditioning  cycles</t>
  </si>
  <si>
    <t>Number of cycles</t>
  </si>
  <si>
    <t>People receiving exa-cell</t>
  </si>
  <si>
    <t>Transfusions - change to current practice</t>
  </si>
  <si>
    <t>Post treatment hospital stay</t>
  </si>
  <si>
    <t>Number of hospital bed days</t>
  </si>
  <si>
    <t>Hospital bed days - change to current practice</t>
  </si>
  <si>
    <t>Normalisation transfusions (12 months post treatment)</t>
  </si>
  <si>
    <t>Number of transfusions</t>
  </si>
  <si>
    <t>Normalisation administrations - duration of administrations (hours)</t>
  </si>
  <si>
    <t>Duration of administration
(hrs)</t>
  </si>
  <si>
    <t>All options</t>
  </si>
  <si>
    <t>Administrations - change in duration (hours) to current practice</t>
  </si>
  <si>
    <t>Standard care - regular blood transfusions</t>
  </si>
  <si>
    <t>Regular blood transfusions</t>
  </si>
  <si>
    <t>Standard care administrations - duration of administrations (hours)</t>
  </si>
  <si>
    <t>Standard care - chelation monitoring</t>
  </si>
  <si>
    <t>Number of appointments</t>
  </si>
  <si>
    <t>Monitoring - change in appointments to current practice</t>
  </si>
  <si>
    <t>Duration of appointment</t>
  </si>
  <si>
    <t>Monitoring- change in duration (hours) to current practice</t>
  </si>
  <si>
    <t>Pharmacy</t>
  </si>
  <si>
    <t>In-house aseptic unit preparations, number made</t>
  </si>
  <si>
    <t>In-house aseptic unit preparations (number made)</t>
  </si>
  <si>
    <t>People receiving exa-cell (busulfan  - myeloablation)</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</si>
  <si>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</si>
  <si>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</si>
  <si>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</si>
  <si>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</si>
  <si>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</si>
  <si>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</si>
  <si>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Haematology medical staffing</t>
  </si>
  <si>
    <t>Appointments with specialist - stem cell harvesting</t>
  </si>
  <si>
    <t>Days in hospital</t>
  </si>
  <si>
    <t>People receiving exa-cel</t>
  </si>
  <si>
    <t>Hospital stays</t>
  </si>
  <si>
    <t>Appointments with specialist - stem cell harvesting (specialist hours)</t>
  </si>
  <si>
    <t>Time (hours)</t>
  </si>
  <si>
    <t>Appointments with specialist (hours)</t>
  </si>
  <si>
    <t>Appointments with specialist - treatment infusions</t>
  </si>
  <si>
    <t>Additional hospital stays (bed days)</t>
  </si>
  <si>
    <t>Infusion time specialist (hours)</t>
  </si>
  <si>
    <t>Appointments with specialist  - follow up</t>
  </si>
  <si>
    <t>Attendances</t>
  </si>
  <si>
    <t>People receiving standard care</t>
  </si>
  <si>
    <t>Additional attendances</t>
  </si>
  <si>
    <t>Appointments with specialist - follow up (hours)</t>
  </si>
  <si>
    <t>Additional specialist hours</t>
  </si>
  <si>
    <t>Appointments with haematologist specialist for screening</t>
  </si>
  <si>
    <t>Appointments with x specialty</t>
  </si>
  <si>
    <t>Appointments with haematology specialty - change to current practice</t>
  </si>
  <si>
    <t>Fertility</t>
  </si>
  <si>
    <t>Appointments with specialist for fertility preservation (staff time - oocyte recovery / sperm collection)</t>
  </si>
  <si>
    <t>People receiving exa-cel - female</t>
  </si>
  <si>
    <t>People receiving exa-cel - male</t>
  </si>
  <si>
    <t>Additional staff time (hours)- change to current practice</t>
  </si>
  <si>
    <t>Pathology/ radiology/ diagnostics</t>
  </si>
  <si>
    <t>Imaging MRI scans</t>
  </si>
  <si>
    <t>People receiving exa-cel - adults</t>
  </si>
  <si>
    <t>People receiving exa-cel - paediatric</t>
  </si>
  <si>
    <t>Imaging MRI scans - change in number to current practice</t>
  </si>
  <si>
    <t>Capacity impact (national prices)</t>
  </si>
  <si>
    <t>Regular blood transfusions (adult)</t>
  </si>
  <si>
    <t>Regular blood transfusions (paediatric)</t>
  </si>
  <si>
    <t>Duration per transfusion
(hrs)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</si>
  <si>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</si>
  <si>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</si>
  <si>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</si>
  <si>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</si>
  <si>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</si>
  <si>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</si>
  <si>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</si>
  <si>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</si>
  <si>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</si>
  <si>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</si>
  <si>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</si>
  <si>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</si>
  <si>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</si>
  <si>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</si>
  <si>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</si>
  <si>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</si>
  <si>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</si>
  <si>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</si>
  <si>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</si>
  <si>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Hourly rate</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</si>
  <si>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</si>
  <si>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</si>
  <si>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</si>
  <si>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</si>
  <si>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</si>
  <si>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</si>
  <si>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</si>
  <si>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</si>
  <si>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</si>
  <si>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</si>
  <si>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</si>
  <si>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</si>
  <si>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</si>
  <si>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</si>
  <si>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</si>
  <si>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</si>
  <si>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</si>
  <si>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</si>
  <si>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</si>
  <si>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</si>
  <si>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</si>
  <si>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</si>
  <si>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</si>
  <si>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</si>
  <si>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Band 6 Mid</t>
  </si>
  <si>
    <t>Consultant</t>
  </si>
  <si>
    <t>Band 6 Top</t>
  </si>
  <si>
    <t>Weeks worked (net of annual leave/training leave)</t>
  </si>
  <si>
    <t>Band 7 Bottom</t>
  </si>
  <si>
    <t>Sessions worked per week (4 hour sessions)</t>
  </si>
  <si>
    <t>Band 7 Top</t>
  </si>
  <si>
    <t>Less SPA allowance (4 hour sessions)</t>
  </si>
  <si>
    <t>8A</t>
  </si>
  <si>
    <t>Band 8a Bottom</t>
  </si>
  <si>
    <t>Band 8a Mid</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</si>
  <si>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</si>
  <si>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</si>
  <si>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</si>
  <si>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</si>
  <si>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</si>
  <si>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</si>
  <si>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</si>
  <si>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</si>
  <si>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</si>
  <si>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</si>
  <si>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</si>
  <si>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</si>
  <si>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</si>
  <si>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</si>
  <si>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</si>
  <si>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</si>
  <si>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</si>
  <si>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</si>
  <si>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</si>
  <si>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</si>
  <si>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</si>
  <si>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</si>
  <si>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</si>
  <si>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</si>
  <si>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</si>
  <si>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</si>
  <si>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</si>
  <si>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TA1003</t>
  </si>
  <si>
    <t>September 2024</t>
  </si>
  <si>
    <t>Savings avoiding blood transfusions after exa-cel*</t>
  </si>
  <si>
    <t>*Savings are applied from the year after receiving exa-cel</t>
  </si>
  <si>
    <t>CAR-T</t>
  </si>
  <si>
    <t>Appointments with specialist - infusion time (hours)  - CAR-T service costs</t>
  </si>
  <si>
    <t>The novel nature of the therapy introduces additional costs over and above an auto-SCT for example regarding consenting to the use of gene therapy, post procedure cytopenia and fertility considerations. Length of stay is also potentially longer than auto-SCT.</t>
  </si>
  <si>
    <t>*CAR-T tariff gives an indicative package price which captures the delivery episode and the additional pre-transplant mobilisation and apheresis service costs listed by the company (drugs are considered separately). Consistent with The National Specialty Advisor for Hemoglobinopathies.</t>
  </si>
  <si>
    <t>This sheet shows the capacity impact with national prices of the guidance.</t>
  </si>
  <si>
    <t>Screening and fertility costs.</t>
  </si>
  <si>
    <t>Phlebotomy once every other week during normalisation/change phase based on clinical expert feedback [per company submission].</t>
  </si>
  <si>
    <t>CAR-T tariff gives an indicative package price which captures the delivery episode and the additional pre-transplant mobilisation and apheresis service costs listed by the company (drugs are considered separately). Consistent with The National Specialty Advisor for Hemoglobinopathies.</t>
  </si>
  <si>
    <t>The novel nature of the therapy introduces additional costs over and above an auto-Stem cell transplant (SCT) for example regarding consenting to the use of gene therapy, post procedure cytopenia and fertility considerations. Length of stay is also potentially longer than auto-SCT. The costs captured in the tariff therefore include:</t>
  </si>
  <si>
    <t>Pre treatment mobilisation and harvesting (apart from drug costs of plerexifor and defibrotide)  - Elective Inpatient stay for peripheral blood stem cell harvest and myeloablative conditioning.</t>
  </si>
  <si>
    <t>Adverse events cost:</t>
  </si>
  <si>
    <t>Notes:</t>
  </si>
  <si>
    <t>Number of CAR-T per person</t>
  </si>
  <si>
    <t xml:space="preserve">Administrations - for national prices the CART-T below is used. Please adjust if negotiated price is different </t>
  </si>
  <si>
    <t xml:space="preserve"> MRI required prior to myeloablation.</t>
  </si>
  <si>
    <t>Capacity requirements - these are used in the local prices tab only. Adjust as required. National prices uses the CAR T‑cell therapy delivery cost entered in the unit costs tab</t>
  </si>
  <si>
    <t>CAR T‑cell therapy delivery cost</t>
  </si>
  <si>
    <t>Overview | Axicabtagene ciloleucel for treating relapsed or refractory follicular lymphoma | Guidance | NICE</t>
  </si>
  <si>
    <t>Source of CAR-T value (please see committee discussion)</t>
  </si>
  <si>
    <t>Assumed people receive mobilisation cycles in a ward with other patients, therefore tariff used for cost estimate (please see unit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</si>
</sst>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1" formatCode="_-* #,##0_-;\-* #,##0_-;_-*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 #,##0_);_(* \(#,##0\);_(* &quot;-&quot;??_);_(@_)"/>
    <numFmt numFmtId="170" formatCode="0.000%"/>
    <numFmt numFmtId="171" formatCode="0.00000%"/>
    <numFmt numFmtId="172" formatCode="0.00000000000000%"/>
    <numFmt numFmtId="173" formatCode="#,##0.0_ ;\-#,##0.0\ "/>
    <numFmt numFmtId="174" formatCode="0.0000000%"/>
  </numFmts>
  <fonts count="8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b/>
      <sz val="9"/>
      <color indexed="81"/>
      <name val="Tahoma"/>
      <family val="2"/>
    </font>
    <font>
      <sz val="12"/>
      <color theme="1"/>
      <name val="Calibri"/>
      <family val="2"/>
    </font>
    <font>
      <b/>
      <u/>
      <sz val="11"/>
      <color theme="1"/>
      <name val="Calibri"/>
      <family val="2"/>
      <scheme val="minor"/>
    </font>
    <font>
      <u/>
      <sz val="11"/>
      <color rgb="FF000000"/>
      <name val="Calibri"/>
      <family val="2"/>
    </font>
    <font>
      <u/>
      <sz val="11"/>
      <name val="Calibri"/>
      <family val="2"/>
    </font>
    <font>
      <sz val="10"/>
      <color indexed="8"/>
      <name val="Arial"/>
      <family val="2"/>
    </font>
    <font>
      <sz val="11"/>
      <color theme="3" tint="0.39997558519241921"/>
      <name val="Calibri"/>
      <family val="2"/>
      <scheme val="minor"/>
    </font>
    <font>
      <b/>
      <sz val="11"/>
      <color theme="8" tint="-0.249977111117893"/>
      <name val="Calibri"/>
      <family val="2"/>
      <scheme val="minor"/>
    </font>
    <font>
      <sz val="11"/>
      <color theme="8" tint="-0.249977111117893"/>
      <name val="Calibri"/>
      <family val="2"/>
      <scheme val="minor"/>
    </font>
    <font>
      <i/>
      <sz val="11"/>
      <name val="Calibri"/>
      <family val="2"/>
      <scheme val="minor"/>
    </font>
    <font>
      <sz val="10"/>
      <color rgb="FF393939"/>
      <name val="Arial"/>
      <family val="2"/>
    </font>
    <font>
      <b/>
      <sz val="11"/>
      <color theme="1"/>
      <name val="Aptos Narrow"/>
      <family val="2"/>
    </font>
    <font>
      <b/>
      <sz val="11"/>
      <name val="Aptos Narrow"/>
      <family val="2"/>
    </font>
    <font>
      <b/>
      <sz val="18"/>
      <color theme="1"/>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rgb="FFFFFFFF"/>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rgb="FF000000"/>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50">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32" fillId="0" borderId="16" xfId="0" applyFont="1" applyBorder="1"/>
    <xf numFmtId="0" fontId="32" fillId="0" borderId="19" xfId="0" applyFont="1" applyBorder="1"/>
    <xf numFmtId="0" fontId="32" fillId="0" borderId="15" xfId="0"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49" fontId="6" fillId="0" borderId="19" xfId="0" applyNumberFormat="1" applyFont="1" applyBorder="1"/>
    <xf numFmtId="49" fontId="29" fillId="0" borderId="23" xfId="0" applyNumberFormat="1" applyFont="1" applyBorder="1"/>
    <xf numFmtId="49" fontId="29" fillId="0" borderId="13" xfId="0" applyNumberFormat="1" applyFont="1" applyBorder="1"/>
    <xf numFmtId="49" fontId="29" fillId="0" borderId="14" xfId="0" applyNumberFormat="1" applyFont="1" applyBorder="1"/>
    <xf numFmtId="49" fontId="6" fillId="0" borderId="0" xfId="0" applyNumberFormat="1" applyFont="1"/>
    <xf numFmtId="49" fontId="6" fillId="0" borderId="15" xfId="0" applyNumberFormat="1" applyFont="1" applyBorder="1"/>
    <xf numFmtId="49" fontId="6" fillId="0" borderId="16" xfId="0" applyNumberFormat="1" applyFont="1" applyBorder="1"/>
    <xf numFmtId="3" fontId="29" fillId="0" borderId="14"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49" fontId="7" fillId="0" borderId="12" xfId="0" applyNumberFormat="1"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49" fontId="7" fillId="0" borderId="23" xfId="0" applyNumberFormat="1" applyFont="1" applyBorder="1"/>
    <xf numFmtId="0" fontId="7" fillId="0" borderId="14" xfId="0" applyFont="1" applyBorder="1"/>
    <xf numFmtId="49" fontId="7" fillId="0" borderId="15" xfId="0" applyNumberFormat="1"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6" fillId="25" borderId="0" xfId="82" applyFont="1" applyFill="1"/>
    <xf numFmtId="0" fontId="46" fillId="0" borderId="0" xfId="82" applyFont="1"/>
    <xf numFmtId="0" fontId="39" fillId="0" borderId="0" xfId="0" applyFont="1"/>
    <xf numFmtId="43" fontId="29" fillId="29" borderId="0" xfId="0" applyNumberFormat="1" applyFont="1" applyFill="1"/>
    <xf numFmtId="0" fontId="33" fillId="0" borderId="0" xfId="0" applyFont="1"/>
    <xf numFmtId="3" fontId="7" fillId="0" borderId="12" xfId="0" applyNumberFormat="1" applyFont="1" applyBorder="1"/>
    <xf numFmtId="3" fontId="7" fillId="0" borderId="11" xfId="0" applyNumberFormat="1" applyFont="1" applyBorder="1"/>
    <xf numFmtId="0" fontId="6" fillId="0" borderId="0" xfId="0" applyFont="1"/>
    <xf numFmtId="0" fontId="7" fillId="0" borderId="17" xfId="0" applyFont="1" applyBorder="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5" fillId="0" borderId="0" xfId="0" applyFont="1"/>
    <xf numFmtId="0" fontId="0" fillId="0" borderId="11" xfId="0" applyBorder="1"/>
    <xf numFmtId="0" fontId="51" fillId="39" borderId="11" xfId="0" applyFont="1" applyFill="1" applyBorder="1" applyAlignment="1" applyProtection="1">
      <alignment horizontal="center" vertical="center" wrapText="1"/>
      <protection locked="0"/>
    </xf>
    <xf numFmtId="0" fontId="0" fillId="39" borderId="31" xfId="0" applyFill="1" applyBorder="1"/>
    <xf numFmtId="9" fontId="0" fillId="0" borderId="11" xfId="0" applyNumberFormat="1" applyBorder="1" applyAlignment="1">
      <alignment horizontal="right"/>
    </xf>
    <xf numFmtId="0" fontId="0" fillId="0" borderId="0" xfId="0" applyAlignment="1">
      <alignment horizontal="right"/>
    </xf>
    <xf numFmtId="9" fontId="0" fillId="39" borderId="31" xfId="0" applyNumberFormat="1" applyFill="1" applyBorder="1" applyAlignment="1">
      <alignment horizontal="right"/>
    </xf>
    <xf numFmtId="0" fontId="2" fillId="25" borderId="0" xfId="82" applyFill="1"/>
    <xf numFmtId="10" fontId="0" fillId="39" borderId="11" xfId="92" applyNumberFormat="1" applyFont="1" applyFill="1" applyBorder="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5" fillId="0" borderId="13" xfId="0" applyFont="1" applyBorder="1"/>
    <xf numFmtId="0" fontId="0" fillId="0" borderId="21" xfId="0" applyBorder="1"/>
    <xf numFmtId="0" fontId="45"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24" borderId="11" xfId="0" applyFill="1" applyBorder="1" applyAlignment="1">
      <alignment horizontal="center" wrapText="1"/>
    </xf>
    <xf numFmtId="165" fontId="45"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2" fillId="0" borderId="0" xfId="0" applyFont="1"/>
    <xf numFmtId="0" fontId="0" fillId="37" borderId="0" xfId="0" applyFill="1"/>
    <xf numFmtId="0" fontId="0" fillId="0" borderId="13" xfId="0" applyBorder="1"/>
    <xf numFmtId="0" fontId="39" fillId="37" borderId="0" xfId="0" applyFont="1" applyFill="1"/>
    <xf numFmtId="0" fontId="53" fillId="37" borderId="0" xfId="0" applyFont="1" applyFill="1"/>
    <xf numFmtId="0" fontId="54" fillId="0" borderId="0" xfId="0" applyFont="1"/>
    <xf numFmtId="0" fontId="55" fillId="0" borderId="0" xfId="0" applyFont="1"/>
    <xf numFmtId="0" fontId="56" fillId="0" borderId="0" xfId="0" applyFont="1"/>
    <xf numFmtId="0" fontId="0" fillId="39" borderId="32" xfId="0" applyFill="1" applyBorder="1"/>
    <xf numFmtId="0" fontId="0" fillId="39" borderId="33" xfId="0" applyFill="1" applyBorder="1"/>
    <xf numFmtId="0" fontId="0" fillId="39" borderId="11" xfId="0" applyFill="1" applyBorder="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5" fillId="0" borderId="11" xfId="0" applyNumberFormat="1" applyFont="1" applyBorder="1"/>
    <xf numFmtId="165" fontId="45" fillId="0" borderId="17" xfId="0" applyNumberFormat="1" applyFont="1" applyBorder="1"/>
    <xf numFmtId="0" fontId="39" fillId="24" borderId="20" xfId="0" applyFont="1" applyFill="1" applyBorder="1"/>
    <xf numFmtId="0" fontId="39" fillId="24" borderId="17" xfId="0" applyFont="1" applyFill="1" applyBorder="1"/>
    <xf numFmtId="0" fontId="45" fillId="24" borderId="10" xfId="0" applyFont="1" applyFill="1" applyBorder="1"/>
    <xf numFmtId="3" fontId="45" fillId="24" borderId="11" xfId="0" applyNumberFormat="1" applyFont="1" applyFill="1" applyBorder="1"/>
    <xf numFmtId="0" fontId="45" fillId="24" borderId="11" xfId="0" applyFont="1" applyFill="1" applyBorder="1"/>
    <xf numFmtId="165" fontId="45" fillId="24" borderId="11" xfId="0" applyNumberFormat="1" applyFont="1" applyFill="1" applyBorder="1"/>
    <xf numFmtId="165" fontId="45"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7" fillId="0" borderId="0" xfId="72" applyFont="1" applyFill="1" applyAlignment="1" applyProtection="1"/>
    <xf numFmtId="0" fontId="47" fillId="25" borderId="0" xfId="82" applyFont="1" applyFill="1" applyAlignment="1">
      <alignment horizontal="left"/>
    </xf>
    <xf numFmtId="0" fontId="47" fillId="0" borderId="0" xfId="82" applyFont="1" applyAlignment="1">
      <alignment vertical="top"/>
    </xf>
    <xf numFmtId="165" fontId="45" fillId="0" borderId="11" xfId="56" applyNumberFormat="1" applyFont="1" applyBorder="1"/>
    <xf numFmtId="0" fontId="0" fillId="0" borderId="20" xfId="0" applyBorder="1"/>
    <xf numFmtId="0" fontId="58" fillId="0" borderId="0" xfId="0" applyFont="1"/>
    <xf numFmtId="0" fontId="47" fillId="0" borderId="11" xfId="82" applyFont="1" applyBorder="1"/>
    <xf numFmtId="168" fontId="0" fillId="39" borderId="11" xfId="0" applyNumberFormat="1" applyFill="1" applyBorder="1"/>
    <xf numFmtId="0" fontId="0" fillId="0" borderId="12" xfId="0" applyBorder="1" applyAlignment="1">
      <alignment horizontal="left"/>
    </xf>
    <xf numFmtId="0" fontId="0" fillId="0" borderId="20" xfId="0" applyBorder="1" applyAlignment="1">
      <alignment horizontal="right"/>
    </xf>
    <xf numFmtId="164" fontId="60" fillId="39" borderId="11" xfId="82" applyNumberFormat="1" applyFont="1" applyFill="1"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8"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2" borderId="17" xfId="0" applyFont="1" applyFill="1" applyBorder="1"/>
    <xf numFmtId="0" fontId="39" fillId="42" borderId="0" xfId="0" applyFont="1" applyFill="1"/>
    <xf numFmtId="0" fontId="39" fillId="40" borderId="17" xfId="0" applyFont="1" applyFill="1" applyBorder="1"/>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0" fillId="24" borderId="0" xfId="0" applyFill="1"/>
    <xf numFmtId="0" fontId="45"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0" fillId="39" borderId="31" xfId="0" applyFill="1" applyBorder="1" applyAlignment="1">
      <alignment horizontal="center"/>
    </xf>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9"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2" fillId="0" borderId="20" xfId="0" applyFont="1" applyBorder="1" applyAlignment="1">
      <alignment wrapText="1"/>
    </xf>
    <xf numFmtId="0" fontId="47" fillId="0" borderId="12" xfId="0" applyFont="1" applyBorder="1" applyAlignment="1">
      <alignment wrapText="1"/>
    </xf>
    <xf numFmtId="0" fontId="0" fillId="0" borderId="20" xfId="0" applyBorder="1" applyAlignment="1">
      <alignment wrapText="1"/>
    </xf>
    <xf numFmtId="0" fontId="27" fillId="0" borderId="0" xfId="0" applyFont="1"/>
    <xf numFmtId="0" fontId="49" fillId="0" borderId="0" xfId="82" applyFont="1"/>
    <xf numFmtId="0" fontId="39" fillId="0" borderId="0" xfId="82" applyFont="1"/>
    <xf numFmtId="0" fontId="47" fillId="24" borderId="0" xfId="82" applyFont="1" applyFill="1"/>
    <xf numFmtId="0" fontId="49" fillId="24" borderId="11" xfId="82" applyFont="1" applyFill="1" applyBorder="1" applyAlignment="1">
      <alignment horizontal="center"/>
    </xf>
    <xf numFmtId="0" fontId="47" fillId="0" borderId="0" xfId="82" applyFont="1"/>
    <xf numFmtId="0" fontId="49" fillId="24" borderId="12" xfId="82" applyFont="1" applyFill="1" applyBorder="1" applyAlignment="1">
      <alignment horizontal="center"/>
    </xf>
    <xf numFmtId="0" fontId="49" fillId="24" borderId="11" xfId="82" applyFont="1" applyFill="1" applyBorder="1" applyAlignment="1">
      <alignment horizontal="center" wrapText="1"/>
    </xf>
    <xf numFmtId="0" fontId="47" fillId="0" borderId="12" xfId="82" applyFont="1" applyBorder="1"/>
    <xf numFmtId="0" fontId="47" fillId="0" borderId="17" xfId="82" applyFont="1" applyBorder="1"/>
    <xf numFmtId="0" fontId="47" fillId="39" borderId="11" xfId="82" applyFont="1" applyFill="1" applyBorder="1"/>
    <xf numFmtId="0" fontId="47" fillId="0" borderId="20" xfId="82" applyFont="1" applyBorder="1"/>
    <xf numFmtId="0" fontId="49"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5" fillId="24" borderId="12" xfId="0" applyFont="1" applyFill="1" applyBorder="1"/>
    <xf numFmtId="0" fontId="45" fillId="24" borderId="17" xfId="82" applyFont="1" applyFill="1" applyBorder="1"/>
    <xf numFmtId="0" fontId="0" fillId="0" borderId="12" xfId="0" applyBorder="1" applyAlignment="1">
      <alignment vertical="center" wrapText="1"/>
    </xf>
    <xf numFmtId="0" fontId="45" fillId="24" borderId="12" xfId="82" applyFont="1" applyFill="1" applyBorder="1"/>
    <xf numFmtId="0" fontId="45" fillId="24" borderId="20" xfId="82" applyFont="1" applyFill="1" applyBorder="1"/>
    <xf numFmtId="0" fontId="47" fillId="0" borderId="12" xfId="0" applyFont="1" applyBorder="1" applyAlignment="1">
      <alignment horizontal="left"/>
    </xf>
    <xf numFmtId="0" fontId="47" fillId="0" borderId="17" xfId="0" applyFont="1" applyBorder="1" applyAlignment="1">
      <alignment horizontal="left"/>
    </xf>
    <xf numFmtId="0" fontId="45"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7"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5" fillId="24" borderId="12" xfId="0" applyFont="1" applyFill="1" applyBorder="1" applyAlignment="1">
      <alignment horizontal="left"/>
    </xf>
    <xf numFmtId="0" fontId="49" fillId="24" borderId="12" xfId="0" applyFont="1" applyFill="1" applyBorder="1" applyAlignment="1">
      <alignment horizontal="left" vertical="center" wrapText="1"/>
    </xf>
    <xf numFmtId="0" fontId="45" fillId="24" borderId="11" xfId="0" applyFont="1" applyFill="1" applyBorder="1" applyAlignment="1">
      <alignment horizontal="left"/>
    </xf>
    <xf numFmtId="0" fontId="49" fillId="24" borderId="11" xfId="0" applyFont="1" applyFill="1" applyBorder="1" applyAlignment="1">
      <alignment horizontal="left" vertical="center" wrapText="1"/>
    </xf>
    <xf numFmtId="0" fontId="49" fillId="24" borderId="24" xfId="0" applyFont="1" applyFill="1" applyBorder="1" applyAlignment="1">
      <alignment horizontal="right" vertical="center"/>
    </xf>
    <xf numFmtId="0" fontId="49" fillId="24" borderId="17" xfId="0" applyFont="1" applyFill="1" applyBorder="1" applyAlignment="1">
      <alignment horizontal="right" vertical="center"/>
    </xf>
    <xf numFmtId="3" fontId="0" fillId="0" borderId="0" xfId="0" applyNumberFormat="1"/>
    <xf numFmtId="0" fontId="0" fillId="42" borderId="0" xfId="0" applyFill="1"/>
    <xf numFmtId="0" fontId="0" fillId="40" borderId="0" xfId="0" applyFill="1"/>
    <xf numFmtId="0" fontId="0" fillId="43" borderId="0" xfId="0" applyFill="1"/>
    <xf numFmtId="0" fontId="0" fillId="41" borderId="0" xfId="0" applyFill="1"/>
    <xf numFmtId="165" fontId="0" fillId="0" borderId="11" xfId="0" applyNumberFormat="1" applyBorder="1"/>
    <xf numFmtId="165" fontId="45" fillId="0" borderId="11" xfId="0" applyNumberFormat="1" applyFont="1" applyBorder="1"/>
    <xf numFmtId="0" fontId="45" fillId="0" borderId="12" xfId="82" applyFont="1" applyBorder="1"/>
    <xf numFmtId="4" fontId="0" fillId="0" borderId="11" xfId="0" applyNumberFormat="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0" fontId="0" fillId="24" borderId="12" xfId="0"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4" fontId="0" fillId="41" borderId="20" xfId="0" applyNumberFormat="1"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0" fontId="45" fillId="24" borderId="20" xfId="0" applyFont="1" applyFill="1" applyBorder="1" applyAlignment="1">
      <alignment horizontal="left"/>
    </xf>
    <xf numFmtId="0" fontId="47" fillId="0" borderId="0" xfId="0" applyFont="1" applyAlignment="1">
      <alignment horizontal="left" vertical="center"/>
    </xf>
    <xf numFmtId="0" fontId="49" fillId="24" borderId="17" xfId="0" applyFont="1" applyFill="1" applyBorder="1" applyAlignment="1">
      <alignment horizontal="left" vertical="center" wrapText="1"/>
    </xf>
    <xf numFmtId="0" fontId="39" fillId="42" borderId="0" xfId="82" applyFont="1" applyFill="1"/>
    <xf numFmtId="0" fontId="49" fillId="40" borderId="12" xfId="0" applyFont="1" applyFill="1" applyBorder="1" applyAlignment="1">
      <alignment horizontal="left" vertical="center"/>
    </xf>
    <xf numFmtId="0" fontId="39" fillId="40" borderId="0" xfId="82" applyFont="1" applyFill="1"/>
    <xf numFmtId="0" fontId="49" fillId="43" borderId="12" xfId="0" applyFont="1" applyFill="1" applyBorder="1" applyAlignment="1">
      <alignment horizontal="left" vertical="center"/>
    </xf>
    <xf numFmtId="0" fontId="39" fillId="43" borderId="0" xfId="82" applyFont="1" applyFill="1"/>
    <xf numFmtId="0" fontId="49" fillId="41" borderId="12" xfId="0" applyFont="1" applyFill="1" applyBorder="1" applyAlignment="1">
      <alignment horizontal="left" vertical="center"/>
    </xf>
    <xf numFmtId="0" fontId="39" fillId="41" borderId="0" xfId="82" applyFont="1" applyFill="1"/>
    <xf numFmtId="0" fontId="0" fillId="0" borderId="34" xfId="0" applyBorder="1"/>
    <xf numFmtId="0" fontId="0" fillId="44" borderId="0" xfId="0" applyFill="1"/>
    <xf numFmtId="0" fontId="49" fillId="44" borderId="12" xfId="0" applyFont="1" applyFill="1" applyBorder="1" applyAlignment="1">
      <alignment horizontal="left" vertical="center"/>
    </xf>
    <xf numFmtId="4" fontId="0" fillId="44" borderId="20" xfId="0" applyNumberFormat="1" applyFill="1" applyBorder="1"/>
    <xf numFmtId="0" fontId="0" fillId="44" borderId="20" xfId="0" applyFill="1" applyBorder="1" applyAlignment="1">
      <alignment horizontal="center"/>
    </xf>
    <xf numFmtId="164" fontId="0" fillId="44" borderId="20" xfId="0" applyNumberFormat="1" applyFill="1" applyBorder="1"/>
    <xf numFmtId="0" fontId="0" fillId="44" borderId="20" xfId="0" applyFill="1" applyBorder="1"/>
    <xf numFmtId="0" fontId="39" fillId="44" borderId="17" xfId="0" applyFont="1" applyFill="1" applyBorder="1"/>
    <xf numFmtId="3" fontId="0" fillId="39" borderId="11" xfId="0" applyNumberFormat="1" applyFill="1" applyBorder="1"/>
    <xf numFmtId="165" fontId="45"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61"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7" fillId="0" borderId="12" xfId="0" applyFont="1" applyBorder="1" applyAlignment="1">
      <alignment horizontal="left" wrapText="1"/>
    </xf>
    <xf numFmtId="0" fontId="63" fillId="0" borderId="0" xfId="0" applyFont="1" applyAlignment="1">
      <alignment vertical="center"/>
    </xf>
    <xf numFmtId="168" fontId="0" fillId="0" borderId="11" xfId="0" applyNumberFormat="1" applyBorder="1"/>
    <xf numFmtId="0" fontId="0" fillId="0" borderId="11" xfId="0" applyBorder="1" applyAlignment="1">
      <alignment horizontal="left"/>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64" fillId="0" borderId="0" xfId="0" applyFont="1"/>
    <xf numFmtId="9" fontId="0" fillId="0" borderId="34" xfId="0" applyNumberFormat="1" applyBorder="1" applyAlignment="1">
      <alignment horizontal="right"/>
    </xf>
    <xf numFmtId="164" fontId="47" fillId="39" borderId="11" xfId="82" applyNumberFormat="1" applyFont="1" applyFill="1" applyBorder="1"/>
    <xf numFmtId="0" fontId="49" fillId="24" borderId="17" xfId="0" applyFont="1" applyFill="1" applyBorder="1" applyAlignment="1">
      <alignment horizontal="right"/>
    </xf>
    <xf numFmtId="165" fontId="27" fillId="0" borderId="0" xfId="0" applyNumberFormat="1" applyFont="1"/>
    <xf numFmtId="166" fontId="0" fillId="39" borderId="11" xfId="56" applyNumberFormat="1" applyFont="1" applyFill="1" applyBorder="1" applyAlignment="1">
      <alignment horizontal="right"/>
    </xf>
    <xf numFmtId="0" fontId="45" fillId="0" borderId="0" xfId="0" applyFont="1" applyAlignment="1">
      <alignment wrapText="1"/>
    </xf>
    <xf numFmtId="10" fontId="27" fillId="0" borderId="0" xfId="92" applyNumberFormat="1" applyFont="1" applyFill="1" applyBorder="1"/>
    <xf numFmtId="3" fontId="45" fillId="0" borderId="0" xfId="0" applyNumberFormat="1" applyFont="1"/>
    <xf numFmtId="166" fontId="47" fillId="39" borderId="11" xfId="56" applyNumberFormat="1" applyFont="1" applyFill="1" applyBorder="1"/>
    <xf numFmtId="0" fontId="47" fillId="39" borderId="11" xfId="82" applyFont="1" applyFill="1" applyBorder="1" applyAlignment="1">
      <alignment horizontal="right"/>
    </xf>
    <xf numFmtId="0" fontId="47" fillId="39" borderId="11" xfId="82" applyFont="1" applyFill="1" applyBorder="1" applyAlignment="1">
      <alignment horizontal="center"/>
    </xf>
    <xf numFmtId="164" fontId="47" fillId="39" borderId="12" xfId="82" applyNumberFormat="1" applyFont="1" applyFill="1" applyBorder="1"/>
    <xf numFmtId="2" fontId="47" fillId="39" borderId="11" xfId="82" applyNumberFormat="1" applyFont="1" applyFill="1" applyBorder="1"/>
    <xf numFmtId="9" fontId="47" fillId="39" borderId="11" xfId="82" applyNumberFormat="1" applyFont="1" applyFill="1" applyBorder="1"/>
    <xf numFmtId="168" fontId="47" fillId="39" borderId="11" xfId="82" applyNumberFormat="1" applyFont="1" applyFill="1" applyBorder="1"/>
    <xf numFmtId="0" fontId="0" fillId="43" borderId="17" xfId="0" applyFill="1" applyBorder="1"/>
    <xf numFmtId="0" fontId="45"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7" fillId="39" borderId="11" xfId="0" applyFont="1" applyFill="1" applyBorder="1" applyAlignment="1">
      <alignment horizontal="center" vertical="center" wrapText="1"/>
    </xf>
    <xf numFmtId="0" fontId="67" fillId="0" borderId="0" xfId="0" applyFont="1" applyAlignment="1">
      <alignment horizontal="center" vertical="center"/>
    </xf>
    <xf numFmtId="0" fontId="68" fillId="45" borderId="11" xfId="0" applyFont="1" applyFill="1" applyBorder="1" applyAlignment="1">
      <alignment horizontal="center" vertical="center" wrapText="1"/>
    </xf>
    <xf numFmtId="0" fontId="45" fillId="0" borderId="12" xfId="0" applyFont="1" applyBorder="1" applyAlignment="1">
      <alignment horizontal="left"/>
    </xf>
    <xf numFmtId="0" fontId="45" fillId="0" borderId="20" xfId="0" applyFont="1" applyBorder="1" applyAlignment="1">
      <alignment horizontal="center"/>
    </xf>
    <xf numFmtId="164" fontId="45" fillId="0" borderId="20" xfId="0" applyNumberFormat="1" applyFont="1" applyBorder="1"/>
    <xf numFmtId="0" fontId="45" fillId="0" borderId="20" xfId="0" applyFont="1" applyBorder="1"/>
    <xf numFmtId="0" fontId="61" fillId="0" borderId="20" xfId="0" applyFont="1" applyBorder="1"/>
    <xf numFmtId="0" fontId="45"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5" fillId="0" borderId="17" xfId="0" applyNumberFormat="1" applyFont="1" applyBorder="1"/>
    <xf numFmtId="0" fontId="40" fillId="37" borderId="12" xfId="0" applyFont="1" applyFill="1" applyBorder="1" applyAlignment="1">
      <alignment vertical="center" wrapText="1"/>
    </xf>
    <xf numFmtId="0" fontId="0" fillId="39" borderId="11" xfId="0" applyFill="1" applyBorder="1" applyAlignment="1">
      <alignment horizontal="right"/>
    </xf>
    <xf numFmtId="0" fontId="39" fillId="37" borderId="20" xfId="0" applyFont="1" applyFill="1" applyBorder="1"/>
    <xf numFmtId="0" fontId="39" fillId="37" borderId="17" xfId="0" applyFont="1" applyFill="1" applyBorder="1"/>
    <xf numFmtId="0" fontId="69" fillId="37" borderId="20" xfId="0" applyFont="1" applyFill="1" applyBorder="1" applyAlignment="1">
      <alignment horizontal="left"/>
    </xf>
    <xf numFmtId="0" fontId="0" fillId="40" borderId="17" xfId="0" applyFill="1" applyBorder="1"/>
    <xf numFmtId="0" fontId="0" fillId="44" borderId="17" xfId="0" applyFill="1" applyBorder="1"/>
    <xf numFmtId="0" fontId="45" fillId="42" borderId="12" xfId="0" applyFont="1" applyFill="1" applyBorder="1" applyAlignment="1">
      <alignment horizontal="left"/>
    </xf>
    <xf numFmtId="0" fontId="39" fillId="42" borderId="20" xfId="0" applyFont="1" applyFill="1" applyBorder="1"/>
    <xf numFmtId="0" fontId="45" fillId="43" borderId="12" xfId="0" applyFont="1" applyFill="1" applyBorder="1" applyAlignment="1">
      <alignment horizontal="left"/>
    </xf>
    <xf numFmtId="0" fontId="39" fillId="43" borderId="20" xfId="0" applyFont="1" applyFill="1" applyBorder="1"/>
    <xf numFmtId="0" fontId="45" fillId="40" borderId="12" xfId="0" applyFont="1" applyFill="1" applyBorder="1" applyAlignment="1">
      <alignment horizontal="left"/>
    </xf>
    <xf numFmtId="0" fontId="39" fillId="40" borderId="20" xfId="0" applyFont="1" applyFill="1" applyBorder="1"/>
    <xf numFmtId="0" fontId="45" fillId="44" borderId="12" xfId="0" applyFont="1" applyFill="1" applyBorder="1" applyAlignment="1">
      <alignment horizontal="left"/>
    </xf>
    <xf numFmtId="0" fontId="39" fillId="44" borderId="20" xfId="0" applyFont="1" applyFill="1" applyBorder="1"/>
    <xf numFmtId="0" fontId="45" fillId="41" borderId="12" xfId="0" applyFont="1" applyFill="1" applyBorder="1" applyAlignment="1">
      <alignment horizontal="left"/>
    </xf>
    <xf numFmtId="0" fontId="39" fillId="41" borderId="20" xfId="0" applyFont="1" applyFill="1" applyBorder="1"/>
    <xf numFmtId="0" fontId="29" fillId="29" borderId="19" xfId="0" applyFont="1" applyFill="1" applyBorder="1"/>
    <xf numFmtId="0" fontId="47" fillId="0" borderId="12" xfId="0" applyFont="1" applyBorder="1"/>
    <xf numFmtId="9" fontId="60" fillId="39" borderId="11" xfId="92" applyFont="1" applyFill="1" applyBorder="1"/>
    <xf numFmtId="9" fontId="29" fillId="29" borderId="13" xfId="0" applyNumberFormat="1" applyFont="1" applyFill="1" applyBorder="1" applyAlignment="1">
      <alignment horizontal="center"/>
    </xf>
    <xf numFmtId="0" fontId="0" fillId="24" borderId="34" xfId="0" applyFill="1" applyBorder="1"/>
    <xf numFmtId="0" fontId="45" fillId="24" borderId="13" xfId="0" applyFont="1" applyFill="1" applyBorder="1"/>
    <xf numFmtId="0" fontId="39" fillId="44"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39" borderId="35" xfId="0" applyFill="1" applyBorder="1"/>
    <xf numFmtId="0" fontId="0" fillId="42" borderId="11" xfId="0" applyFill="1" applyBorder="1" applyAlignment="1">
      <alignment horizontal="center"/>
    </xf>
    <xf numFmtId="0" fontId="0" fillId="43" borderId="11" xfId="0" applyFill="1" applyBorder="1" applyAlignment="1">
      <alignment horizontal="center"/>
    </xf>
    <xf numFmtId="0" fontId="45" fillId="24" borderId="11" xfId="0" applyFont="1" applyFill="1" applyBorder="1" applyAlignment="1">
      <alignment horizontal="center" wrapText="1"/>
    </xf>
    <xf numFmtId="0" fontId="0" fillId="44" borderId="11" xfId="0" applyFill="1" applyBorder="1" applyAlignment="1">
      <alignment horizontal="center"/>
    </xf>
    <xf numFmtId="0" fontId="0" fillId="40" borderId="11" xfId="0" applyFill="1" applyBorder="1" applyAlignment="1">
      <alignment horizontal="center"/>
    </xf>
    <xf numFmtId="2" fontId="0" fillId="41"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2" borderId="11" xfId="0" applyNumberFormat="1" applyFill="1" applyBorder="1"/>
    <xf numFmtId="3" fontId="0" fillId="43" borderId="11" xfId="0" applyNumberFormat="1" applyFill="1" applyBorder="1"/>
    <xf numFmtId="0" fontId="39" fillId="37" borderId="34" xfId="0" applyFont="1" applyFill="1" applyBorder="1" applyAlignment="1">
      <alignment horizontal="center" wrapText="1"/>
    </xf>
    <xf numFmtId="0" fontId="0" fillId="24" borderId="15" xfId="0" applyFill="1" applyBorder="1" applyAlignment="1">
      <alignment horizontal="center" wrapText="1"/>
    </xf>
    <xf numFmtId="3" fontId="0" fillId="40" borderId="11" xfId="0" applyNumberFormat="1" applyFill="1" applyBorder="1"/>
    <xf numFmtId="3" fontId="0" fillId="44" borderId="11" xfId="0" applyNumberFormat="1" applyFill="1" applyBorder="1"/>
    <xf numFmtId="3" fontId="0" fillId="41" borderId="11" xfId="0" applyNumberFormat="1" applyFill="1" applyBorder="1"/>
    <xf numFmtId="0" fontId="39" fillId="42" borderId="10" xfId="0" applyFont="1" applyFill="1" applyBorder="1"/>
    <xf numFmtId="0" fontId="39" fillId="42" borderId="14" xfId="0" applyFont="1" applyFill="1" applyBorder="1"/>
    <xf numFmtId="0" fontId="39" fillId="41" borderId="10" xfId="0" applyFont="1" applyFill="1" applyBorder="1"/>
    <xf numFmtId="0" fontId="0" fillId="42" borderId="14" xfId="0" applyFill="1" applyBorder="1"/>
    <xf numFmtId="0" fontId="39" fillId="40" borderId="10" xfId="0" applyFont="1" applyFill="1" applyBorder="1"/>
    <xf numFmtId="0" fontId="39" fillId="44" borderId="10" xfId="0" applyFont="1" applyFill="1" applyBorder="1"/>
    <xf numFmtId="0" fontId="0" fillId="41" borderId="17" xfId="0" applyFill="1" applyBorder="1"/>
    <xf numFmtId="0" fontId="45" fillId="24" borderId="20" xfId="0" applyFont="1" applyFill="1" applyBorder="1" applyAlignment="1">
      <alignment horizontal="center"/>
    </xf>
    <xf numFmtId="164" fontId="45" fillId="24" borderId="20" xfId="0" applyNumberFormat="1" applyFont="1" applyFill="1" applyBorder="1"/>
    <xf numFmtId="0" fontId="45" fillId="24" borderId="20" xfId="0" applyFont="1" applyFill="1" applyBorder="1"/>
    <xf numFmtId="0" fontId="61" fillId="24" borderId="20" xfId="0" applyFont="1" applyFill="1" applyBorder="1"/>
    <xf numFmtId="165" fontId="47" fillId="39" borderId="12" xfId="82" applyNumberFormat="1" applyFont="1" applyFill="1" applyBorder="1"/>
    <xf numFmtId="165" fontId="47" fillId="39" borderId="11" xfId="82" applyNumberFormat="1" applyFont="1" applyFill="1" applyBorder="1"/>
    <xf numFmtId="0" fontId="0" fillId="42" borderId="12" xfId="0" applyFill="1" applyBorder="1" applyAlignment="1">
      <alignment wrapText="1"/>
    </xf>
    <xf numFmtId="0" fontId="0" fillId="43" borderId="12" xfId="0" applyFill="1" applyBorder="1" applyAlignment="1">
      <alignment wrapText="1"/>
    </xf>
    <xf numFmtId="0" fontId="0" fillId="40"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3" fontId="45" fillId="42" borderId="17" xfId="0" applyNumberFormat="1" applyFont="1" applyFill="1" applyBorder="1"/>
    <xf numFmtId="3" fontId="45" fillId="43" borderId="17" xfId="0" applyNumberFormat="1" applyFont="1" applyFill="1" applyBorder="1"/>
    <xf numFmtId="3" fontId="45" fillId="40" borderId="17" xfId="0" applyNumberFormat="1" applyFont="1" applyFill="1" applyBorder="1"/>
    <xf numFmtId="3" fontId="45" fillId="44" borderId="17" xfId="0" applyNumberFormat="1" applyFont="1" applyFill="1" applyBorder="1"/>
    <xf numFmtId="3" fontId="45" fillId="41" borderId="17" xfId="0" applyNumberFormat="1" applyFont="1" applyFill="1" applyBorder="1"/>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9" fillId="25" borderId="0" xfId="82" applyFont="1" applyFill="1" applyAlignment="1">
      <alignment horizontal="left"/>
    </xf>
    <xf numFmtId="0" fontId="49" fillId="24" borderId="11" xfId="82" applyFont="1" applyFill="1" applyBorder="1" applyAlignment="1">
      <alignment horizontal="left"/>
    </xf>
    <xf numFmtId="0" fontId="49" fillId="0" borderId="11" xfId="0" applyFont="1" applyBorder="1" applyAlignment="1">
      <alignment horizontal="left"/>
    </xf>
    <xf numFmtId="0" fontId="67" fillId="39" borderId="11" xfId="0" applyFont="1" applyFill="1" applyBorder="1" applyAlignment="1">
      <alignment horizontal="center" vertical="center"/>
    </xf>
    <xf numFmtId="0" fontId="0" fillId="0" borderId="36"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7" fillId="24" borderId="0" xfId="0" applyFont="1" applyFill="1" applyAlignment="1">
      <alignment horizontal="center" vertical="center"/>
    </xf>
    <xf numFmtId="0" fontId="67"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7" fillId="24" borderId="14" xfId="0" applyFont="1" applyFill="1" applyBorder="1" applyAlignment="1">
      <alignment horizontal="center" vertical="center"/>
    </xf>
    <xf numFmtId="0" fontId="27" fillId="24" borderId="14" xfId="0" applyFont="1" applyFill="1" applyBorder="1"/>
    <xf numFmtId="0" fontId="0" fillId="24" borderId="36" xfId="0" applyFill="1" applyBorder="1"/>
    <xf numFmtId="0" fontId="47" fillId="24" borderId="14" xfId="0" applyFont="1" applyFill="1" applyBorder="1" applyAlignment="1">
      <alignment horizontal="left"/>
    </xf>
    <xf numFmtId="0" fontId="47" fillId="24" borderId="14" xfId="0" applyFont="1" applyFill="1" applyBorder="1"/>
    <xf numFmtId="0" fontId="47" fillId="24" borderId="14" xfId="0" applyFont="1" applyFill="1" applyBorder="1" applyAlignment="1">
      <alignment vertical="center"/>
    </xf>
    <xf numFmtId="0" fontId="28" fillId="24" borderId="14" xfId="72" applyFill="1" applyBorder="1" applyAlignment="1" applyProtection="1">
      <alignment vertical="center"/>
    </xf>
    <xf numFmtId="0" fontId="47" fillId="24" borderId="16" xfId="82" applyFont="1" applyFill="1" applyBorder="1" applyAlignment="1">
      <alignment horizontal="center"/>
    </xf>
    <xf numFmtId="3" fontId="0" fillId="0" borderId="0" xfId="0" applyNumberFormat="1" applyAlignment="1">
      <alignment horizontal="right"/>
    </xf>
    <xf numFmtId="165" fontId="0" fillId="0" borderId="0" xfId="0" applyNumberFormat="1"/>
    <xf numFmtId="169" fontId="47"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7" fillId="0" borderId="11" xfId="57" applyNumberFormat="1" applyFont="1" applyFill="1" applyBorder="1" applyProtection="1"/>
    <xf numFmtId="3" fontId="47" fillId="0" borderId="11" xfId="82" applyNumberFormat="1" applyFont="1" applyBorder="1" applyAlignment="1">
      <alignment horizontal="right"/>
    </xf>
    <xf numFmtId="0" fontId="0" fillId="0" borderId="29" xfId="0" applyBorder="1"/>
    <xf numFmtId="169" fontId="47" fillId="0" borderId="29" xfId="82" applyNumberFormat="1" applyFont="1" applyBorder="1"/>
    <xf numFmtId="169" fontId="47" fillId="0" borderId="27" xfId="82" applyNumberFormat="1" applyFont="1" applyBorder="1"/>
    <xf numFmtId="0" fontId="0" fillId="39" borderId="31" xfId="0" applyFill="1" applyBorder="1" applyAlignment="1">
      <alignment horizontal="center" wrapText="1"/>
    </xf>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5"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70" fillId="0" borderId="0" xfId="0" applyFont="1" applyAlignment="1">
      <alignment vertical="center"/>
    </xf>
    <xf numFmtId="0" fontId="45" fillId="0" borderId="0" xfId="82" applyFont="1"/>
    <xf numFmtId="0" fontId="45" fillId="0" borderId="11" xfId="82" applyFont="1" applyBorder="1"/>
    <xf numFmtId="165" fontId="0" fillId="0" borderId="0" xfId="0" quotePrefix="1" applyNumberFormat="1" applyAlignment="1">
      <alignment horizontal="center"/>
    </xf>
    <xf numFmtId="165" fontId="45" fillId="0" borderId="19" xfId="56" applyNumberFormat="1" applyFont="1" applyFill="1" applyBorder="1"/>
    <xf numFmtId="165" fontId="45" fillId="0" borderId="11" xfId="56" applyNumberFormat="1" applyFont="1" applyFill="1" applyBorder="1"/>
    <xf numFmtId="0" fontId="0" fillId="0" borderId="30" xfId="82" applyFont="1" applyBorder="1"/>
    <xf numFmtId="165" fontId="45" fillId="0" borderId="30" xfId="56" applyNumberFormat="1" applyFont="1" applyBorder="1"/>
    <xf numFmtId="0" fontId="39" fillId="0" borderId="30" xfId="0" applyFont="1" applyBorder="1"/>
    <xf numFmtId="166" fontId="47" fillId="39" borderId="12" xfId="56" applyNumberFormat="1" applyFont="1" applyFill="1" applyBorder="1" applyAlignment="1">
      <alignment horizontal="center"/>
    </xf>
    <xf numFmtId="0" fontId="60" fillId="39" borderId="11" xfId="82" applyFont="1" applyFill="1" applyBorder="1"/>
    <xf numFmtId="0" fontId="29" fillId="46" borderId="11" xfId="0" applyFont="1" applyFill="1" applyBorder="1" applyAlignment="1">
      <alignment horizontal="left"/>
    </xf>
    <xf numFmtId="10" fontId="29" fillId="46"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0" fillId="39" borderId="38" xfId="0" applyFill="1" applyBorder="1"/>
    <xf numFmtId="0" fontId="0" fillId="39" borderId="32" xfId="0" applyFill="1" applyBorder="1" applyAlignment="1">
      <alignment horizontal="center" wrapText="1"/>
    </xf>
    <xf numFmtId="0" fontId="0" fillId="0" borderId="17" xfId="0" applyBorder="1" applyAlignment="1">
      <alignment horizontal="center" vertical="center"/>
    </xf>
    <xf numFmtId="0" fontId="61" fillId="0" borderId="16" xfId="0" applyFont="1" applyBorder="1"/>
    <xf numFmtId="0" fontId="0" fillId="0" borderId="20" xfId="0" applyBorder="1" applyAlignment="1">
      <alignment horizontal="center" vertical="center"/>
    </xf>
    <xf numFmtId="10" fontId="29" fillId="46" borderId="11" xfId="0" applyNumberFormat="1" applyFont="1" applyFill="1" applyBorder="1"/>
    <xf numFmtId="170" fontId="29" fillId="46" borderId="11" xfId="0" applyNumberFormat="1" applyFont="1" applyFill="1" applyBorder="1" applyAlignment="1">
      <alignment horizontal="center"/>
    </xf>
    <xf numFmtId="0" fontId="29" fillId="46" borderId="0" xfId="0" applyFont="1" applyFill="1" applyAlignment="1">
      <alignment horizontal="left"/>
    </xf>
    <xf numFmtId="166" fontId="27" fillId="39" borderId="11" xfId="56" applyNumberFormat="1" applyFont="1" applyFill="1" applyBorder="1" applyAlignment="1">
      <alignment horizontal="right"/>
    </xf>
    <xf numFmtId="9" fontId="0" fillId="0" borderId="11" xfId="92" applyFont="1" applyFill="1" applyBorder="1"/>
    <xf numFmtId="0" fontId="29" fillId="26" borderId="34" xfId="0" applyFont="1" applyFill="1" applyBorder="1" applyAlignment="1">
      <alignment horizontal="left"/>
    </xf>
    <xf numFmtId="0" fontId="29" fillId="26" borderId="34" xfId="0" applyFont="1" applyFill="1" applyBorder="1"/>
    <xf numFmtId="0" fontId="32" fillId="30" borderId="34" xfId="0" applyFont="1" applyFill="1" applyBorder="1" applyAlignment="1">
      <alignment vertical="center" wrapText="1"/>
    </xf>
    <xf numFmtId="0" fontId="32" fillId="27" borderId="34" xfId="0" applyFont="1" applyFill="1" applyBorder="1"/>
    <xf numFmtId="0" fontId="29" fillId="0" borderId="34" xfId="0" applyFont="1" applyBorder="1"/>
    <xf numFmtId="3" fontId="32" fillId="0" borderId="34" xfId="0" applyNumberFormat="1" applyFont="1" applyBorder="1"/>
    <xf numFmtId="3" fontId="7" fillId="0" borderId="34" xfId="0" applyNumberFormat="1" applyFont="1" applyBorder="1"/>
    <xf numFmtId="3" fontId="29" fillId="0" borderId="34" xfId="0" applyNumberFormat="1" applyFont="1" applyBorder="1"/>
    <xf numFmtId="3" fontId="6" fillId="0" borderId="34" xfId="0" applyNumberFormat="1" applyFont="1" applyBorder="1"/>
    <xf numFmtId="0" fontId="6" fillId="0" borderId="34" xfId="0" applyFont="1" applyBorder="1"/>
    <xf numFmtId="0" fontId="0" fillId="24" borderId="21" xfId="0" applyFill="1" applyBorder="1" applyAlignment="1">
      <alignment horizontal="center" wrapText="1"/>
    </xf>
    <xf numFmtId="0" fontId="45" fillId="42" borderId="21" xfId="0" applyFont="1" applyFill="1" applyBorder="1"/>
    <xf numFmtId="0" fontId="0" fillId="43" borderId="21" xfId="0" applyFill="1" applyBorder="1"/>
    <xf numFmtId="0" fontId="0" fillId="40" borderId="21" xfId="0" applyFill="1" applyBorder="1"/>
    <xf numFmtId="0" fontId="0" fillId="44" borderId="21" xfId="0" applyFill="1" applyBorder="1"/>
    <xf numFmtId="0" fontId="0" fillId="41" borderId="21" xfId="0" applyFill="1" applyBorder="1"/>
    <xf numFmtId="0" fontId="45" fillId="0" borderId="34" xfId="0" applyFont="1" applyBorder="1" applyAlignment="1">
      <alignment horizontal="right"/>
    </xf>
    <xf numFmtId="169" fontId="49" fillId="0" borderId="14" xfId="82" applyNumberFormat="1" applyFont="1" applyBorder="1"/>
    <xf numFmtId="169" fontId="47" fillId="0" borderId="14" xfId="82" applyNumberFormat="1" applyFont="1" applyBorder="1"/>
    <xf numFmtId="9" fontId="0" fillId="0" borderId="0" xfId="0" applyNumberFormat="1"/>
    <xf numFmtId="0" fontId="4" fillId="25" borderId="0" xfId="0" applyFont="1" applyFill="1" applyAlignment="1">
      <alignment vertical="center"/>
    </xf>
    <xf numFmtId="0" fontId="4" fillId="0" borderId="10" xfId="0" applyFont="1" applyBorder="1" applyAlignment="1">
      <alignment vertical="center"/>
    </xf>
    <xf numFmtId="0" fontId="0" fillId="0" borderId="17" xfId="0" applyBorder="1" applyAlignment="1">
      <alignment wrapText="1"/>
    </xf>
    <xf numFmtId="0" fontId="47" fillId="39" borderId="11" xfId="82" applyFont="1" applyFill="1" applyBorder="1" applyAlignment="1">
      <alignment wrapText="1"/>
    </xf>
    <xf numFmtId="165" fontId="49" fillId="39" borderId="11" xfId="82" applyNumberFormat="1" applyFont="1" applyFill="1" applyBorder="1"/>
    <xf numFmtId="0" fontId="0" fillId="39" borderId="11" xfId="0" applyFill="1" applyBorder="1" applyAlignment="1">
      <alignment wrapText="1"/>
    </xf>
    <xf numFmtId="5" fontId="47" fillId="39" borderId="11" xfId="56" applyNumberFormat="1" applyFont="1" applyFill="1" applyBorder="1"/>
    <xf numFmtId="164" fontId="47" fillId="0" borderId="0" xfId="82" applyNumberFormat="1" applyFont="1"/>
    <xf numFmtId="164" fontId="49" fillId="0" borderId="0" xfId="82" applyNumberFormat="1" applyFont="1"/>
    <xf numFmtId="165" fontId="47" fillId="39" borderId="11" xfId="82" applyNumberFormat="1" applyFont="1" applyFill="1" applyBorder="1" applyAlignment="1">
      <alignment horizontal="right"/>
    </xf>
    <xf numFmtId="3" fontId="47" fillId="39" borderId="11" xfId="82" applyNumberFormat="1" applyFont="1" applyFill="1" applyBorder="1"/>
    <xf numFmtId="0" fontId="47" fillId="39" borderId="12" xfId="82" applyFont="1" applyFill="1" applyBorder="1"/>
    <xf numFmtId="0" fontId="47" fillId="39" borderId="17" xfId="82" applyFont="1" applyFill="1" applyBorder="1"/>
    <xf numFmtId="0" fontId="47" fillId="24" borderId="12" xfId="82" applyFont="1" applyFill="1" applyBorder="1"/>
    <xf numFmtId="41" fontId="47" fillId="39" borderId="11" xfId="82" applyNumberFormat="1" applyFont="1" applyFill="1" applyBorder="1"/>
    <xf numFmtId="0" fontId="47" fillId="0" borderId="0" xfId="82" applyFont="1" applyAlignment="1">
      <alignment horizontal="center"/>
    </xf>
    <xf numFmtId="0" fontId="47" fillId="0" borderId="10" xfId="82" applyFont="1" applyBorder="1" applyAlignment="1">
      <alignment horizontal="center"/>
    </xf>
    <xf numFmtId="0" fontId="47" fillId="24" borderId="15" xfId="82" applyFont="1" applyFill="1" applyBorder="1" applyAlignment="1">
      <alignment horizontal="center"/>
    </xf>
    <xf numFmtId="0" fontId="66" fillId="39" borderId="11" xfId="0" applyFont="1" applyFill="1" applyBorder="1" applyAlignment="1">
      <alignment horizontal="center" wrapText="1"/>
    </xf>
    <xf numFmtId="0" fontId="47" fillId="0" borderId="39" xfId="82" applyFont="1" applyBorder="1" applyAlignment="1">
      <alignment horizontal="right"/>
    </xf>
    <xf numFmtId="0" fontId="47" fillId="0" borderId="11" xfId="82" applyFont="1" applyBorder="1" applyAlignment="1">
      <alignment horizontal="left"/>
    </xf>
    <xf numFmtId="0" fontId="0" fillId="0" borderId="15" xfId="0" applyBorder="1" applyAlignment="1">
      <alignment horizontal="left"/>
    </xf>
    <xf numFmtId="0" fontId="49" fillId="24" borderId="11" xfId="82" applyFont="1" applyFill="1" applyBorder="1" applyAlignment="1">
      <alignment horizontal="right" wrapText="1"/>
    </xf>
    <xf numFmtId="165" fontId="60" fillId="39" borderId="11" xfId="82" applyNumberFormat="1" applyFont="1" applyFill="1" applyBorder="1"/>
    <xf numFmtId="0" fontId="43" fillId="24" borderId="0" xfId="0" applyFont="1" applyFill="1"/>
    <xf numFmtId="9" fontId="0" fillId="0" borderId="0" xfId="0" applyNumberFormat="1" applyAlignment="1">
      <alignment horizontal="right"/>
    </xf>
    <xf numFmtId="0" fontId="0" fillId="39" borderId="40" xfId="0" applyFill="1" applyBorder="1" applyAlignment="1">
      <alignment horizontal="center" wrapText="1"/>
    </xf>
    <xf numFmtId="0" fontId="72" fillId="24" borderId="11" xfId="0" applyFont="1" applyFill="1" applyBorder="1" applyAlignment="1">
      <alignment horizontal="center" wrapText="1"/>
    </xf>
    <xf numFmtId="0" fontId="60" fillId="0" borderId="0" xfId="82" applyFont="1"/>
    <xf numFmtId="0" fontId="47" fillId="0" borderId="0" xfId="82" applyFont="1" applyAlignment="1">
      <alignment horizontal="left" wrapText="1"/>
    </xf>
    <xf numFmtId="0" fontId="36" fillId="0" borderId="0" xfId="0" applyFont="1" applyAlignment="1">
      <alignment horizontal="left" wrapText="1"/>
    </xf>
    <xf numFmtId="9" fontId="0" fillId="0" borderId="10" xfId="0" applyNumberFormat="1" applyBorder="1" applyAlignment="1">
      <alignment horizontal="right"/>
    </xf>
    <xf numFmtId="9" fontId="0" fillId="39" borderId="11" xfId="0" applyNumberFormat="1" applyFill="1" applyBorder="1" applyAlignment="1">
      <alignment horizontal="right"/>
    </xf>
    <xf numFmtId="0" fontId="47" fillId="24" borderId="11" xfId="82" applyFont="1" applyFill="1" applyBorder="1"/>
    <xf numFmtId="165" fontId="49" fillId="0" borderId="34" xfId="82" applyNumberFormat="1" applyFont="1" applyBorder="1"/>
    <xf numFmtId="0" fontId="57" fillId="0" borderId="0" xfId="72" applyFont="1" applyFill="1" applyBorder="1" applyAlignment="1" applyProtection="1"/>
    <xf numFmtId="0" fontId="49" fillId="0" borderId="0" xfId="82" applyFont="1" applyAlignment="1">
      <alignment horizontal="left"/>
    </xf>
    <xf numFmtId="166" fontId="6" fillId="0" borderId="0" xfId="56" applyNumberFormat="1" applyFont="1" applyFill="1" applyBorder="1" applyAlignment="1">
      <alignment horizontal="left"/>
    </xf>
    <xf numFmtId="0" fontId="49" fillId="0" borderId="0" xfId="0" applyFont="1" applyAlignment="1">
      <alignment horizontal="left" vertical="center" wrapText="1"/>
    </xf>
    <xf numFmtId="165" fontId="45" fillId="0" borderId="0" xfId="0" applyNumberFormat="1" applyFont="1"/>
    <xf numFmtId="0" fontId="27" fillId="24" borderId="15" xfId="0" quotePrefix="1" applyFont="1" applyFill="1" applyBorder="1" applyAlignment="1">
      <alignment horizontal="center"/>
    </xf>
    <xf numFmtId="0" fontId="0" fillId="0" borderId="11" xfId="0" quotePrefix="1" applyBorder="1"/>
    <xf numFmtId="0" fontId="49" fillId="0" borderId="11" xfId="0" applyFont="1" applyBorder="1" applyAlignment="1">
      <alignment horizontal="left" vertical="center" wrapText="1"/>
    </xf>
    <xf numFmtId="0" fontId="45" fillId="0" borderId="11" xfId="0" applyFont="1" applyBorder="1"/>
    <xf numFmtId="0" fontId="45" fillId="42" borderId="20" xfId="0" applyFont="1" applyFill="1" applyBorder="1" applyAlignment="1">
      <alignment horizontal="left"/>
    </xf>
    <xf numFmtId="0" fontId="0" fillId="42" borderId="18" xfId="0" applyFill="1" applyBorder="1"/>
    <xf numFmtId="0" fontId="47" fillId="42" borderId="0" xfId="0" applyFont="1" applyFill="1" applyAlignment="1">
      <alignment horizontal="left" vertical="center"/>
    </xf>
    <xf numFmtId="0" fontId="0" fillId="42" borderId="0" xfId="0" applyFill="1" applyAlignment="1">
      <alignment horizontal="center"/>
    </xf>
    <xf numFmtId="164" fontId="0" fillId="42" borderId="0" xfId="0" applyNumberFormat="1" applyFill="1"/>
    <xf numFmtId="164" fontId="0" fillId="24" borderId="11" xfId="0" applyNumberFormat="1" applyFill="1" applyBorder="1"/>
    <xf numFmtId="0" fontId="0" fillId="24" borderId="41" xfId="0" applyFill="1" applyBorder="1"/>
    <xf numFmtId="0" fontId="45" fillId="24" borderId="41" xfId="0" applyFont="1" applyFill="1" applyBorder="1" applyAlignment="1">
      <alignment horizontal="center" wrapText="1"/>
    </xf>
    <xf numFmtId="0" fontId="45" fillId="24" borderId="12" xfId="0" applyFont="1" applyFill="1" applyBorder="1" applyAlignment="1">
      <alignment horizontal="center" wrapText="1"/>
    </xf>
    <xf numFmtId="0" fontId="45" fillId="24" borderId="41" xfId="0" applyFont="1" applyFill="1" applyBorder="1" applyAlignment="1">
      <alignment horizontal="center"/>
    </xf>
    <xf numFmtId="0" fontId="49" fillId="24" borderId="17" xfId="82" applyFont="1" applyFill="1" applyBorder="1" applyAlignment="1">
      <alignment horizontal="right" wrapText="1"/>
    </xf>
    <xf numFmtId="0" fontId="0" fillId="24" borderId="32" xfId="0" applyFill="1" applyBorder="1"/>
    <xf numFmtId="0" fontId="45" fillId="24" borderId="13" xfId="0" applyFont="1" applyFill="1" applyBorder="1" applyAlignment="1">
      <alignment horizontal="center" wrapText="1"/>
    </xf>
    <xf numFmtId="166" fontId="52" fillId="0" borderId="0" xfId="56" applyNumberFormat="1" applyFont="1" applyFill="1" applyBorder="1" applyAlignment="1">
      <alignment horizontal="left"/>
    </xf>
    <xf numFmtId="3" fontId="49" fillId="0" borderId="11" xfId="0" applyNumberFormat="1" applyFont="1" applyBorder="1" applyAlignment="1">
      <alignment horizontal="right" wrapText="1"/>
    </xf>
    <xf numFmtId="0" fontId="49" fillId="44" borderId="0" xfId="0" applyFont="1" applyFill="1" applyAlignment="1">
      <alignment horizontal="right" vertical="center"/>
    </xf>
    <xf numFmtId="3" fontId="45" fillId="44" borderId="0" xfId="0" applyNumberFormat="1" applyFont="1" applyFill="1"/>
    <xf numFmtId="165" fontId="45" fillId="44" borderId="0" xfId="0" applyNumberFormat="1" applyFont="1" applyFill="1"/>
    <xf numFmtId="4" fontId="0" fillId="42" borderId="0" xfId="0" applyNumberFormat="1" applyFill="1"/>
    <xf numFmtId="0" fontId="49" fillId="40" borderId="0" xfId="0" applyFont="1" applyFill="1" applyAlignment="1">
      <alignment horizontal="right" vertical="center"/>
    </xf>
    <xf numFmtId="3" fontId="45" fillId="40" borderId="0" xfId="0" applyNumberFormat="1" applyFont="1" applyFill="1"/>
    <xf numFmtId="165" fontId="45" fillId="40" borderId="0" xfId="0" applyNumberFormat="1" applyFont="1" applyFill="1"/>
    <xf numFmtId="0" fontId="39" fillId="40" borderId="0" xfId="0" applyFont="1" applyFill="1" applyAlignment="1">
      <alignment horizontal="center" wrapText="1"/>
    </xf>
    <xf numFmtId="0" fontId="0" fillId="40" borderId="0" xfId="0" applyFill="1" applyAlignment="1">
      <alignment horizontal="center" wrapText="1"/>
    </xf>
    <xf numFmtId="165" fontId="0" fillId="40" borderId="0" xfId="0" applyNumberFormat="1" applyFill="1"/>
    <xf numFmtId="0" fontId="39" fillId="43" borderId="10" xfId="0" applyFont="1" applyFill="1" applyBorder="1"/>
    <xf numFmtId="0" fontId="45" fillId="42" borderId="20" xfId="0" applyFont="1" applyFill="1" applyBorder="1" applyAlignment="1">
      <alignment horizontal="center"/>
    </xf>
    <xf numFmtId="164" fontId="45" fillId="42" borderId="20" xfId="0" applyNumberFormat="1" applyFont="1" applyFill="1" applyBorder="1"/>
    <xf numFmtId="0" fontId="45" fillId="42" borderId="20" xfId="0" applyFont="1" applyFill="1" applyBorder="1"/>
    <xf numFmtId="0" fontId="61" fillId="42" borderId="20" xfId="0" applyFont="1" applyFill="1" applyBorder="1"/>
    <xf numFmtId="0" fontId="61" fillId="42" borderId="17" xfId="0" applyFont="1" applyFill="1" applyBorder="1"/>
    <xf numFmtId="0" fontId="0" fillId="42" borderId="17" xfId="0" applyFill="1" applyBorder="1"/>
    <xf numFmtId="0" fontId="45" fillId="42" borderId="0" xfId="0" applyFont="1" applyFill="1"/>
    <xf numFmtId="0" fontId="49" fillId="42" borderId="0" xfId="0" applyFont="1" applyFill="1" applyAlignment="1">
      <alignment horizontal="right" vertical="center"/>
    </xf>
    <xf numFmtId="3" fontId="45" fillId="42" borderId="0" xfId="0" applyNumberFormat="1" applyFont="1" applyFill="1"/>
    <xf numFmtId="165" fontId="45" fillId="42" borderId="0" xfId="0" applyNumberFormat="1" applyFont="1" applyFill="1"/>
    <xf numFmtId="0" fontId="0" fillId="39" borderId="42" xfId="0" applyFill="1" applyBorder="1" applyAlignment="1">
      <alignment horizontal="center" wrapText="1"/>
    </xf>
    <xf numFmtId="165" fontId="0" fillId="24" borderId="11" xfId="0" applyNumberFormat="1" applyFill="1" applyBorder="1"/>
    <xf numFmtId="0" fontId="0" fillId="40" borderId="12" xfId="0" applyFill="1" applyBorder="1" applyAlignment="1">
      <alignment horizontal="left"/>
    </xf>
    <xf numFmtId="0" fontId="61" fillId="42" borderId="0" xfId="0" applyFont="1" applyFill="1"/>
    <xf numFmtId="0" fontId="0" fillId="24" borderId="43" xfId="0" applyFill="1" applyBorder="1" applyAlignment="1">
      <alignment horizontal="center" wrapText="1"/>
    </xf>
    <xf numFmtId="165" fontId="27" fillId="24" borderId="21" xfId="0" applyNumberFormat="1" applyFont="1" applyFill="1" applyBorder="1" applyAlignment="1">
      <alignment horizontal="center" wrapText="1"/>
    </xf>
    <xf numFmtId="0" fontId="73" fillId="24" borderId="24" xfId="0" applyFont="1" applyFill="1" applyBorder="1"/>
    <xf numFmtId="165" fontId="0" fillId="0" borderId="21" xfId="56" applyNumberFormat="1" applyFont="1" applyBorder="1"/>
    <xf numFmtId="0" fontId="0" fillId="0" borderId="11" xfId="82" applyFont="1" applyBorder="1"/>
    <xf numFmtId="0" fontId="47" fillId="0" borderId="0" xfId="0" applyFont="1" applyAlignment="1">
      <alignment horizontal="left"/>
    </xf>
    <xf numFmtId="0" fontId="47" fillId="0" borderId="0" xfId="0" applyFont="1" applyAlignment="1">
      <alignment horizontal="left" wrapText="1"/>
    </xf>
    <xf numFmtId="3" fontId="0" fillId="0" borderId="17" xfId="0" applyNumberFormat="1" applyBorder="1"/>
    <xf numFmtId="0" fontId="36" fillId="0" borderId="0" xfId="0" applyFont="1" applyAlignment="1">
      <alignment wrapText="1"/>
    </xf>
    <xf numFmtId="0" fontId="58" fillId="0" borderId="0" xfId="0" applyFont="1" applyAlignment="1">
      <alignment horizontal="left"/>
    </xf>
    <xf numFmtId="0" fontId="74" fillId="0" borderId="0" xfId="0" applyFont="1" applyAlignment="1">
      <alignment wrapText="1"/>
    </xf>
    <xf numFmtId="0" fontId="75" fillId="0" borderId="0" xfId="72" applyFont="1" applyAlignment="1" applyProtection="1"/>
    <xf numFmtId="0" fontId="60" fillId="0" borderId="0" xfId="72" applyFont="1" applyAlignment="1" applyProtection="1"/>
    <xf numFmtId="166" fontId="6" fillId="0" borderId="0" xfId="56" applyNumberFormat="1" applyFont="1" applyFill="1" applyBorder="1" applyAlignment="1">
      <alignment horizontal="right"/>
    </xf>
    <xf numFmtId="0" fontId="0" fillId="42" borderId="0" xfId="0" applyFill="1" applyAlignment="1">
      <alignment horizontal="center" wrapText="1"/>
    </xf>
    <xf numFmtId="165" fontId="0" fillId="42" borderId="0" xfId="0" applyNumberFormat="1" applyFill="1"/>
    <xf numFmtId="0" fontId="39" fillId="42" borderId="0" xfId="0" applyFont="1" applyFill="1" applyAlignment="1">
      <alignment horizontal="center" wrapText="1"/>
    </xf>
    <xf numFmtId="0" fontId="76" fillId="25" borderId="10" xfId="0" applyFont="1" applyFill="1" applyBorder="1" applyAlignment="1">
      <alignment horizontal="center" wrapText="1"/>
    </xf>
    <xf numFmtId="0" fontId="76" fillId="25" borderId="10" xfId="0" applyFont="1" applyFill="1" applyBorder="1" applyAlignment="1">
      <alignment horizontal="left" wrapText="1"/>
    </xf>
    <xf numFmtId="1" fontId="76" fillId="25" borderId="10" xfId="0" applyNumberFormat="1" applyFont="1" applyFill="1" applyBorder="1" applyAlignment="1">
      <alignment horizontal="center" wrapText="1"/>
    </xf>
    <xf numFmtId="0" fontId="47" fillId="24" borderId="19" xfId="82" applyFont="1" applyFill="1" applyBorder="1" applyAlignment="1">
      <alignment horizontal="center"/>
    </xf>
    <xf numFmtId="9" fontId="0" fillId="24" borderId="31" xfId="0" applyNumberFormat="1" applyFill="1" applyBorder="1" applyAlignment="1">
      <alignment horizontal="right"/>
    </xf>
    <xf numFmtId="0" fontId="77" fillId="0" borderId="0" xfId="0" applyFont="1" applyAlignment="1">
      <alignment horizontal="right"/>
    </xf>
    <xf numFmtId="0" fontId="77" fillId="0" borderId="0" xfId="0" applyFont="1"/>
    <xf numFmtId="3" fontId="77" fillId="0" borderId="0" xfId="0" applyNumberFormat="1" applyFont="1"/>
    <xf numFmtId="165" fontId="77" fillId="0" borderId="0" xfId="56" applyNumberFormat="1" applyFont="1" applyBorder="1"/>
    <xf numFmtId="0" fontId="47" fillId="0" borderId="0" xfId="0" applyFont="1"/>
    <xf numFmtId="165" fontId="78" fillId="0" borderId="30" xfId="56" applyNumberFormat="1" applyFont="1" applyBorder="1"/>
    <xf numFmtId="165" fontId="79" fillId="0" borderId="0" xfId="56" applyNumberFormat="1" applyFont="1" applyBorder="1"/>
    <xf numFmtId="0" fontId="47" fillId="0" borderId="0" xfId="82" applyFont="1" applyAlignment="1">
      <alignment horizontal="right"/>
    </xf>
    <xf numFmtId="0" fontId="0" fillId="0" borderId="0" xfId="0" applyAlignment="1">
      <alignment horizontal="center"/>
    </xf>
    <xf numFmtId="0" fontId="0" fillId="39" borderId="44" xfId="0" applyFill="1" applyBorder="1"/>
    <xf numFmtId="0" fontId="0" fillId="39" borderId="45" xfId="0" applyFill="1" applyBorder="1"/>
    <xf numFmtId="2" fontId="0" fillId="0" borderId="11" xfId="0" applyNumberFormat="1" applyBorder="1" applyAlignment="1">
      <alignment horizontal="right"/>
    </xf>
    <xf numFmtId="168" fontId="0" fillId="0" borderId="0" xfId="0" applyNumberFormat="1"/>
    <xf numFmtId="10" fontId="0" fillId="39" borderId="11" xfId="0" applyNumberFormat="1" applyFill="1" applyBorder="1"/>
    <xf numFmtId="10" fontId="0" fillId="39" borderId="11" xfId="0" applyNumberFormat="1" applyFill="1" applyBorder="1" applyAlignment="1">
      <alignment horizontal="right"/>
    </xf>
    <xf numFmtId="2" fontId="45" fillId="39" borderId="11" xfId="0" applyNumberFormat="1" applyFont="1" applyFill="1" applyBorder="1" applyAlignment="1">
      <alignment horizontal="right"/>
    </xf>
    <xf numFmtId="0" fontId="0" fillId="0" borderId="12" xfId="0" applyBorder="1" applyAlignment="1">
      <alignment horizontal="right"/>
    </xf>
    <xf numFmtId="0" fontId="0" fillId="0" borderId="11" xfId="0" applyBorder="1" applyAlignment="1">
      <alignment horizontal="right" wrapText="1"/>
    </xf>
    <xf numFmtId="0" fontId="0" fillId="0" borderId="17" xfId="0" applyBorder="1" applyAlignment="1">
      <alignment horizontal="right" wrapText="1"/>
    </xf>
    <xf numFmtId="0" fontId="0" fillId="0" borderId="23" xfId="0" applyBorder="1" applyAlignment="1">
      <alignment horizontal="right"/>
    </xf>
    <xf numFmtId="0" fontId="51" fillId="0" borderId="12" xfId="0" applyFont="1" applyBorder="1"/>
    <xf numFmtId="173" fontId="47" fillId="39" borderId="11" xfId="56" applyNumberFormat="1" applyFont="1" applyFill="1" applyBorder="1"/>
    <xf numFmtId="0" fontId="28" fillId="0" borderId="20" xfId="72" applyBorder="1" applyAlignment="1" applyProtection="1"/>
    <xf numFmtId="3" fontId="29" fillId="0" borderId="19" xfId="0" applyNumberFormat="1" applyFont="1" applyBorder="1"/>
    <xf numFmtId="3" fontId="29" fillId="0" borderId="23" xfId="0" applyNumberFormat="1" applyFont="1" applyBorder="1"/>
    <xf numFmtId="3" fontId="29" fillId="0" borderId="15" xfId="0" applyNumberFormat="1" applyFont="1" applyBorder="1"/>
    <xf numFmtId="3" fontId="29" fillId="0" borderId="16" xfId="0" applyNumberFormat="1" applyFont="1" applyBorder="1"/>
    <xf numFmtId="3" fontId="7" fillId="0" borderId="15" xfId="0" applyNumberFormat="1" applyFont="1" applyBorder="1"/>
    <xf numFmtId="3" fontId="7" fillId="0" borderId="19" xfId="0" applyNumberFormat="1" applyFont="1" applyBorder="1"/>
    <xf numFmtId="3" fontId="29" fillId="0" borderId="0" xfId="0" applyNumberFormat="1" applyFont="1" applyAlignment="1">
      <alignment horizontal="right"/>
    </xf>
    <xf numFmtId="3" fontId="6" fillId="0" borderId="19" xfId="0" applyNumberFormat="1" applyFont="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5" fillId="24" borderId="11" xfId="0" applyFont="1" applyFill="1" applyBorder="1" applyAlignment="1">
      <alignment horizontal="center"/>
    </xf>
    <xf numFmtId="0" fontId="45"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5" fillId="0" borderId="11" xfId="93" applyNumberFormat="1" applyFont="1" applyFill="1" applyBorder="1"/>
    <xf numFmtId="174" fontId="6" fillId="46" borderId="0" xfId="92" applyNumberFormat="1" applyFont="1" applyFill="1"/>
    <xf numFmtId="3" fontId="38" fillId="0" borderId="12" xfId="0" applyNumberFormat="1"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6" borderId="11" xfId="92" applyNumberFormat="1" applyFont="1" applyFill="1" applyBorder="1"/>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0" fontId="29" fillId="24" borderId="11" xfId="0" applyFont="1" applyFill="1" applyBorder="1" applyAlignment="1">
      <alignment horizontal="center" wrapText="1"/>
    </xf>
    <xf numFmtId="0" fontId="29" fillId="44" borderId="11" xfId="0" applyFont="1" applyFill="1" applyBorder="1" applyAlignment="1">
      <alignment horizontal="center" wrapText="1"/>
    </xf>
    <xf numFmtId="10" fontId="29" fillId="24" borderId="11" xfId="92" applyNumberFormat="1" applyFont="1" applyFill="1" applyBorder="1" applyAlignment="1">
      <alignment horizontal="center"/>
    </xf>
    <xf numFmtId="170" fontId="29" fillId="44" borderId="11" xfId="0" applyNumberFormat="1" applyFont="1" applyFill="1" applyBorder="1" applyAlignment="1">
      <alignment horizontal="center"/>
    </xf>
    <xf numFmtId="0" fontId="29" fillId="44" borderId="0" xfId="0" applyFont="1" applyFill="1" applyAlignment="1">
      <alignment horizontal="center"/>
    </xf>
    <xf numFmtId="10" fontId="0" fillId="39" borderId="11" xfId="92" applyNumberFormat="1" applyFont="1" applyFill="1" applyBorder="1" applyProtection="1">
      <protection locked="0"/>
    </xf>
    <xf numFmtId="10" fontId="27" fillId="0" borderId="17" xfId="92" applyNumberFormat="1" applyFont="1" applyFill="1" applyBorder="1"/>
    <xf numFmtId="170" fontId="0" fillId="39" borderId="11" xfId="92" applyNumberFormat="1" applyFont="1" applyFill="1" applyBorder="1" applyAlignment="1"/>
    <xf numFmtId="10" fontId="0" fillId="39" borderId="11" xfId="92" applyNumberFormat="1" applyFont="1" applyFill="1" applyBorder="1" applyAlignment="1"/>
    <xf numFmtId="0" fontId="47" fillId="0" borderId="14" xfId="0" applyFont="1" applyBorder="1"/>
    <xf numFmtId="3" fontId="45" fillId="0" borderId="10" xfId="0" applyNumberFormat="1" applyFont="1" applyBorder="1"/>
    <xf numFmtId="0" fontId="0" fillId="0" borderId="10" xfId="0" applyBorder="1" applyAlignment="1">
      <alignment horizontal="right"/>
    </xf>
    <xf numFmtId="9" fontId="0" fillId="39" borderId="35" xfId="0" applyNumberFormat="1" applyFill="1" applyBorder="1" applyAlignment="1">
      <alignment horizontal="right"/>
    </xf>
    <xf numFmtId="0" fontId="49" fillId="24" borderId="0" xfId="87" applyFont="1" applyFill="1" applyAlignment="1">
      <alignment horizontal="left"/>
    </xf>
    <xf numFmtId="0" fontId="28" fillId="24" borderId="0" xfId="72" quotePrefix="1" applyFill="1" applyAlignment="1" applyProtection="1"/>
    <xf numFmtId="0" fontId="45" fillId="24" borderId="0" xfId="0" applyFont="1" applyFill="1"/>
    <xf numFmtId="5" fontId="47" fillId="39" borderId="11" xfId="56" applyNumberFormat="1" applyFont="1" applyFill="1" applyBorder="1" applyAlignment="1"/>
    <xf numFmtId="166" fontId="47" fillId="0" borderId="12" xfId="56" applyNumberFormat="1" applyFont="1" applyFill="1" applyBorder="1" applyAlignment="1">
      <alignment horizontal="right"/>
    </xf>
    <xf numFmtId="0" fontId="6" fillId="24" borderId="16" xfId="82" applyFont="1" applyFill="1" applyBorder="1"/>
    <xf numFmtId="0" fontId="6" fillId="24" borderId="19" xfId="82" applyFont="1" applyFill="1" applyBorder="1"/>
    <xf numFmtId="9" fontId="27" fillId="0" borderId="37"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9" fontId="0" fillId="0" borderId="37" xfId="0" applyNumberFormat="1" applyBorder="1"/>
    <xf numFmtId="0" fontId="40" fillId="37" borderId="0" xfId="0" applyFont="1" applyFill="1" applyAlignment="1">
      <alignment vertical="center"/>
    </xf>
    <xf numFmtId="0" fontId="36" fillId="0" borderId="10" xfId="0" applyFont="1" applyBorder="1" applyAlignment="1">
      <alignment horizontal="left" wrapText="1"/>
    </xf>
    <xf numFmtId="0" fontId="45" fillId="24" borderId="11" xfId="0" quotePrefix="1" applyFont="1" applyFill="1" applyBorder="1" applyAlignment="1">
      <alignment horizontal="center"/>
    </xf>
    <xf numFmtId="0" fontId="80" fillId="0" borderId="0" xfId="0" applyFont="1"/>
    <xf numFmtId="0" fontId="81" fillId="47" borderId="0" xfId="0" applyFont="1" applyFill="1" applyAlignment="1">
      <alignment vertical="center" wrapText="1"/>
    </xf>
    <xf numFmtId="0" fontId="28" fillId="0" borderId="16" xfId="72" applyBorder="1" applyAlignment="1" applyProtection="1">
      <alignment wrapText="1"/>
    </xf>
    <xf numFmtId="0" fontId="39" fillId="0" borderId="14" xfId="0" applyFont="1" applyBorder="1" applyAlignment="1">
      <alignment horizontal="center" wrapText="1"/>
    </xf>
    <xf numFmtId="0" fontId="0" fillId="0" borderId="0" xfId="0" applyAlignment="1">
      <alignment horizontal="center" wrapText="1"/>
    </xf>
    <xf numFmtId="0" fontId="0" fillId="0" borderId="18" xfId="0" applyBorder="1" applyAlignment="1">
      <alignment horizontal="center" wrapText="1"/>
    </xf>
    <xf numFmtId="0" fontId="39" fillId="0" borderId="18" xfId="0" applyFont="1" applyBorder="1"/>
    <xf numFmtId="0" fontId="39" fillId="0" borderId="10" xfId="0" applyFont="1" applyBorder="1"/>
    <xf numFmtId="0" fontId="39" fillId="0" borderId="22" xfId="0" applyFont="1" applyBorder="1"/>
    <xf numFmtId="0" fontId="45" fillId="0" borderId="12" xfId="0" applyFont="1" applyBorder="1"/>
    <xf numFmtId="0" fontId="28" fillId="0" borderId="11" xfId="72" applyBorder="1" applyAlignment="1" applyProtection="1">
      <alignment wrapText="1"/>
    </xf>
    <xf numFmtId="0" fontId="0" fillId="24" borderId="12" xfId="0" applyFill="1" applyBorder="1" applyAlignment="1">
      <alignment horizontal="center"/>
    </xf>
    <xf numFmtId="1" fontId="0" fillId="39" borderId="11" xfId="0" applyNumberFormat="1" applyFill="1" applyBorder="1"/>
    <xf numFmtId="0" fontId="47" fillId="0" borderId="0" xfId="0" applyFont="1" applyAlignment="1">
      <alignment vertical="center" wrapText="1"/>
    </xf>
    <xf numFmtId="0" fontId="45" fillId="24" borderId="23" xfId="0" applyFont="1" applyFill="1" applyBorder="1"/>
    <xf numFmtId="0" fontId="39" fillId="38" borderId="19" xfId="0" applyFont="1" applyFill="1" applyBorder="1" applyAlignment="1">
      <alignment horizontal="center" wrapText="1"/>
    </xf>
    <xf numFmtId="0" fontId="0" fillId="24" borderId="19" xfId="0" applyFill="1" applyBorder="1" applyAlignment="1">
      <alignment horizontal="center" wrapText="1"/>
    </xf>
    <xf numFmtId="0" fontId="47" fillId="0" borderId="0" xfId="82" applyFont="1" applyAlignment="1">
      <alignment wrapText="1"/>
    </xf>
    <xf numFmtId="0" fontId="82" fillId="24" borderId="46" xfId="0" applyFont="1" applyFill="1" applyBorder="1" applyAlignment="1">
      <alignment horizontal="center" vertical="center"/>
    </xf>
    <xf numFmtId="0" fontId="40" fillId="24" borderId="47" xfId="0" applyFont="1" applyFill="1" applyBorder="1" applyAlignment="1">
      <alignment vertical="center"/>
    </xf>
    <xf numFmtId="169" fontId="47" fillId="0" borderId="24" xfId="57" applyNumberFormat="1" applyFont="1" applyFill="1" applyBorder="1" applyProtection="1"/>
    <xf numFmtId="169" fontId="47" fillId="39" borderId="37" xfId="57" applyNumberFormat="1" applyFont="1" applyFill="1" applyBorder="1" applyAlignment="1" applyProtection="1">
      <alignment horizontal="right"/>
    </xf>
    <xf numFmtId="0" fontId="83" fillId="0" borderId="0" xfId="0" applyFont="1" applyAlignment="1">
      <alignment vertical="center"/>
    </xf>
    <xf numFmtId="169" fontId="47" fillId="39" borderId="37" xfId="57" applyNumberFormat="1" applyFont="1" applyFill="1" applyBorder="1" applyProtection="1"/>
    <xf numFmtId="10" fontId="47" fillId="39" borderId="37" xfId="92" applyNumberFormat="1" applyFont="1" applyFill="1" applyBorder="1" applyProtection="1"/>
    <xf numFmtId="169" fontId="47" fillId="0" borderId="28" xfId="57" applyNumberFormat="1" applyFont="1" applyFill="1" applyBorder="1" applyProtection="1"/>
    <xf numFmtId="10" fontId="47" fillId="39" borderId="27" xfId="92" applyNumberFormat="1" applyFont="1" applyFill="1" applyBorder="1" applyProtection="1"/>
    <xf numFmtId="169" fontId="0" fillId="0" borderId="0" xfId="0" applyNumberFormat="1"/>
    <xf numFmtId="43" fontId="0" fillId="0" borderId="0" xfId="0" applyNumberFormat="1"/>
    <xf numFmtId="0" fontId="45" fillId="24" borderId="48" xfId="0" applyFont="1" applyFill="1" applyBorder="1" applyAlignment="1">
      <alignment horizontal="center"/>
    </xf>
    <xf numFmtId="0" fontId="45" fillId="24" borderId="49" xfId="82" applyFont="1" applyFill="1" applyBorder="1" applyAlignment="1">
      <alignment horizontal="center"/>
    </xf>
    <xf numFmtId="0" fontId="45" fillId="24" borderId="49" xfId="110" applyFont="1" applyFill="1" applyBorder="1" applyAlignment="1">
      <alignment horizontal="center" wrapText="1"/>
    </xf>
    <xf numFmtId="3" fontId="45" fillId="24" borderId="49" xfId="110" applyNumberFormat="1" applyFont="1" applyFill="1" applyBorder="1" applyAlignment="1">
      <alignment horizontal="center" wrapText="1"/>
    </xf>
    <xf numFmtId="0" fontId="45" fillId="24" borderId="50" xfId="110" applyFont="1" applyFill="1" applyBorder="1" applyAlignment="1">
      <alignment horizontal="center" wrapText="1"/>
    </xf>
    <xf numFmtId="0" fontId="45" fillId="24" borderId="48" xfId="0" applyFont="1" applyFill="1" applyBorder="1" applyAlignment="1">
      <alignment horizontal="center" wrapText="1"/>
    </xf>
    <xf numFmtId="0" fontId="45" fillId="46" borderId="49" xfId="0" applyFont="1" applyFill="1" applyBorder="1" applyAlignment="1">
      <alignment horizontal="center" wrapText="1"/>
    </xf>
    <xf numFmtId="0" fontId="45" fillId="24" borderId="49" xfId="0" applyFont="1" applyFill="1" applyBorder="1" applyAlignment="1">
      <alignment horizontal="center" wrapText="1"/>
    </xf>
    <xf numFmtId="0" fontId="45" fillId="24" borderId="50" xfId="0" applyFont="1" applyFill="1" applyBorder="1" applyAlignment="1">
      <alignment horizontal="center" wrapText="1"/>
    </xf>
    <xf numFmtId="0" fontId="0" fillId="0" borderId="51" xfId="0" applyBorder="1" applyAlignment="1">
      <alignment horizontal="center"/>
    </xf>
    <xf numFmtId="169" fontId="47" fillId="0" borderId="19" xfId="57" applyNumberFormat="1" applyFont="1" applyFill="1" applyBorder="1" applyProtection="1"/>
    <xf numFmtId="169" fontId="47" fillId="0" borderId="19" xfId="82" applyNumberFormat="1" applyFont="1" applyBorder="1"/>
    <xf numFmtId="3" fontId="47" fillId="0" borderId="19" xfId="82" applyNumberFormat="1" applyFont="1" applyBorder="1" applyAlignment="1">
      <alignment horizontal="right"/>
    </xf>
    <xf numFmtId="169" fontId="47"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2" xfId="0" applyBorder="1" applyAlignment="1">
      <alignment horizontal="center"/>
    </xf>
    <xf numFmtId="0" fontId="0" fillId="0" borderId="15" xfId="0" applyBorder="1"/>
    <xf numFmtId="169" fontId="47" fillId="0" borderId="15" xfId="82" applyNumberFormat="1" applyFont="1" applyBorder="1"/>
    <xf numFmtId="3" fontId="47" fillId="0" borderId="29" xfId="82" applyNumberFormat="1" applyFont="1" applyBorder="1" applyAlignment="1">
      <alignment horizontal="right"/>
    </xf>
    <xf numFmtId="3" fontId="0" fillId="0" borderId="29" xfId="0" applyNumberFormat="1" applyBorder="1"/>
    <xf numFmtId="164" fontId="0" fillId="39" borderId="11" xfId="0" applyNumberFormat="1" applyFill="1" applyBorder="1" applyProtection="1">
      <protection locked="0"/>
    </xf>
    <xf numFmtId="0" fontId="29" fillId="0" borderId="17" xfId="0" applyFont="1" applyBorder="1"/>
    <xf numFmtId="17" fontId="84" fillId="0" borderId="0" xfId="0" quotePrefix="1" applyNumberFormat="1" applyFont="1"/>
    <xf numFmtId="0" fontId="0" fillId="39" borderId="53" xfId="0" applyFill="1" applyBorder="1"/>
    <xf numFmtId="0" fontId="7" fillId="0" borderId="0" xfId="82" applyFont="1"/>
    <xf numFmtId="166" fontId="7" fillId="0" borderId="0" xfId="56" applyNumberFormat="1" applyFont="1" applyFill="1" applyBorder="1" applyAlignment="1">
      <alignment horizontal="left"/>
    </xf>
    <xf numFmtId="166" fontId="60" fillId="0" borderId="0" xfId="56" applyNumberFormat="1" applyFont="1" applyFill="1" applyBorder="1" applyAlignment="1">
      <alignment horizontal="left"/>
    </xf>
    <xf numFmtId="166" fontId="7" fillId="0" borderId="14" xfId="56" applyNumberFormat="1" applyFont="1" applyFill="1" applyBorder="1"/>
    <xf numFmtId="165" fontId="47" fillId="0" borderId="14" xfId="82" applyNumberFormat="1" applyFont="1" applyBorder="1"/>
    <xf numFmtId="0" fontId="67" fillId="0" borderId="13" xfId="0" applyFont="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36" fillId="0" borderId="0" xfId="0" applyFont="1" applyAlignment="1">
      <alignment horizontal="left" wrapText="1"/>
    </xf>
    <xf numFmtId="0" fontId="0" fillId="0" borderId="12" xfId="0" applyBorder="1" applyAlignment="1">
      <alignment horizontal="left" wrapText="1"/>
    </xf>
    <xf numFmtId="0" fontId="0" fillId="0" borderId="20" xfId="0" applyBorder="1" applyAlignment="1">
      <alignment horizontal="left" wrapText="1"/>
    </xf>
    <xf numFmtId="0" fontId="0" fillId="0" borderId="17" xfId="0" applyBorder="1" applyAlignment="1">
      <alignment horizontal="left" wrapText="1"/>
    </xf>
    <xf numFmtId="0" fontId="0" fillId="0" borderId="12" xfId="0" quotePrefix="1" applyBorder="1" applyAlignment="1">
      <alignment horizontal="left" wrapText="1"/>
    </xf>
    <xf numFmtId="0" fontId="47" fillId="0" borderId="12" xfId="0" applyFont="1" applyBorder="1" applyAlignment="1">
      <alignment horizontal="left" wrapText="1"/>
    </xf>
    <xf numFmtId="0" fontId="47" fillId="0" borderId="17" xfId="0" applyFont="1" applyBorder="1" applyAlignment="1">
      <alignment horizontal="left" wrapText="1"/>
    </xf>
    <xf numFmtId="0" fontId="47" fillId="0" borderId="0" xfId="82" applyFont="1" applyAlignment="1">
      <alignment horizontal="left" wrapText="1"/>
    </xf>
    <xf numFmtId="0" fontId="0" fillId="24" borderId="12" xfId="0" applyFill="1" applyBorder="1" applyAlignment="1">
      <alignment horizontal="left"/>
    </xf>
    <xf numFmtId="0" fontId="0" fillId="24" borderId="20" xfId="0" applyFill="1" applyBorder="1" applyAlignment="1">
      <alignment horizontal="left"/>
    </xf>
    <xf numFmtId="0" fontId="0" fillId="24" borderId="17" xfId="0" applyFill="1" applyBorder="1" applyAlignment="1">
      <alignment horizontal="left"/>
    </xf>
    <xf numFmtId="0" fontId="0" fillId="0" borderId="0" xfId="0" applyAlignment="1">
      <alignment horizontal="left" wrapText="1"/>
    </xf>
    <xf numFmtId="0" fontId="0" fillId="0" borderId="12" xfId="0" applyBorder="1" applyAlignment="1">
      <alignment horizontal="left" vertical="center" wrapText="1"/>
    </xf>
    <xf numFmtId="0" fontId="0" fillId="0" borderId="20" xfId="0" applyBorder="1" applyAlignment="1">
      <alignment horizontal="left" vertical="center" wrapText="1"/>
    </xf>
    <xf numFmtId="0" fontId="0" fillId="0" borderId="17" xfId="0" applyBorder="1" applyAlignment="1">
      <alignment horizontal="left" vertical="center" wrapText="1"/>
    </xf>
    <xf numFmtId="0" fontId="2" fillId="24" borderId="0" xfId="82" applyFill="1" applyAlignment="1">
      <alignment horizontal="left" wrapText="1"/>
    </xf>
    <xf numFmtId="0" fontId="0" fillId="0" borderId="0" xfId="0" quotePrefix="1" applyAlignment="1">
      <alignment wrapText="1"/>
    </xf>
    <xf numFmtId="0" fontId="0" fillId="0" borderId="0" xfId="0" applyAlignment="1">
      <alignment wrapText="1"/>
    </xf>
    <xf numFmtId="0" fontId="6" fillId="24" borderId="0" xfId="82" applyFont="1" applyFill="1" applyAlignment="1">
      <alignment vertical="top" wrapText="1"/>
    </xf>
    <xf numFmtId="0" fontId="47" fillId="39" borderId="12" xfId="82" applyFont="1" applyFill="1" applyBorder="1" applyAlignment="1">
      <alignment horizontal="left" vertical="top" wrapText="1"/>
    </xf>
    <xf numFmtId="0" fontId="47" fillId="39" borderId="20" xfId="82" applyFont="1" applyFill="1" applyBorder="1" applyAlignment="1">
      <alignment horizontal="left" vertical="top" wrapText="1"/>
    </xf>
    <xf numFmtId="0" fontId="47" fillId="39" borderId="17" xfId="82" applyFont="1" applyFill="1" applyBorder="1" applyAlignment="1">
      <alignment horizontal="left" vertical="top" wrapText="1"/>
    </xf>
    <xf numFmtId="0" fontId="47" fillId="39" borderId="12" xfId="82" applyFont="1" applyFill="1" applyBorder="1" applyAlignment="1">
      <alignment horizontal="left" wrapText="1"/>
    </xf>
    <xf numFmtId="0" fontId="47" fillId="39" borderId="20" xfId="82" applyFont="1" applyFill="1" applyBorder="1" applyAlignment="1">
      <alignment horizontal="left" wrapText="1"/>
    </xf>
    <xf numFmtId="0" fontId="47" fillId="39" borderId="17" xfId="82" applyFont="1" applyFill="1" applyBorder="1" applyAlignment="1">
      <alignment horizontal="left" wrapText="1"/>
    </xf>
    <xf numFmtId="0" fontId="29" fillId="0" borderId="0" xfId="0" quotePrefix="1" applyFont="1" applyAlignment="1">
      <alignment wrapText="1"/>
    </xf>
    <xf numFmtId="0" fontId="47" fillId="0" borderId="10" xfId="82" applyFont="1" applyBorder="1" applyAlignment="1">
      <alignment horizontal="left" wrapText="1"/>
    </xf>
    <xf numFmtId="0" fontId="0" fillId="40" borderId="12" xfId="0" applyFill="1" applyBorder="1" applyAlignment="1">
      <alignment horizontal="left" wrapText="1"/>
    </xf>
    <xf numFmtId="0" fontId="0" fillId="40" borderId="17" xfId="0" applyFill="1" applyBorder="1" applyAlignment="1">
      <alignment horizontal="lef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66FFFF"/>
      <color rgb="FFFF00FF"/>
      <color rgb="FFE4E5B5"/>
      <color rgb="FF18646E"/>
      <color rgb="FFE4ED69"/>
      <color rgb="FF15434A"/>
      <color rgb="FF51560A"/>
      <color rgb="FF41441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isra.gov.uk/statistics/population/mid-year-population-estimates" TargetMode="External"/><Relationship Id="rId13" Type="http://schemas.openxmlformats.org/officeDocument/2006/relationships/vmlDrawing" Target="../drawings/vmlDrawing2.vml"/><Relationship Id="rId3" Type="http://schemas.openxmlformats.org/officeDocument/2006/relationships/hyperlink" Target="https://www.stgeorges.nhs.uk/wp-content/uploads/2020/02/UKTS-adults-and-children-with-thalassaemia-guidelines-2016.pdf" TargetMode="External"/><Relationship Id="rId7" Type="http://schemas.openxmlformats.org/officeDocument/2006/relationships/hyperlink" Target="https://www.ons.gov.uk/peoplepopulationandcommunity/populationandmigration/populationestimates" TargetMode="External"/><Relationship Id="rId12" Type="http://schemas.openxmlformats.org/officeDocument/2006/relationships/printerSettings" Target="../printerSettings/printerSettings4.bin"/><Relationship Id="rId2" Type="http://schemas.openxmlformats.org/officeDocument/2006/relationships/hyperlink" Target="https://extendfertility.com/services/egg-freezing/the-egg-retrieval/" TargetMode="External"/><Relationship Id="rId1" Type="http://schemas.openxmlformats.org/officeDocument/2006/relationships/hyperlink" Target="https://nhr.mdsas.com/" TargetMode="External"/><Relationship Id="rId6" Type="http://schemas.openxmlformats.org/officeDocument/2006/relationships/hyperlink" Target="https://nhr.mdsas.com/wp-content/uploads/2024/03/NHR-Annual-Report-2021-2022.pdf" TargetMode="External"/><Relationship Id="rId11" Type="http://schemas.openxmlformats.org/officeDocument/2006/relationships/hyperlink" Target="https://hospital.blood.co.uk/components/portfolio-and-prices/" TargetMode="External"/><Relationship Id="rId5" Type="http://schemas.openxmlformats.org/officeDocument/2006/relationships/hyperlink" Target="https://digital.nhs.uk/data-and-information/publications/statistical/health-survey-for-england/2021/part-4-trends" TargetMode="External"/><Relationship Id="rId10" Type="http://schemas.openxmlformats.org/officeDocument/2006/relationships/hyperlink" Target="https://bnf.nice.org.uk/drugs/plerixafor/medicinal-forms/" TargetMode="External"/><Relationship Id="rId4" Type="http://schemas.openxmlformats.org/officeDocument/2006/relationships/hyperlink" Target="https://www.groupeproxim.ca/en/article/health/average-height-and-weight" TargetMode="External"/><Relationship Id="rId9" Type="http://schemas.openxmlformats.org/officeDocument/2006/relationships/hyperlink" Target="https://www.ons.gov.uk/peoplepopulationandcommunity/populationandmigration/populationprojections/bulletins/nationalpopulationprojections/2021basedinterim" TargetMode="External"/><Relationship Id="rId1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wp-content/uploads/2018/07/Plerixafor-for-stem-cell-mobilisation.pdf?UNLID=40301369320241208420" TargetMode="External"/><Relationship Id="rId2" Type="http://schemas.openxmlformats.org/officeDocument/2006/relationships/hyperlink" Target="https://hospital.blood.co.uk/components/portfolio-and-prices/" TargetMode="External"/><Relationship Id="rId1" Type="http://schemas.openxmlformats.org/officeDocument/2006/relationships/hyperlink" Target="https://www.england.nhs.uk/pay-syst/national-tariff/national-tariff-payment-system/" TargetMode="External"/><Relationship Id="rId5" Type="http://schemas.openxmlformats.org/officeDocument/2006/relationships/printerSettings" Target="../printerSettings/printerSettings5.bin"/><Relationship Id="rId4" Type="http://schemas.openxmlformats.org/officeDocument/2006/relationships/hyperlink" Target="https://www.nice.org.uk/guidance/ta89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6"/>
  <sheetViews>
    <sheetView showGridLines="0" tabSelected="1" zoomScale="80" zoomScaleNormal="80" zoomScaleSheetLayoutView="80" workbookViewId="0">
      <selection activeCell="T10" sqref="T10"/>
    </sheetView>
  </sheetViews>
  <sheetFormatPr defaultRowHeight="15" x14ac:dyDescent="0.25"/>
  <cols>
    <col min="1" max="1" width="1.42578125" customWidth="1"/>
    <col min="2" max="2" width="1.85546875" customWidth="1"/>
    <col min="14" max="14" width="8.5703125" customWidth="1"/>
    <col min="15" max="15" width="1.5703125" customWidth="1"/>
    <col min="16" max="16" width="1.42578125" customWidth="1"/>
    <col min="21" max="21" width="31" customWidth="1"/>
  </cols>
  <sheetData>
    <row r="2" spans="2:15" x14ac:dyDescent="0.25">
      <c r="B2" s="187"/>
      <c r="C2" s="346"/>
      <c r="D2" s="346"/>
      <c r="E2" s="346"/>
      <c r="F2" s="346"/>
      <c r="G2" s="346"/>
      <c r="H2" s="346"/>
      <c r="I2" s="346"/>
      <c r="J2" s="346"/>
      <c r="K2" s="346"/>
      <c r="L2" s="346"/>
      <c r="M2" s="346"/>
      <c r="N2" s="346"/>
      <c r="O2" s="173"/>
    </row>
    <row r="3" spans="2:15" x14ac:dyDescent="0.25">
      <c r="B3" s="176"/>
      <c r="O3" s="175"/>
    </row>
    <row r="4" spans="2:15" x14ac:dyDescent="0.25">
      <c r="B4" s="176"/>
      <c r="O4" s="175"/>
    </row>
    <row r="5" spans="2:15" x14ac:dyDescent="0.25">
      <c r="B5" s="176"/>
      <c r="C5" s="188"/>
      <c r="D5" s="188"/>
      <c r="E5" s="188"/>
      <c r="F5" s="188"/>
      <c r="G5" s="188"/>
      <c r="H5" s="188"/>
      <c r="I5" s="188"/>
      <c r="J5" s="188"/>
      <c r="K5" s="188"/>
      <c r="L5" s="188"/>
      <c r="M5" s="188"/>
      <c r="N5" s="188"/>
      <c r="O5" s="175"/>
    </row>
    <row r="6" spans="2:15" ht="31.5" x14ac:dyDescent="0.5">
      <c r="B6" s="176"/>
      <c r="C6" s="189" t="s">
        <v>0</v>
      </c>
      <c r="D6" s="188"/>
      <c r="E6" s="188"/>
      <c r="F6" s="188"/>
      <c r="G6" s="188"/>
      <c r="H6" s="188"/>
      <c r="I6" s="188"/>
      <c r="J6" s="188"/>
      <c r="K6" s="188"/>
      <c r="L6" s="188"/>
      <c r="M6" s="188"/>
      <c r="N6" s="188"/>
      <c r="O6" s="175"/>
    </row>
    <row r="7" spans="2:15" x14ac:dyDescent="0.25">
      <c r="B7" s="176"/>
      <c r="C7" s="188"/>
      <c r="D7" s="188"/>
      <c r="E7" s="188"/>
      <c r="F7" s="188"/>
      <c r="G7" s="188"/>
      <c r="H7" s="188"/>
      <c r="I7" s="188"/>
      <c r="J7" s="188"/>
      <c r="K7" s="188"/>
      <c r="L7" s="188"/>
      <c r="M7" s="188"/>
      <c r="N7" s="188"/>
      <c r="O7" s="175"/>
    </row>
    <row r="8" spans="2:15" x14ac:dyDescent="0.25">
      <c r="B8" s="176"/>
      <c r="O8" s="175"/>
    </row>
    <row r="9" spans="2:15" ht="31.5" x14ac:dyDescent="0.5">
      <c r="B9" s="176"/>
      <c r="C9" s="191" t="s">
        <v>1</v>
      </c>
      <c r="O9" s="175"/>
    </row>
    <row r="10" spans="2:15" ht="31.5" x14ac:dyDescent="0.25">
      <c r="B10" s="176"/>
      <c r="C10" s="363" t="s">
        <v>2</v>
      </c>
      <c r="O10" s="175"/>
    </row>
    <row r="11" spans="2:15" ht="31.5" x14ac:dyDescent="0.25">
      <c r="B11" s="176"/>
      <c r="C11" s="363" t="s">
        <v>3</v>
      </c>
      <c r="O11" s="175"/>
    </row>
    <row r="12" spans="2:15" ht="31.5" x14ac:dyDescent="0.25">
      <c r="B12" s="176"/>
      <c r="C12" s="363"/>
      <c r="O12" s="175"/>
    </row>
    <row r="13" spans="2:15" ht="31.5" x14ac:dyDescent="0.5">
      <c r="B13" s="176"/>
      <c r="C13" s="363" t="s">
        <v>1174</v>
      </c>
      <c r="D13" s="192"/>
      <c r="O13" s="175"/>
    </row>
    <row r="14" spans="2:15" ht="31.5" x14ac:dyDescent="0.5">
      <c r="B14" s="176"/>
      <c r="D14" s="192"/>
      <c r="O14" s="175"/>
    </row>
    <row r="15" spans="2:15" ht="31.5" x14ac:dyDescent="0.5">
      <c r="B15" s="176"/>
      <c r="C15" s="190" t="s">
        <v>4</v>
      </c>
      <c r="D15" s="192"/>
      <c r="E15" s="810" t="s">
        <v>1175</v>
      </c>
      <c r="O15" s="175"/>
    </row>
    <row r="16" spans="2:15" x14ac:dyDescent="0.25">
      <c r="B16" s="176"/>
      <c r="O16" s="175"/>
    </row>
    <row r="17" spans="2:15" x14ac:dyDescent="0.25">
      <c r="B17" s="176"/>
      <c r="O17" s="175"/>
    </row>
    <row r="18" spans="2:15" x14ac:dyDescent="0.25">
      <c r="B18" s="176"/>
      <c r="C18" s="162" t="s">
        <v>5</v>
      </c>
      <c r="D18" s="216"/>
      <c r="E18" s="183"/>
      <c r="F18" s="258" t="s">
        <v>6</v>
      </c>
      <c r="G18" s="216"/>
      <c r="H18" s="216"/>
      <c r="I18" s="216"/>
      <c r="J18" s="216"/>
      <c r="K18" s="216"/>
      <c r="L18" s="216"/>
      <c r="M18" s="183"/>
      <c r="O18" s="175"/>
    </row>
    <row r="19" spans="2:15" x14ac:dyDescent="0.25">
      <c r="B19" s="176"/>
      <c r="C19" s="162" t="s">
        <v>7</v>
      </c>
      <c r="D19" s="216"/>
      <c r="E19" s="183"/>
      <c r="F19" s="258" t="s">
        <v>8</v>
      </c>
      <c r="G19" s="216"/>
      <c r="H19" s="216"/>
      <c r="I19" s="216"/>
      <c r="J19" s="216"/>
      <c r="K19" s="216"/>
      <c r="L19" s="216"/>
      <c r="M19" s="183"/>
      <c r="O19" s="175"/>
    </row>
    <row r="20" spans="2:15" x14ac:dyDescent="0.25">
      <c r="B20" s="176"/>
      <c r="C20" s="162" t="s">
        <v>9</v>
      </c>
      <c r="D20" s="216"/>
      <c r="E20" s="183"/>
      <c r="F20" s="258" t="s">
        <v>10</v>
      </c>
      <c r="G20" s="216"/>
      <c r="H20" s="216"/>
      <c r="I20" s="216"/>
      <c r="J20" s="216"/>
      <c r="K20" s="216"/>
      <c r="L20" s="216"/>
      <c r="M20" s="183"/>
      <c r="O20" s="175"/>
    </row>
    <row r="21" spans="2:15" x14ac:dyDescent="0.25">
      <c r="B21" s="176"/>
      <c r="C21" s="162" t="s">
        <v>11</v>
      </c>
      <c r="D21" s="216"/>
      <c r="E21" s="183"/>
      <c r="F21" s="258" t="s">
        <v>12</v>
      </c>
      <c r="G21" s="216"/>
      <c r="H21" s="216"/>
      <c r="I21" s="216"/>
      <c r="J21" s="216"/>
      <c r="K21" s="216"/>
      <c r="L21" s="216"/>
      <c r="M21" s="183"/>
      <c r="O21" s="175"/>
    </row>
    <row r="22" spans="2:15" x14ac:dyDescent="0.25">
      <c r="B22" s="176"/>
      <c r="C22" s="258" t="s">
        <v>13</v>
      </c>
      <c r="D22" s="216"/>
      <c r="E22" s="183"/>
      <c r="F22" s="258" t="s">
        <v>14</v>
      </c>
      <c r="G22" s="216"/>
      <c r="H22" s="216"/>
      <c r="I22" s="216"/>
      <c r="J22" s="216"/>
      <c r="K22" s="216"/>
      <c r="L22" s="216"/>
      <c r="M22" s="183"/>
      <c r="O22" s="175"/>
    </row>
    <row r="23" spans="2:15" x14ac:dyDescent="0.25">
      <c r="B23" s="176"/>
      <c r="C23" s="162" t="s">
        <v>15</v>
      </c>
      <c r="D23" s="216"/>
      <c r="E23" s="183"/>
      <c r="F23" s="258" t="s">
        <v>16</v>
      </c>
      <c r="G23" s="216"/>
      <c r="H23" s="216"/>
      <c r="I23" s="216"/>
      <c r="J23" s="216"/>
      <c r="K23" s="216"/>
      <c r="L23" s="216"/>
      <c r="M23" s="183"/>
      <c r="O23" s="175"/>
    </row>
    <row r="24" spans="2:15" x14ac:dyDescent="0.25">
      <c r="B24" s="176"/>
      <c r="C24" s="162" t="s">
        <v>17</v>
      </c>
      <c r="D24" s="216"/>
      <c r="E24" s="183"/>
      <c r="F24" s="258" t="s">
        <v>18</v>
      </c>
      <c r="G24" s="216"/>
      <c r="H24" s="216"/>
      <c r="I24" s="216"/>
      <c r="J24" s="216"/>
      <c r="K24" s="216"/>
      <c r="L24" s="216"/>
      <c r="M24" s="183"/>
      <c r="O24" s="175"/>
    </row>
    <row r="25" spans="2:15" x14ac:dyDescent="0.25">
      <c r="B25" s="176"/>
      <c r="C25" s="162" t="s">
        <v>19</v>
      </c>
      <c r="D25" s="216"/>
      <c r="E25" s="183"/>
      <c r="F25" s="258" t="s">
        <v>20</v>
      </c>
      <c r="G25" s="216"/>
      <c r="H25" s="216"/>
      <c r="I25" s="216"/>
      <c r="J25" s="216"/>
      <c r="K25" s="216"/>
      <c r="L25" s="216"/>
      <c r="M25" s="183"/>
      <c r="O25" s="175"/>
    </row>
    <row r="26" spans="2:15" x14ac:dyDescent="0.25">
      <c r="B26" s="177"/>
      <c r="C26" s="178"/>
      <c r="D26" s="178"/>
      <c r="E26" s="178"/>
      <c r="F26" s="178"/>
      <c r="G26" s="178"/>
      <c r="H26" s="178"/>
      <c r="I26" s="178"/>
      <c r="J26" s="178"/>
      <c r="K26" s="178"/>
      <c r="L26" s="178"/>
      <c r="M26" s="178"/>
      <c r="N26" s="178"/>
      <c r="O26" s="179"/>
    </row>
  </sheetData>
  <sheetProtection algorithmName="SHA-512" hashValue="+AE70Ys44OQwy/z9WKz16z5knZvrR4Wv9tIvgCBqT6sBFRrP6lReXaZQyTELZHhZRs6w4oi8GAoYAoWPchHncw==" saltValue="0wXnxCA/LAZJcSAC27F/P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zoomScale="70" zoomScaleNormal="70" workbookViewId="0">
      <selection activeCell="X11" sqref="X11"/>
    </sheetView>
  </sheetViews>
  <sheetFormatPr defaultColWidth="8.5703125" defaultRowHeight="15" x14ac:dyDescent="0.25"/>
  <cols>
    <col min="1" max="1" width="13.5703125" customWidth="1"/>
    <col min="2" max="2" width="32.5703125" customWidth="1"/>
    <col min="3" max="4" width="12.5703125" customWidth="1"/>
    <col min="5" max="6" width="11.5703125" customWidth="1"/>
    <col min="7" max="7" width="10.42578125" style="494" customWidth="1"/>
    <col min="8" max="8" width="11.5703125" customWidth="1"/>
    <col min="9" max="9" width="12.5703125" customWidth="1"/>
    <col min="10" max="10" width="10.425781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42578125" bestFit="1" customWidth="1"/>
    <col min="23" max="23" width="10" customWidth="1"/>
  </cols>
  <sheetData>
    <row r="1" spans="1:24" ht="21" customHeight="1" x14ac:dyDescent="0.25">
      <c r="A1" s="753" t="s">
        <v>1092</v>
      </c>
      <c r="B1" s="753"/>
      <c r="C1" s="753"/>
      <c r="D1" s="753"/>
      <c r="E1" s="753"/>
      <c r="F1" s="753"/>
      <c r="G1" s="753"/>
      <c r="H1" s="753"/>
      <c r="I1" s="753"/>
      <c r="J1" s="753"/>
      <c r="K1" s="753"/>
      <c r="L1" s="753"/>
      <c r="M1" s="753"/>
    </row>
    <row r="2" spans="1:24" ht="14.85" customHeight="1" thickBot="1" x14ac:dyDescent="0.3">
      <c r="A2" s="140"/>
      <c r="B2" s="140"/>
      <c r="C2" s="140"/>
      <c r="D2" s="140"/>
      <c r="E2" s="140"/>
      <c r="F2" s="140"/>
      <c r="G2" s="140"/>
      <c r="H2" s="140"/>
      <c r="I2" s="140"/>
      <c r="J2" s="140"/>
      <c r="K2" s="140"/>
      <c r="L2" s="140"/>
      <c r="M2" s="140"/>
    </row>
    <row r="3" spans="1:24" ht="14.85" customHeight="1" x14ac:dyDescent="0.25">
      <c r="A3" s="140"/>
      <c r="B3" s="774" t="s">
        <v>52</v>
      </c>
      <c r="C3" s="775"/>
      <c r="D3" s="140"/>
      <c r="E3" s="140"/>
      <c r="F3" s="140"/>
      <c r="G3" s="140"/>
      <c r="H3" s="140"/>
      <c r="I3" s="140"/>
      <c r="J3" s="140"/>
      <c r="K3" s="140"/>
      <c r="L3" s="140"/>
      <c r="M3" s="140"/>
    </row>
    <row r="4" spans="1:24" ht="14.85" customHeight="1" x14ac:dyDescent="0.25">
      <c r="A4" s="140"/>
      <c r="B4" s="776" t="s">
        <v>1093</v>
      </c>
      <c r="C4" s="777" t="s">
        <v>1094</v>
      </c>
      <c r="D4" s="778" t="s">
        <v>1095</v>
      </c>
      <c r="E4" s="140"/>
      <c r="F4" s="140"/>
      <c r="G4" s="140"/>
      <c r="H4" s="140"/>
      <c r="I4" s="140"/>
      <c r="J4" s="140"/>
      <c r="K4" s="140"/>
      <c r="L4" s="140"/>
      <c r="M4" s="140"/>
    </row>
    <row r="5" spans="1:24" ht="14.85" customHeight="1" x14ac:dyDescent="0.25">
      <c r="A5" s="140"/>
      <c r="B5" s="776" t="s">
        <v>1096</v>
      </c>
      <c r="C5" s="779">
        <v>9100</v>
      </c>
      <c r="D5" s="140"/>
      <c r="E5" s="140"/>
      <c r="F5" s="140"/>
      <c r="G5" s="140"/>
      <c r="H5" s="140"/>
      <c r="I5" s="140"/>
      <c r="J5" s="140"/>
      <c r="K5" s="140"/>
      <c r="L5" s="140"/>
      <c r="M5" s="140"/>
    </row>
    <row r="6" spans="1:24" ht="14.85" customHeight="1" x14ac:dyDescent="0.25">
      <c r="A6" s="140"/>
      <c r="B6" s="776" t="s">
        <v>1097</v>
      </c>
      <c r="C6" s="780">
        <v>0.13800000000000001</v>
      </c>
      <c r="D6" s="140"/>
      <c r="E6" s="140"/>
      <c r="F6" s="140"/>
      <c r="G6" s="140"/>
      <c r="H6" s="140"/>
      <c r="I6" s="140"/>
      <c r="J6" s="140"/>
      <c r="K6" s="140"/>
      <c r="L6" s="140"/>
      <c r="M6" s="140"/>
    </row>
    <row r="7" spans="1:24" ht="14.85" customHeight="1" x14ac:dyDescent="0.25">
      <c r="A7" s="140"/>
      <c r="B7" s="776" t="s">
        <v>1098</v>
      </c>
      <c r="C7" s="780">
        <v>0.23780000000000001</v>
      </c>
      <c r="D7" s="140"/>
      <c r="E7" s="140"/>
      <c r="F7" s="140"/>
      <c r="G7" s="140"/>
      <c r="H7" s="140"/>
      <c r="I7" s="140"/>
      <c r="J7" s="140"/>
      <c r="K7" s="140"/>
      <c r="L7" s="140"/>
      <c r="M7" s="140"/>
    </row>
    <row r="8" spans="1:24" ht="14.85" customHeight="1" x14ac:dyDescent="0.25">
      <c r="A8" s="140"/>
      <c r="B8" s="776" t="s">
        <v>1099</v>
      </c>
      <c r="C8" s="780">
        <v>5.0000000000000001E-3</v>
      </c>
      <c r="D8" s="140"/>
      <c r="E8" s="140"/>
      <c r="F8" s="140"/>
      <c r="G8" s="140"/>
      <c r="H8" s="140"/>
      <c r="I8" s="140"/>
      <c r="J8" s="140"/>
      <c r="K8" s="140"/>
      <c r="L8" s="140"/>
      <c r="M8" s="140"/>
    </row>
    <row r="9" spans="1:24" ht="14.85" customHeight="1" thickBot="1" x14ac:dyDescent="0.3">
      <c r="A9" s="140"/>
      <c r="B9" s="781" t="s">
        <v>1100</v>
      </c>
      <c r="C9" s="782">
        <v>0</v>
      </c>
      <c r="D9" s="140"/>
      <c r="E9" s="140"/>
      <c r="F9" s="140"/>
      <c r="G9" s="140"/>
      <c r="H9" s="140"/>
      <c r="I9" s="140"/>
      <c r="J9" s="140"/>
      <c r="K9" s="140"/>
      <c r="L9" s="140"/>
      <c r="M9" s="140"/>
      <c r="R9" s="783"/>
    </row>
    <row r="10" spans="1:24" ht="15.75" thickBot="1" x14ac:dyDescent="0.3">
      <c r="P10" s="784"/>
      <c r="R10" s="784"/>
    </row>
    <row r="11" spans="1:24" ht="109.5" customHeight="1" thickBot="1" x14ac:dyDescent="0.3">
      <c r="A11" s="785" t="s">
        <v>1101</v>
      </c>
      <c r="B11" s="786" t="s">
        <v>1102</v>
      </c>
      <c r="C11" s="787" t="s">
        <v>1103</v>
      </c>
      <c r="D11" s="787" t="s">
        <v>1104</v>
      </c>
      <c r="E11" s="787" t="s">
        <v>1105</v>
      </c>
      <c r="F11" s="787" t="s">
        <v>1106</v>
      </c>
      <c r="G11" s="788" t="s">
        <v>1107</v>
      </c>
      <c r="H11" s="787" t="s">
        <v>1108</v>
      </c>
      <c r="I11" s="789" t="s">
        <v>1109</v>
      </c>
      <c r="J11" s="790" t="s">
        <v>1110</v>
      </c>
      <c r="K11" s="791" t="s">
        <v>1111</v>
      </c>
      <c r="L11" s="792" t="s">
        <v>1112</v>
      </c>
      <c r="M11" s="793" t="s">
        <v>1113</v>
      </c>
      <c r="O11" t="s">
        <v>1094</v>
      </c>
      <c r="P11" t="s">
        <v>1114</v>
      </c>
      <c r="Q11" t="s">
        <v>1115</v>
      </c>
      <c r="R11" t="s">
        <v>1116</v>
      </c>
    </row>
    <row r="12" spans="1:24" x14ac:dyDescent="0.25">
      <c r="A12" s="794">
        <v>2</v>
      </c>
      <c r="B12" s="795" t="s">
        <v>1117</v>
      </c>
      <c r="C12" s="796">
        <f>HLOOKUP($C$4,$O$11:$R$41,2,FALSE)</f>
        <v>23615</v>
      </c>
      <c r="D12" s="796">
        <f>C12*$C$9</f>
        <v>0</v>
      </c>
      <c r="E12" s="796">
        <f>C12*(100%+$C$9)</f>
        <v>23615</v>
      </c>
      <c r="F12" s="796">
        <f>(E12-$C$5)*$C$6</f>
        <v>2003.0700000000002</v>
      </c>
      <c r="G12" s="797">
        <f>E12*$C$8</f>
        <v>118.075</v>
      </c>
      <c r="H12" s="796">
        <f>E12*$C$7</f>
        <v>5615.6469999999999</v>
      </c>
      <c r="I12" s="798">
        <f>SUM(E12:H12)</f>
        <v>31351.792000000001</v>
      </c>
      <c r="J12" s="799">
        <v>1560</v>
      </c>
      <c r="K12" s="800">
        <f>ROUND(I12/J12,2)</f>
        <v>20.100000000000001</v>
      </c>
      <c r="L12" s="801">
        <v>0.41</v>
      </c>
      <c r="M12" s="802">
        <v>0.83</v>
      </c>
      <c r="O12" s="783">
        <v>23615</v>
      </c>
      <c r="P12" s="311">
        <v>29029</v>
      </c>
      <c r="Q12">
        <v>28166</v>
      </c>
      <c r="R12">
        <v>24873</v>
      </c>
      <c r="V12" s="187"/>
      <c r="W12" s="346"/>
      <c r="X12" s="173"/>
    </row>
    <row r="13" spans="1:24" x14ac:dyDescent="0.25">
      <c r="A13" s="509">
        <v>2</v>
      </c>
      <c r="B13" s="499" t="s">
        <v>1118</v>
      </c>
      <c r="C13" s="496">
        <f>HLOOKUP($C$4,$O$11:$R$41,3,FALSE)</f>
        <v>23615</v>
      </c>
      <c r="D13" s="496">
        <f t="shared" ref="D13:D47" si="0">C13*$C$9</f>
        <v>0</v>
      </c>
      <c r="E13" s="496">
        <f t="shared" ref="E13:E47" si="1">C13*(100%+$C$9)</f>
        <v>23615</v>
      </c>
      <c r="F13" s="496">
        <f t="shared" ref="F13:F47" si="2">(E13-$C$5)*$C$6</f>
        <v>2003.0700000000002</v>
      </c>
      <c r="G13" s="500">
        <f t="shared" ref="G13:G47" si="3">E13*$C$8</f>
        <v>118.075</v>
      </c>
      <c r="H13" s="496">
        <f t="shared" ref="H13:H47" si="4">E13*$C$7</f>
        <v>5615.6469999999999</v>
      </c>
      <c r="I13" s="798">
        <f t="shared" ref="I13:I47" si="5">SUM(E13:H13)</f>
        <v>31351.792000000001</v>
      </c>
      <c r="J13" s="139">
        <v>1560</v>
      </c>
      <c r="K13" s="800">
        <f t="shared" ref="K13:K47" si="6">ROUND(I13/J13,2)</f>
        <v>20.100000000000001</v>
      </c>
      <c r="L13" s="497">
        <v>0.41</v>
      </c>
      <c r="M13" s="752">
        <v>0.83</v>
      </c>
      <c r="O13" s="783">
        <v>23615</v>
      </c>
      <c r="P13" s="311">
        <v>29029</v>
      </c>
      <c r="Q13">
        <v>28166</v>
      </c>
      <c r="R13">
        <v>24873</v>
      </c>
      <c r="V13" s="562" t="s">
        <v>1119</v>
      </c>
      <c r="X13" s="175"/>
    </row>
    <row r="14" spans="1:24" x14ac:dyDescent="0.25">
      <c r="A14" s="509">
        <v>3</v>
      </c>
      <c r="B14" s="499" t="s">
        <v>1120</v>
      </c>
      <c r="C14" s="496">
        <f>HLOOKUP($C$4,$O$11:$R$41,4,FALSE)</f>
        <v>24071</v>
      </c>
      <c r="D14" s="496">
        <f t="shared" si="0"/>
        <v>0</v>
      </c>
      <c r="E14" s="496">
        <f t="shared" si="1"/>
        <v>24071</v>
      </c>
      <c r="F14" s="496">
        <f t="shared" si="2"/>
        <v>2065.998</v>
      </c>
      <c r="G14" s="500">
        <f t="shared" si="3"/>
        <v>120.355</v>
      </c>
      <c r="H14" s="496">
        <f t="shared" si="4"/>
        <v>5724.0838000000003</v>
      </c>
      <c r="I14" s="798">
        <f t="shared" si="5"/>
        <v>31981.436799999999</v>
      </c>
      <c r="J14" s="139">
        <v>1560</v>
      </c>
      <c r="K14" s="800">
        <f t="shared" si="6"/>
        <v>20.5</v>
      </c>
      <c r="L14" s="497">
        <v>0.35</v>
      </c>
      <c r="M14" s="752">
        <v>0.69</v>
      </c>
      <c r="O14" s="783">
        <v>24071</v>
      </c>
      <c r="P14" s="311">
        <v>29485</v>
      </c>
      <c r="Q14">
        <v>28622</v>
      </c>
      <c r="R14">
        <v>25329</v>
      </c>
      <c r="S14" t="s">
        <v>1094</v>
      </c>
      <c r="V14" s="563" t="s">
        <v>1121</v>
      </c>
      <c r="W14">
        <v>260</v>
      </c>
      <c r="X14" s="175"/>
    </row>
    <row r="15" spans="1:24" x14ac:dyDescent="0.25">
      <c r="A15" s="509">
        <v>3</v>
      </c>
      <c r="B15" s="499" t="s">
        <v>1122</v>
      </c>
      <c r="C15" s="496">
        <f>HLOOKUP($C$4,$O$11:$R$41,5,FALSE)</f>
        <v>25674</v>
      </c>
      <c r="D15" s="496">
        <f t="shared" si="0"/>
        <v>0</v>
      </c>
      <c r="E15" s="496">
        <f t="shared" si="1"/>
        <v>25674</v>
      </c>
      <c r="F15" s="496">
        <f t="shared" si="2"/>
        <v>2287.212</v>
      </c>
      <c r="G15" s="500">
        <f t="shared" si="3"/>
        <v>128.37</v>
      </c>
      <c r="H15" s="496">
        <f t="shared" si="4"/>
        <v>6105.2772000000004</v>
      </c>
      <c r="I15" s="798">
        <f t="shared" si="5"/>
        <v>34194.859199999999</v>
      </c>
      <c r="J15" s="139">
        <v>1560</v>
      </c>
      <c r="K15" s="800">
        <f t="shared" si="6"/>
        <v>21.92</v>
      </c>
      <c r="L15" s="497">
        <v>0.35</v>
      </c>
      <c r="M15" s="752">
        <v>0.69</v>
      </c>
      <c r="O15" s="783">
        <v>25674</v>
      </c>
      <c r="P15" s="311">
        <v>31088</v>
      </c>
      <c r="Q15">
        <v>30225</v>
      </c>
      <c r="R15">
        <v>26958</v>
      </c>
      <c r="S15" t="s">
        <v>1123</v>
      </c>
      <c r="V15" s="563" t="s">
        <v>1124</v>
      </c>
      <c r="W15">
        <v>-40</v>
      </c>
      <c r="X15" s="175"/>
    </row>
    <row r="16" spans="1:24" x14ac:dyDescent="0.25">
      <c r="A16" s="509">
        <v>4</v>
      </c>
      <c r="B16" s="499" t="s">
        <v>1125</v>
      </c>
      <c r="C16" s="496">
        <f>HLOOKUP($C$4,$O$11:$R$41,6,FALSE)</f>
        <v>26530</v>
      </c>
      <c r="D16" s="496">
        <f t="shared" si="0"/>
        <v>0</v>
      </c>
      <c r="E16" s="496">
        <f t="shared" si="1"/>
        <v>26530</v>
      </c>
      <c r="F16" s="496">
        <f t="shared" si="2"/>
        <v>2405.34</v>
      </c>
      <c r="G16" s="500">
        <f t="shared" si="3"/>
        <v>132.65</v>
      </c>
      <c r="H16" s="496">
        <f t="shared" si="4"/>
        <v>6308.8340000000007</v>
      </c>
      <c r="I16" s="798">
        <f t="shared" si="5"/>
        <v>35376.824000000001</v>
      </c>
      <c r="J16" s="139">
        <v>1560</v>
      </c>
      <c r="K16" s="800">
        <f t="shared" si="6"/>
        <v>22.68</v>
      </c>
      <c r="L16" s="497">
        <v>0.3</v>
      </c>
      <c r="M16" s="752">
        <v>0.6</v>
      </c>
      <c r="O16" s="783">
        <v>26530</v>
      </c>
      <c r="P16" s="311">
        <v>31944</v>
      </c>
      <c r="Q16">
        <v>31081</v>
      </c>
      <c r="R16">
        <v>27857</v>
      </c>
      <c r="S16" t="s">
        <v>1126</v>
      </c>
      <c r="V16" s="563" t="s">
        <v>1127</v>
      </c>
      <c r="W16">
        <v>-2</v>
      </c>
      <c r="X16" s="175"/>
    </row>
    <row r="17" spans="1:24" x14ac:dyDescent="0.25">
      <c r="A17" s="509">
        <v>4</v>
      </c>
      <c r="B17" s="499" t="s">
        <v>1128</v>
      </c>
      <c r="C17" s="496">
        <f>HLOOKUP($C$4,$O$11:$R$41,7,FALSE)</f>
        <v>29114</v>
      </c>
      <c r="D17" s="496">
        <f t="shared" si="0"/>
        <v>0</v>
      </c>
      <c r="E17" s="496">
        <f t="shared" si="1"/>
        <v>29114</v>
      </c>
      <c r="F17" s="496">
        <f t="shared" si="2"/>
        <v>2761.9320000000002</v>
      </c>
      <c r="G17" s="500">
        <f t="shared" si="3"/>
        <v>145.57</v>
      </c>
      <c r="H17" s="496">
        <f t="shared" si="4"/>
        <v>6923.3092000000006</v>
      </c>
      <c r="I17" s="798">
        <f t="shared" si="5"/>
        <v>38944.811200000004</v>
      </c>
      <c r="J17" s="139">
        <v>1560</v>
      </c>
      <c r="K17" s="800">
        <f t="shared" si="6"/>
        <v>24.96</v>
      </c>
      <c r="L17" s="497">
        <v>0.3</v>
      </c>
      <c r="M17" s="752">
        <v>0.6</v>
      </c>
      <c r="O17" s="783">
        <v>29114</v>
      </c>
      <c r="P17" s="311">
        <v>34937</v>
      </c>
      <c r="Q17">
        <v>33665</v>
      </c>
      <c r="R17">
        <v>30570</v>
      </c>
      <c r="S17" t="s">
        <v>1129</v>
      </c>
      <c r="V17" s="563" t="s">
        <v>1130</v>
      </c>
      <c r="W17">
        <v>-10</v>
      </c>
      <c r="X17" s="175"/>
    </row>
    <row r="18" spans="1:24" x14ac:dyDescent="0.25">
      <c r="A18" s="509">
        <v>5</v>
      </c>
      <c r="B18" s="499" t="s">
        <v>1131</v>
      </c>
      <c r="C18" s="496">
        <f>HLOOKUP($C$4,$O$11:$R$41,8,FALSE)</f>
        <v>29970</v>
      </c>
      <c r="D18" s="496">
        <f t="shared" si="0"/>
        <v>0</v>
      </c>
      <c r="E18" s="496">
        <f t="shared" si="1"/>
        <v>29970</v>
      </c>
      <c r="F18" s="496">
        <f t="shared" si="2"/>
        <v>2880.0600000000004</v>
      </c>
      <c r="G18" s="500">
        <f t="shared" si="3"/>
        <v>149.85</v>
      </c>
      <c r="H18" s="496">
        <f t="shared" si="4"/>
        <v>7126.866</v>
      </c>
      <c r="I18" s="798">
        <f t="shared" si="5"/>
        <v>40126.775999999998</v>
      </c>
      <c r="J18" s="139">
        <v>1560</v>
      </c>
      <c r="K18" s="800">
        <f t="shared" si="6"/>
        <v>25.72</v>
      </c>
      <c r="L18" s="497">
        <v>0.3</v>
      </c>
      <c r="M18" s="752">
        <v>0.6</v>
      </c>
      <c r="O18" s="783">
        <v>29970</v>
      </c>
      <c r="P18" s="311">
        <v>35964</v>
      </c>
      <c r="Q18">
        <v>34521</v>
      </c>
      <c r="R18">
        <v>31469</v>
      </c>
      <c r="V18" s="563"/>
      <c r="W18" s="346">
        <v>208</v>
      </c>
      <c r="X18" s="175"/>
    </row>
    <row r="19" spans="1:24" x14ac:dyDescent="0.25">
      <c r="A19" s="509">
        <v>5</v>
      </c>
      <c r="B19" s="499" t="s">
        <v>1132</v>
      </c>
      <c r="C19" s="496">
        <f>HLOOKUP($C$4,$O$11:$R$41,9,FALSE)</f>
        <v>32324</v>
      </c>
      <c r="D19" s="496">
        <f t="shared" si="0"/>
        <v>0</v>
      </c>
      <c r="E19" s="496">
        <f t="shared" si="1"/>
        <v>32324</v>
      </c>
      <c r="F19" s="496">
        <f t="shared" si="2"/>
        <v>3204.9120000000003</v>
      </c>
      <c r="G19" s="500">
        <f t="shared" si="3"/>
        <v>161.62</v>
      </c>
      <c r="H19" s="496">
        <f t="shared" si="4"/>
        <v>7686.6472000000003</v>
      </c>
      <c r="I19" s="798">
        <f t="shared" si="5"/>
        <v>43377.179199999999</v>
      </c>
      <c r="J19" s="139">
        <v>1560</v>
      </c>
      <c r="K19" s="800">
        <f t="shared" si="6"/>
        <v>27.81</v>
      </c>
      <c r="L19" s="497">
        <v>0.3</v>
      </c>
      <c r="M19" s="752">
        <v>0.6</v>
      </c>
      <c r="O19" s="783">
        <v>32324</v>
      </c>
      <c r="P19" s="311">
        <v>38789</v>
      </c>
      <c r="Q19">
        <v>37173</v>
      </c>
      <c r="R19">
        <v>33941</v>
      </c>
      <c r="V19" s="563" t="s">
        <v>1133</v>
      </c>
      <c r="W19" s="381">
        <f>7.5*W18</f>
        <v>1560</v>
      </c>
      <c r="X19" s="175"/>
    </row>
    <row r="20" spans="1:24" x14ac:dyDescent="0.25">
      <c r="A20" s="509">
        <v>5</v>
      </c>
      <c r="B20" s="499" t="s">
        <v>1134</v>
      </c>
      <c r="C20" s="496">
        <f>HLOOKUP($C$4,$O$11:$R$41,10,FALSE)</f>
        <v>36483</v>
      </c>
      <c r="D20" s="496">
        <f t="shared" si="0"/>
        <v>0</v>
      </c>
      <c r="E20" s="496">
        <f t="shared" si="1"/>
        <v>36483</v>
      </c>
      <c r="F20" s="496">
        <f t="shared" si="2"/>
        <v>3778.8540000000003</v>
      </c>
      <c r="G20" s="500">
        <f t="shared" si="3"/>
        <v>182.41499999999999</v>
      </c>
      <c r="H20" s="496">
        <f t="shared" si="4"/>
        <v>8675.6574000000001</v>
      </c>
      <c r="I20" s="798">
        <f t="shared" si="5"/>
        <v>49119.926399999997</v>
      </c>
      <c r="J20" s="139">
        <v>1560</v>
      </c>
      <c r="K20" s="800">
        <f t="shared" si="6"/>
        <v>31.49</v>
      </c>
      <c r="L20" s="497">
        <v>0.3</v>
      </c>
      <c r="M20" s="752">
        <v>0.6</v>
      </c>
      <c r="O20" s="783">
        <v>36483</v>
      </c>
      <c r="P20" s="311">
        <v>43780</v>
      </c>
      <c r="Q20">
        <v>41956</v>
      </c>
      <c r="R20">
        <v>38308</v>
      </c>
      <c r="V20" s="176"/>
      <c r="X20" s="175"/>
    </row>
    <row r="21" spans="1:24" x14ac:dyDescent="0.25">
      <c r="A21" s="509">
        <v>6</v>
      </c>
      <c r="B21" s="499" t="s">
        <v>1135</v>
      </c>
      <c r="C21" s="496">
        <f>HLOOKUP($C$4,$O$11:$R$41,11,FALSE)</f>
        <v>37338</v>
      </c>
      <c r="D21" s="496">
        <f t="shared" si="0"/>
        <v>0</v>
      </c>
      <c r="E21" s="496">
        <f t="shared" si="1"/>
        <v>37338</v>
      </c>
      <c r="F21" s="496">
        <f t="shared" si="2"/>
        <v>3896.8440000000005</v>
      </c>
      <c r="G21" s="500">
        <f t="shared" si="3"/>
        <v>186.69</v>
      </c>
      <c r="H21" s="496">
        <f t="shared" si="4"/>
        <v>8878.9763999999996</v>
      </c>
      <c r="I21" s="798">
        <f t="shared" si="5"/>
        <v>50300.510399999999</v>
      </c>
      <c r="J21" s="139">
        <v>1560</v>
      </c>
      <c r="K21" s="800">
        <f t="shared" si="6"/>
        <v>32.24</v>
      </c>
      <c r="L21" s="497">
        <v>0.3</v>
      </c>
      <c r="M21" s="752">
        <v>0.6</v>
      </c>
      <c r="O21" s="783">
        <v>37338</v>
      </c>
      <c r="P21" s="311">
        <v>44806</v>
      </c>
      <c r="Q21">
        <v>42939</v>
      </c>
      <c r="R21">
        <v>39205</v>
      </c>
      <c r="V21" s="563"/>
      <c r="X21" s="175"/>
    </row>
    <row r="22" spans="1:24" x14ac:dyDescent="0.25">
      <c r="A22" s="509">
        <v>6</v>
      </c>
      <c r="B22" s="499" t="s">
        <v>1136</v>
      </c>
      <c r="C22" s="496">
        <f>HLOOKUP($C$4,$O$11:$R$41,12,FALSE)</f>
        <v>39405</v>
      </c>
      <c r="D22" s="496">
        <f t="shared" si="0"/>
        <v>0</v>
      </c>
      <c r="E22" s="496">
        <f t="shared" si="1"/>
        <v>39405</v>
      </c>
      <c r="F22" s="496">
        <f t="shared" si="2"/>
        <v>4182.09</v>
      </c>
      <c r="G22" s="500">
        <f t="shared" si="3"/>
        <v>197.02500000000001</v>
      </c>
      <c r="H22" s="496">
        <f t="shared" si="4"/>
        <v>9370.509</v>
      </c>
      <c r="I22" s="798">
        <f t="shared" si="5"/>
        <v>53154.623999999996</v>
      </c>
      <c r="J22" s="139">
        <v>1560</v>
      </c>
      <c r="K22" s="800">
        <f t="shared" si="6"/>
        <v>34.07</v>
      </c>
      <c r="L22" s="497">
        <v>0.3</v>
      </c>
      <c r="M22" s="752">
        <v>0.6</v>
      </c>
      <c r="O22" s="783">
        <v>39405</v>
      </c>
      <c r="P22" s="311">
        <v>47286</v>
      </c>
      <c r="Q22">
        <v>45140</v>
      </c>
      <c r="R22">
        <v>41376</v>
      </c>
      <c r="V22" s="562" t="s">
        <v>1137</v>
      </c>
      <c r="X22" s="175"/>
    </row>
    <row r="23" spans="1:24" x14ac:dyDescent="0.25">
      <c r="A23" s="509">
        <v>6</v>
      </c>
      <c r="B23" s="499" t="s">
        <v>1138</v>
      </c>
      <c r="C23" s="496">
        <f>HLOOKUP($C$4,$O$11:$R$41,13,FALSE)</f>
        <v>44962</v>
      </c>
      <c r="D23" s="496">
        <f t="shared" si="0"/>
        <v>0</v>
      </c>
      <c r="E23" s="496">
        <f t="shared" si="1"/>
        <v>44962</v>
      </c>
      <c r="F23" s="496">
        <f t="shared" si="2"/>
        <v>4948.9560000000001</v>
      </c>
      <c r="G23" s="500">
        <f t="shared" si="3"/>
        <v>224.81</v>
      </c>
      <c r="H23" s="496">
        <f t="shared" si="4"/>
        <v>10691.963600000001</v>
      </c>
      <c r="I23" s="798">
        <f t="shared" si="5"/>
        <v>60827.729599999999</v>
      </c>
      <c r="J23" s="139">
        <v>1560</v>
      </c>
      <c r="K23" s="800">
        <f t="shared" si="6"/>
        <v>38.99</v>
      </c>
      <c r="L23" s="497">
        <v>0.3</v>
      </c>
      <c r="M23" s="752">
        <v>0.6</v>
      </c>
      <c r="O23" s="783">
        <v>44962</v>
      </c>
      <c r="P23" s="311">
        <v>53134</v>
      </c>
      <c r="Q23">
        <v>50697</v>
      </c>
      <c r="R23">
        <v>47084</v>
      </c>
      <c r="V23" s="563" t="s">
        <v>1139</v>
      </c>
      <c r="W23">
        <v>43</v>
      </c>
      <c r="X23" s="175"/>
    </row>
    <row r="24" spans="1:24" x14ac:dyDescent="0.25">
      <c r="A24" s="509">
        <v>7</v>
      </c>
      <c r="B24" s="499" t="s">
        <v>1140</v>
      </c>
      <c r="C24" s="496">
        <f>HLOOKUP($C$4,$O$11:$R$41,14,FALSE)</f>
        <v>46148</v>
      </c>
      <c r="D24" s="496">
        <f t="shared" si="0"/>
        <v>0</v>
      </c>
      <c r="E24" s="496">
        <f t="shared" si="1"/>
        <v>46148</v>
      </c>
      <c r="F24" s="496">
        <f t="shared" si="2"/>
        <v>5112.6240000000007</v>
      </c>
      <c r="G24" s="500">
        <f t="shared" si="3"/>
        <v>230.74</v>
      </c>
      <c r="H24" s="496">
        <f t="shared" si="4"/>
        <v>10973.994400000001</v>
      </c>
      <c r="I24" s="798">
        <f t="shared" si="5"/>
        <v>62465.358400000005</v>
      </c>
      <c r="J24" s="139">
        <v>1560</v>
      </c>
      <c r="K24" s="800">
        <f t="shared" si="6"/>
        <v>40.04</v>
      </c>
      <c r="L24" s="497">
        <v>0.3</v>
      </c>
      <c r="M24" s="752">
        <v>0.6</v>
      </c>
      <c r="O24" s="783">
        <v>46148</v>
      </c>
      <c r="P24" s="311">
        <v>54320</v>
      </c>
      <c r="Q24">
        <v>51883</v>
      </c>
      <c r="R24">
        <v>48270</v>
      </c>
      <c r="V24" s="563"/>
      <c r="X24" s="175"/>
    </row>
    <row r="25" spans="1:24" x14ac:dyDescent="0.25">
      <c r="A25" s="509">
        <v>7</v>
      </c>
      <c r="B25" s="499" t="s">
        <v>777</v>
      </c>
      <c r="C25" s="496">
        <f>HLOOKUP($C$4,$O$11:$R$41,15,FALSE)</f>
        <v>48526</v>
      </c>
      <c r="D25" s="496">
        <f t="shared" si="0"/>
        <v>0</v>
      </c>
      <c r="E25" s="496">
        <f t="shared" si="1"/>
        <v>48526</v>
      </c>
      <c r="F25" s="496">
        <f t="shared" si="2"/>
        <v>5440.7880000000005</v>
      </c>
      <c r="G25" s="500">
        <f t="shared" si="3"/>
        <v>242.63</v>
      </c>
      <c r="H25" s="496">
        <f t="shared" si="4"/>
        <v>11539.4828</v>
      </c>
      <c r="I25" s="798">
        <f t="shared" si="5"/>
        <v>65748.900800000003</v>
      </c>
      <c r="J25" s="139">
        <v>1560</v>
      </c>
      <c r="K25" s="800">
        <f t="shared" si="6"/>
        <v>42.15</v>
      </c>
      <c r="L25" s="497">
        <v>0.3</v>
      </c>
      <c r="M25" s="752">
        <v>0.6</v>
      </c>
      <c r="O25" s="783">
        <v>48526</v>
      </c>
      <c r="P25" s="311">
        <v>56698</v>
      </c>
      <c r="Q25">
        <v>54261</v>
      </c>
      <c r="R25">
        <v>50648</v>
      </c>
      <c r="V25" s="563" t="s">
        <v>1141</v>
      </c>
      <c r="W25">
        <v>10</v>
      </c>
      <c r="X25" s="175"/>
    </row>
    <row r="26" spans="1:24" x14ac:dyDescent="0.25">
      <c r="A26" s="509">
        <v>7</v>
      </c>
      <c r="B26" s="499" t="s">
        <v>1142</v>
      </c>
      <c r="C26" s="496">
        <f>HLOOKUP($C$4,$O$11:$R$41,16,FALSE)</f>
        <v>52809</v>
      </c>
      <c r="D26" s="496">
        <f t="shared" si="0"/>
        <v>0</v>
      </c>
      <c r="E26" s="496">
        <f t="shared" si="1"/>
        <v>52809</v>
      </c>
      <c r="F26" s="496">
        <f t="shared" si="2"/>
        <v>6031.8420000000006</v>
      </c>
      <c r="G26" s="500">
        <f t="shared" si="3"/>
        <v>264.04500000000002</v>
      </c>
      <c r="H26" s="496">
        <f t="shared" si="4"/>
        <v>12557.9802</v>
      </c>
      <c r="I26" s="798">
        <f t="shared" si="5"/>
        <v>71662.867200000008</v>
      </c>
      <c r="J26" s="139">
        <v>1560</v>
      </c>
      <c r="K26" s="800">
        <f t="shared" si="6"/>
        <v>45.94</v>
      </c>
      <c r="L26" s="497">
        <v>0.3</v>
      </c>
      <c r="M26" s="752">
        <v>0.6</v>
      </c>
      <c r="O26" s="783">
        <v>52809</v>
      </c>
      <c r="P26" s="311">
        <v>60981</v>
      </c>
      <c r="Q26">
        <v>58544</v>
      </c>
      <c r="R26">
        <v>54931</v>
      </c>
      <c r="V26" s="563" t="s">
        <v>1143</v>
      </c>
      <c r="W26">
        <v>-2</v>
      </c>
      <c r="X26" s="175"/>
    </row>
    <row r="27" spans="1:24" x14ac:dyDescent="0.25">
      <c r="A27" s="509" t="s">
        <v>1144</v>
      </c>
      <c r="B27" s="499" t="s">
        <v>1145</v>
      </c>
      <c r="C27" s="496">
        <f>HLOOKUP($C$4,$O$11:$R$41,17,FALSE)</f>
        <v>53754.676500000001</v>
      </c>
      <c r="D27" s="496">
        <f t="shared" si="0"/>
        <v>0</v>
      </c>
      <c r="E27" s="496">
        <f t="shared" si="1"/>
        <v>53754.676500000001</v>
      </c>
      <c r="F27" s="496">
        <f t="shared" si="2"/>
        <v>6162.3453570000011</v>
      </c>
      <c r="G27" s="500">
        <f t="shared" si="3"/>
        <v>268.77338250000003</v>
      </c>
      <c r="H27" s="496">
        <f t="shared" si="4"/>
        <v>12782.862071700001</v>
      </c>
      <c r="I27" s="798">
        <f t="shared" si="5"/>
        <v>72968.657311200004</v>
      </c>
      <c r="J27" s="139">
        <v>1560</v>
      </c>
      <c r="K27" s="800">
        <f t="shared" si="6"/>
        <v>46.77</v>
      </c>
      <c r="L27" s="497">
        <v>0.3</v>
      </c>
      <c r="M27" s="752">
        <v>0.6</v>
      </c>
      <c r="O27" s="783">
        <v>53754.676500000001</v>
      </c>
      <c r="P27" s="311">
        <v>61927</v>
      </c>
      <c r="Q27">
        <v>59490</v>
      </c>
      <c r="R27">
        <v>55877</v>
      </c>
      <c r="V27" s="563"/>
      <c r="W27" s="346">
        <v>8</v>
      </c>
      <c r="X27" s="175"/>
    </row>
    <row r="28" spans="1:24" x14ac:dyDescent="0.25">
      <c r="A28" s="509" t="s">
        <v>1144</v>
      </c>
      <c r="B28" s="499" t="s">
        <v>1146</v>
      </c>
      <c r="C28" s="496">
        <f>HLOOKUP($C$4,$O$11:$R$41,18,FALSE)</f>
        <v>56454</v>
      </c>
      <c r="D28" s="496">
        <f t="shared" si="0"/>
        <v>0</v>
      </c>
      <c r="E28" s="496">
        <f t="shared" si="1"/>
        <v>56454</v>
      </c>
      <c r="F28" s="496">
        <f t="shared" si="2"/>
        <v>6534.8520000000008</v>
      </c>
      <c r="G28" s="500">
        <f t="shared" si="3"/>
        <v>282.27</v>
      </c>
      <c r="H28" s="496">
        <f t="shared" si="4"/>
        <v>13424.761200000001</v>
      </c>
      <c r="I28" s="798">
        <f t="shared" si="5"/>
        <v>76695.883199999997</v>
      </c>
      <c r="J28" s="139">
        <v>1560</v>
      </c>
      <c r="K28" s="800">
        <f t="shared" si="6"/>
        <v>49.16</v>
      </c>
      <c r="L28" s="497">
        <v>0.3</v>
      </c>
      <c r="M28" s="752">
        <v>0.6</v>
      </c>
      <c r="O28" s="783">
        <v>56454</v>
      </c>
      <c r="P28" s="311">
        <v>64626</v>
      </c>
      <c r="Q28">
        <v>62189</v>
      </c>
      <c r="R28">
        <v>58576</v>
      </c>
      <c r="V28" s="563" t="s">
        <v>1147</v>
      </c>
      <c r="W28" s="381">
        <f>W27*4*W23</f>
        <v>1376</v>
      </c>
      <c r="X28" s="175"/>
    </row>
    <row r="29" spans="1:24" x14ac:dyDescent="0.25">
      <c r="A29" s="509" t="s">
        <v>1144</v>
      </c>
      <c r="B29" s="499" t="s">
        <v>1148</v>
      </c>
      <c r="C29" s="496">
        <f>HLOOKUP($C$4,$O$11:$R$41,19,FALSE)</f>
        <v>60504</v>
      </c>
      <c r="D29" s="496">
        <f t="shared" si="0"/>
        <v>0</v>
      </c>
      <c r="E29" s="496">
        <f t="shared" si="1"/>
        <v>60504</v>
      </c>
      <c r="F29" s="496">
        <f t="shared" si="2"/>
        <v>7093.7520000000004</v>
      </c>
      <c r="G29" s="500">
        <f t="shared" si="3"/>
        <v>302.52</v>
      </c>
      <c r="H29" s="496">
        <f t="shared" si="4"/>
        <v>14387.851200000001</v>
      </c>
      <c r="I29" s="798">
        <f t="shared" si="5"/>
        <v>82288.123200000016</v>
      </c>
      <c r="J29" s="139">
        <v>1560</v>
      </c>
      <c r="K29" s="800">
        <f t="shared" si="6"/>
        <v>52.75</v>
      </c>
      <c r="L29" s="497">
        <v>0.3</v>
      </c>
      <c r="M29" s="752">
        <v>0.6</v>
      </c>
      <c r="O29" s="783">
        <v>60504</v>
      </c>
      <c r="P29" s="311">
        <v>68676</v>
      </c>
      <c r="Q29">
        <v>66239</v>
      </c>
      <c r="R29">
        <v>62626</v>
      </c>
      <c r="V29" s="176"/>
      <c r="X29" s="175"/>
    </row>
    <row r="30" spans="1:24" x14ac:dyDescent="0.25">
      <c r="A30" s="509" t="s">
        <v>1149</v>
      </c>
      <c r="B30" s="499" t="s">
        <v>1150</v>
      </c>
      <c r="C30" s="496">
        <f>HLOOKUP($C$4,$O$11:$R$41,20,FALSE)</f>
        <v>62215</v>
      </c>
      <c r="D30" s="496">
        <f t="shared" si="0"/>
        <v>0</v>
      </c>
      <c r="E30" s="496">
        <f t="shared" si="1"/>
        <v>62215</v>
      </c>
      <c r="F30" s="496">
        <f t="shared" si="2"/>
        <v>7329.8700000000008</v>
      </c>
      <c r="G30" s="500">
        <f t="shared" si="3"/>
        <v>311.07499999999999</v>
      </c>
      <c r="H30" s="496">
        <f t="shared" si="4"/>
        <v>14794.727000000001</v>
      </c>
      <c r="I30" s="798">
        <f t="shared" si="5"/>
        <v>84650.671999999991</v>
      </c>
      <c r="J30" s="139">
        <v>1560</v>
      </c>
      <c r="K30" s="800">
        <f t="shared" si="6"/>
        <v>54.26</v>
      </c>
      <c r="L30" s="497">
        <v>0.3</v>
      </c>
      <c r="M30" s="752">
        <v>0.6</v>
      </c>
      <c r="O30" s="783">
        <v>62215</v>
      </c>
      <c r="P30" s="311">
        <v>70387</v>
      </c>
      <c r="Q30">
        <v>67950</v>
      </c>
      <c r="R30">
        <v>64337</v>
      </c>
      <c r="V30" s="563"/>
      <c r="X30" s="175"/>
    </row>
    <row r="31" spans="1:24" x14ac:dyDescent="0.25">
      <c r="A31" s="509" t="s">
        <v>1149</v>
      </c>
      <c r="B31" s="499" t="s">
        <v>1151</v>
      </c>
      <c r="C31" s="496">
        <f>HLOOKUP($C$4,$O$11:$R$41,21,FALSE)</f>
        <v>66246</v>
      </c>
      <c r="D31" s="496">
        <f t="shared" si="0"/>
        <v>0</v>
      </c>
      <c r="E31" s="496">
        <f t="shared" si="1"/>
        <v>66246</v>
      </c>
      <c r="F31" s="496">
        <f t="shared" si="2"/>
        <v>7886.148000000001</v>
      </c>
      <c r="G31" s="500">
        <f t="shared" si="3"/>
        <v>331.23</v>
      </c>
      <c r="H31" s="496">
        <f t="shared" si="4"/>
        <v>15753.2988</v>
      </c>
      <c r="I31" s="798">
        <f t="shared" si="5"/>
        <v>90216.676800000001</v>
      </c>
      <c r="J31" s="139">
        <v>1560</v>
      </c>
      <c r="K31" s="800">
        <f t="shared" si="6"/>
        <v>57.83</v>
      </c>
      <c r="L31" s="497">
        <v>0.3</v>
      </c>
      <c r="M31" s="752">
        <v>0.6</v>
      </c>
      <c r="O31" s="783">
        <v>66246</v>
      </c>
      <c r="P31" s="311">
        <v>74418</v>
      </c>
      <c r="Q31">
        <v>71981</v>
      </c>
      <c r="R31">
        <v>68368</v>
      </c>
      <c r="V31" s="562" t="s">
        <v>1152</v>
      </c>
      <c r="X31" s="175"/>
    </row>
    <row r="32" spans="1:24" x14ac:dyDescent="0.25">
      <c r="A32" s="509" t="s">
        <v>1149</v>
      </c>
      <c r="B32" s="499" t="s">
        <v>1153</v>
      </c>
      <c r="C32" s="496">
        <f>HLOOKUP($C$4,$O$11:$R$41,22,FALSE)</f>
        <v>72293</v>
      </c>
      <c r="D32" s="496">
        <f t="shared" si="0"/>
        <v>0</v>
      </c>
      <c r="E32" s="496">
        <f t="shared" si="1"/>
        <v>72293</v>
      </c>
      <c r="F32" s="496">
        <f t="shared" si="2"/>
        <v>8720.634</v>
      </c>
      <c r="G32" s="500">
        <f t="shared" si="3"/>
        <v>361.46500000000003</v>
      </c>
      <c r="H32" s="496">
        <f t="shared" si="4"/>
        <v>17191.275400000002</v>
      </c>
      <c r="I32" s="798">
        <f t="shared" si="5"/>
        <v>98566.374400000001</v>
      </c>
      <c r="J32" s="139">
        <v>1560</v>
      </c>
      <c r="K32" s="800">
        <f t="shared" si="6"/>
        <v>63.18</v>
      </c>
      <c r="L32" s="497">
        <v>0.3</v>
      </c>
      <c r="M32" s="752">
        <v>0.6</v>
      </c>
      <c r="O32" s="783">
        <v>72293</v>
      </c>
      <c r="P32" s="311">
        <v>80465</v>
      </c>
      <c r="Q32">
        <v>78028</v>
      </c>
      <c r="R32">
        <v>74415</v>
      </c>
      <c r="V32" s="563" t="s">
        <v>1154</v>
      </c>
      <c r="W32">
        <v>44.7</v>
      </c>
      <c r="X32" s="175"/>
    </row>
    <row r="33" spans="1:24" x14ac:dyDescent="0.25">
      <c r="A33" s="509" t="s">
        <v>1155</v>
      </c>
      <c r="B33" s="499" t="s">
        <v>1156</v>
      </c>
      <c r="C33" s="496">
        <f>HLOOKUP($C$4,$O$11:$R$41,23,FALSE)</f>
        <v>74290</v>
      </c>
      <c r="D33" s="496">
        <f t="shared" si="0"/>
        <v>0</v>
      </c>
      <c r="E33" s="496">
        <f t="shared" si="1"/>
        <v>74290</v>
      </c>
      <c r="F33" s="496">
        <f t="shared" si="2"/>
        <v>8996.2200000000012</v>
      </c>
      <c r="G33" s="500">
        <f t="shared" si="3"/>
        <v>371.45</v>
      </c>
      <c r="H33" s="496">
        <f t="shared" si="4"/>
        <v>17666.162</v>
      </c>
      <c r="I33" s="798">
        <f t="shared" si="5"/>
        <v>101323.83199999999</v>
      </c>
      <c r="J33" s="139">
        <v>1560</v>
      </c>
      <c r="K33" s="800">
        <f t="shared" si="6"/>
        <v>64.95</v>
      </c>
      <c r="L33" s="497">
        <v>0.3</v>
      </c>
      <c r="M33" s="752">
        <v>0.6</v>
      </c>
      <c r="O33" s="783">
        <v>74290</v>
      </c>
      <c r="P33" s="311">
        <v>82462</v>
      </c>
      <c r="Q33">
        <v>80025</v>
      </c>
      <c r="R33">
        <v>76412</v>
      </c>
      <c r="V33" s="563" t="s">
        <v>1157</v>
      </c>
      <c r="W33">
        <v>48</v>
      </c>
      <c r="X33" s="175"/>
    </row>
    <row r="34" spans="1:24" x14ac:dyDescent="0.25">
      <c r="A34" s="509" t="s">
        <v>1155</v>
      </c>
      <c r="B34" s="499" t="s">
        <v>1158</v>
      </c>
      <c r="C34" s="496">
        <f>HLOOKUP($C$4,$O$11:$R$41,24,FALSE)</f>
        <v>78814</v>
      </c>
      <c r="D34" s="496">
        <f t="shared" si="0"/>
        <v>0</v>
      </c>
      <c r="E34" s="496">
        <f t="shared" si="1"/>
        <v>78814</v>
      </c>
      <c r="F34" s="496">
        <f t="shared" si="2"/>
        <v>9620.5320000000011</v>
      </c>
      <c r="G34" s="500">
        <f t="shared" si="3"/>
        <v>394.07</v>
      </c>
      <c r="H34" s="496">
        <f t="shared" si="4"/>
        <v>18741.9692</v>
      </c>
      <c r="I34" s="798">
        <f t="shared" si="5"/>
        <v>107570.57120000001</v>
      </c>
      <c r="J34" s="139">
        <v>1560</v>
      </c>
      <c r="K34" s="800">
        <f t="shared" si="6"/>
        <v>68.959999999999994</v>
      </c>
      <c r="L34" s="497">
        <v>0.3</v>
      </c>
      <c r="M34" s="752">
        <v>0.6</v>
      </c>
      <c r="O34" s="783">
        <v>78814</v>
      </c>
      <c r="P34" s="311">
        <v>86986</v>
      </c>
      <c r="Q34">
        <v>84549</v>
      </c>
      <c r="R34">
        <v>80936</v>
      </c>
      <c r="V34" s="563" t="s">
        <v>1159</v>
      </c>
      <c r="W34">
        <v>2145.6</v>
      </c>
      <c r="X34" s="175"/>
    </row>
    <row r="35" spans="1:24" x14ac:dyDescent="0.25">
      <c r="A35" s="509" t="s">
        <v>1155</v>
      </c>
      <c r="B35" s="499" t="s">
        <v>1160</v>
      </c>
      <c r="C35" s="496">
        <f>HLOOKUP($C$4,$O$11:$R$41,25,FALSE)</f>
        <v>85601</v>
      </c>
      <c r="D35" s="496">
        <f t="shared" si="0"/>
        <v>0</v>
      </c>
      <c r="E35" s="496">
        <f t="shared" si="1"/>
        <v>85601</v>
      </c>
      <c r="F35" s="496">
        <f t="shared" si="2"/>
        <v>10557.138000000001</v>
      </c>
      <c r="G35" s="500">
        <f t="shared" si="3"/>
        <v>428.005</v>
      </c>
      <c r="H35" s="496">
        <f t="shared" si="4"/>
        <v>20355.917799999999</v>
      </c>
      <c r="I35" s="798">
        <f t="shared" si="5"/>
        <v>116942.06080000001</v>
      </c>
      <c r="J35" s="139">
        <v>1560</v>
      </c>
      <c r="K35" s="800">
        <f t="shared" si="6"/>
        <v>74.959999999999994</v>
      </c>
      <c r="L35" s="497">
        <v>0.3</v>
      </c>
      <c r="M35" s="752">
        <v>0.6</v>
      </c>
      <c r="O35" s="783">
        <v>85601</v>
      </c>
      <c r="P35" s="311">
        <v>93773</v>
      </c>
      <c r="Q35">
        <v>91336</v>
      </c>
      <c r="R35">
        <v>87723</v>
      </c>
      <c r="V35" s="563" t="s">
        <v>1161</v>
      </c>
      <c r="W35" s="564">
        <v>0.6</v>
      </c>
      <c r="X35" s="175"/>
    </row>
    <row r="36" spans="1:24" x14ac:dyDescent="0.25">
      <c r="A36" s="509" t="s">
        <v>1162</v>
      </c>
      <c r="B36" s="499" t="s">
        <v>1163</v>
      </c>
      <c r="C36" s="496">
        <f>HLOOKUP($C$4,$O$11:$R$41,26,FALSE)</f>
        <v>88168</v>
      </c>
      <c r="D36" s="496">
        <f t="shared" si="0"/>
        <v>0</v>
      </c>
      <c r="E36" s="496">
        <f t="shared" si="1"/>
        <v>88168</v>
      </c>
      <c r="F36" s="496">
        <f t="shared" si="2"/>
        <v>10911.384</v>
      </c>
      <c r="G36" s="500">
        <f t="shared" si="3"/>
        <v>440.84000000000003</v>
      </c>
      <c r="H36" s="496">
        <f t="shared" si="4"/>
        <v>20966.350399999999</v>
      </c>
      <c r="I36" s="798">
        <f t="shared" si="5"/>
        <v>120486.5744</v>
      </c>
      <c r="J36" s="139">
        <v>1560</v>
      </c>
      <c r="K36" s="800">
        <f t="shared" si="6"/>
        <v>77.23</v>
      </c>
      <c r="L36" s="497">
        <v>0.3</v>
      </c>
      <c r="M36" s="752">
        <v>0.6</v>
      </c>
      <c r="O36" s="783">
        <v>88168</v>
      </c>
      <c r="P36" s="311">
        <v>96340</v>
      </c>
      <c r="Q36">
        <v>93903</v>
      </c>
      <c r="R36">
        <v>90290</v>
      </c>
      <c r="V36" s="563" t="s">
        <v>1164</v>
      </c>
      <c r="W36" s="561">
        <f>ROUND(W35*W34,0)</f>
        <v>1287</v>
      </c>
      <c r="X36" s="175"/>
    </row>
    <row r="37" spans="1:24" x14ac:dyDescent="0.25">
      <c r="A37" s="509" t="s">
        <v>1162</v>
      </c>
      <c r="B37" s="499" t="s">
        <v>1165</v>
      </c>
      <c r="C37" s="496">
        <f>HLOOKUP($C$4,$O$11:$R$41,27,FALSE)</f>
        <v>93572</v>
      </c>
      <c r="D37" s="496">
        <f t="shared" si="0"/>
        <v>0</v>
      </c>
      <c r="E37" s="496">
        <f t="shared" si="1"/>
        <v>93572</v>
      </c>
      <c r="F37" s="496">
        <f t="shared" si="2"/>
        <v>11657.136</v>
      </c>
      <c r="G37" s="500">
        <f t="shared" si="3"/>
        <v>467.86</v>
      </c>
      <c r="H37" s="496">
        <f t="shared" si="4"/>
        <v>22251.421600000001</v>
      </c>
      <c r="I37" s="798">
        <f t="shared" si="5"/>
        <v>127948.4176</v>
      </c>
      <c r="J37" s="139">
        <v>1560</v>
      </c>
      <c r="K37" s="800">
        <f t="shared" si="6"/>
        <v>82.02</v>
      </c>
      <c r="L37" s="497">
        <v>0.3</v>
      </c>
      <c r="M37" s="752">
        <v>0.6</v>
      </c>
      <c r="O37" s="783">
        <v>93572</v>
      </c>
      <c r="P37" s="311">
        <v>101744</v>
      </c>
      <c r="Q37">
        <v>99307</v>
      </c>
      <c r="R37">
        <v>95694</v>
      </c>
      <c r="V37" s="177"/>
      <c r="W37" s="178"/>
      <c r="X37" s="179"/>
    </row>
    <row r="38" spans="1:24" x14ac:dyDescent="0.25">
      <c r="A38" s="509" t="s">
        <v>1162</v>
      </c>
      <c r="B38" s="499" t="s">
        <v>1166</v>
      </c>
      <c r="C38" s="496">
        <f>HLOOKUP($C$4,$O$11:$R$41,28,FALSE)</f>
        <v>101677</v>
      </c>
      <c r="D38" s="496">
        <f t="shared" si="0"/>
        <v>0</v>
      </c>
      <c r="E38" s="496">
        <f t="shared" si="1"/>
        <v>101677</v>
      </c>
      <c r="F38" s="496">
        <f t="shared" si="2"/>
        <v>12775.626</v>
      </c>
      <c r="G38" s="500">
        <f t="shared" si="3"/>
        <v>508.38499999999999</v>
      </c>
      <c r="H38" s="496">
        <f t="shared" si="4"/>
        <v>24178.7906</v>
      </c>
      <c r="I38" s="798">
        <f t="shared" si="5"/>
        <v>139139.80160000001</v>
      </c>
      <c r="J38" s="139">
        <v>1560</v>
      </c>
      <c r="K38" s="800">
        <f t="shared" si="6"/>
        <v>89.19</v>
      </c>
      <c r="L38" s="497">
        <v>0.3</v>
      </c>
      <c r="M38" s="752">
        <v>0.6</v>
      </c>
      <c r="O38" s="783">
        <v>101677</v>
      </c>
      <c r="P38" s="311">
        <v>109849</v>
      </c>
      <c r="Q38">
        <v>107412</v>
      </c>
      <c r="R38">
        <v>103799</v>
      </c>
    </row>
    <row r="39" spans="1:24" x14ac:dyDescent="0.25">
      <c r="A39" s="509">
        <v>9</v>
      </c>
      <c r="B39" s="499" t="s">
        <v>1167</v>
      </c>
      <c r="C39" s="496">
        <f>HLOOKUP($C$4,$O$11:$R$41,29,FALSE)</f>
        <v>105385</v>
      </c>
      <c r="D39" s="496">
        <f t="shared" si="0"/>
        <v>0</v>
      </c>
      <c r="E39" s="496">
        <f t="shared" si="1"/>
        <v>105385</v>
      </c>
      <c r="F39" s="496">
        <f t="shared" si="2"/>
        <v>13287.330000000002</v>
      </c>
      <c r="G39" s="500">
        <f t="shared" si="3"/>
        <v>526.92499999999995</v>
      </c>
      <c r="H39" s="496">
        <f t="shared" si="4"/>
        <v>25060.553</v>
      </c>
      <c r="I39" s="798">
        <f t="shared" si="5"/>
        <v>144259.80800000002</v>
      </c>
      <c r="J39" s="139">
        <v>1560</v>
      </c>
      <c r="K39" s="800">
        <f t="shared" si="6"/>
        <v>92.47</v>
      </c>
      <c r="L39" s="497">
        <v>0.3</v>
      </c>
      <c r="M39" s="752">
        <v>0.6</v>
      </c>
      <c r="O39" s="783">
        <v>105385</v>
      </c>
      <c r="P39" s="311">
        <v>113557</v>
      </c>
      <c r="Q39">
        <v>111120</v>
      </c>
      <c r="R39">
        <v>107507</v>
      </c>
    </row>
    <row r="40" spans="1:24" x14ac:dyDescent="0.25">
      <c r="A40" s="509">
        <v>9</v>
      </c>
      <c r="B40" s="499" t="s">
        <v>1168</v>
      </c>
      <c r="C40" s="496">
        <f>HLOOKUP($C$4,$O$11:$R$41,30,FALSE)</f>
        <v>111740</v>
      </c>
      <c r="D40" s="496">
        <f t="shared" si="0"/>
        <v>0</v>
      </c>
      <c r="E40" s="496">
        <f t="shared" si="1"/>
        <v>111740</v>
      </c>
      <c r="F40" s="496">
        <f t="shared" si="2"/>
        <v>14164.320000000002</v>
      </c>
      <c r="G40" s="500">
        <f t="shared" si="3"/>
        <v>558.70000000000005</v>
      </c>
      <c r="H40" s="496">
        <f t="shared" si="4"/>
        <v>26571.772000000001</v>
      </c>
      <c r="I40" s="798">
        <f t="shared" si="5"/>
        <v>153034.79200000002</v>
      </c>
      <c r="J40" s="139">
        <v>1560</v>
      </c>
      <c r="K40" s="800">
        <f t="shared" si="6"/>
        <v>98.1</v>
      </c>
      <c r="L40" s="497">
        <v>0.3</v>
      </c>
      <c r="M40" s="752">
        <v>0.6</v>
      </c>
      <c r="O40" s="783">
        <v>111740</v>
      </c>
      <c r="P40" s="311">
        <v>119912</v>
      </c>
      <c r="Q40">
        <v>117475</v>
      </c>
      <c r="R40">
        <v>113862</v>
      </c>
    </row>
    <row r="41" spans="1:24" x14ac:dyDescent="0.25">
      <c r="A41" s="509">
        <v>9</v>
      </c>
      <c r="B41" s="499" t="s">
        <v>1169</v>
      </c>
      <c r="C41" s="496">
        <f>HLOOKUP($C$4,$O$11:$R$41,31,FALSE)</f>
        <v>121271</v>
      </c>
      <c r="D41" s="496">
        <f t="shared" si="0"/>
        <v>0</v>
      </c>
      <c r="E41" s="496">
        <f t="shared" si="1"/>
        <v>121271</v>
      </c>
      <c r="F41" s="496">
        <f t="shared" si="2"/>
        <v>15479.598000000002</v>
      </c>
      <c r="G41" s="500">
        <f t="shared" si="3"/>
        <v>606.35500000000002</v>
      </c>
      <c r="H41" s="496">
        <f t="shared" si="4"/>
        <v>28838.2438</v>
      </c>
      <c r="I41" s="798">
        <f t="shared" si="5"/>
        <v>166195.19680000001</v>
      </c>
      <c r="J41" s="139">
        <v>1560</v>
      </c>
      <c r="K41" s="800">
        <f t="shared" si="6"/>
        <v>106.54</v>
      </c>
      <c r="L41" s="497">
        <v>0.3</v>
      </c>
      <c r="M41" s="752">
        <v>0.6</v>
      </c>
      <c r="O41" s="783">
        <v>121271</v>
      </c>
      <c r="P41" s="311">
        <v>129443</v>
      </c>
      <c r="Q41">
        <v>127006</v>
      </c>
      <c r="R41">
        <v>123393</v>
      </c>
    </row>
    <row r="42" spans="1:24" x14ac:dyDescent="0.25">
      <c r="A42" s="509" t="s">
        <v>1152</v>
      </c>
      <c r="B42" s="162" t="s">
        <v>1170</v>
      </c>
      <c r="C42" s="496">
        <v>73113</v>
      </c>
      <c r="D42" s="496">
        <f t="shared" si="0"/>
        <v>0</v>
      </c>
      <c r="E42" s="496">
        <f t="shared" si="1"/>
        <v>73113</v>
      </c>
      <c r="F42" s="496">
        <f t="shared" si="2"/>
        <v>8833.7939999999999</v>
      </c>
      <c r="G42" s="500">
        <f t="shared" si="3"/>
        <v>365.565</v>
      </c>
      <c r="H42" s="496">
        <f>C42*0.2068</f>
        <v>15119.768400000001</v>
      </c>
      <c r="I42" s="798">
        <f t="shared" si="5"/>
        <v>97432.127399999998</v>
      </c>
      <c r="J42" s="139">
        <f>W36</f>
        <v>1287</v>
      </c>
      <c r="K42" s="800">
        <f t="shared" si="6"/>
        <v>75.7</v>
      </c>
      <c r="L42" s="498">
        <v>0</v>
      </c>
      <c r="M42" s="748">
        <v>0</v>
      </c>
    </row>
    <row r="43" spans="1:24" x14ac:dyDescent="0.25">
      <c r="A43" s="509" t="s">
        <v>1152</v>
      </c>
      <c r="B43" s="162" t="s">
        <v>1171</v>
      </c>
      <c r="C43" s="496">
        <f>(C42+C44)/2</f>
        <v>91721.5</v>
      </c>
      <c r="D43" s="496">
        <f t="shared" si="0"/>
        <v>0</v>
      </c>
      <c r="E43" s="496">
        <f t="shared" si="1"/>
        <v>91721.5</v>
      </c>
      <c r="F43" s="496">
        <f t="shared" si="2"/>
        <v>11401.767000000002</v>
      </c>
      <c r="G43" s="500">
        <f t="shared" si="3"/>
        <v>458.60750000000002</v>
      </c>
      <c r="H43" s="496">
        <f>C43*0.2068</f>
        <v>18968.0062</v>
      </c>
      <c r="I43" s="798">
        <f t="shared" si="5"/>
        <v>122549.88070000001</v>
      </c>
      <c r="J43" s="139">
        <f>W36</f>
        <v>1287</v>
      </c>
      <c r="K43" s="800">
        <f t="shared" si="6"/>
        <v>95.22</v>
      </c>
      <c r="L43" s="498">
        <v>0</v>
      </c>
      <c r="M43" s="748">
        <v>0</v>
      </c>
    </row>
    <row r="44" spans="1:24" x14ac:dyDescent="0.25">
      <c r="A44" s="803" t="s">
        <v>1152</v>
      </c>
      <c r="B44" s="804" t="s">
        <v>1171</v>
      </c>
      <c r="C44" s="805">
        <v>110330</v>
      </c>
      <c r="D44" s="805">
        <f t="shared" si="0"/>
        <v>0</v>
      </c>
      <c r="E44" s="496">
        <f t="shared" si="1"/>
        <v>110330</v>
      </c>
      <c r="F44" s="496">
        <f t="shared" si="2"/>
        <v>13969.740000000002</v>
      </c>
      <c r="G44" s="500">
        <f t="shared" si="3"/>
        <v>551.65</v>
      </c>
      <c r="H44" s="805">
        <f>C44*0.2068</f>
        <v>22816.244000000002</v>
      </c>
      <c r="I44" s="798">
        <f t="shared" si="5"/>
        <v>147667.63399999999</v>
      </c>
      <c r="J44" s="139">
        <f>W36</f>
        <v>1287</v>
      </c>
      <c r="K44" s="800">
        <f t="shared" si="6"/>
        <v>114.74</v>
      </c>
      <c r="L44" s="498">
        <v>0</v>
      </c>
      <c r="M44" s="748">
        <v>0</v>
      </c>
    </row>
    <row r="45" spans="1:24" x14ac:dyDescent="0.25">
      <c r="A45" s="509" t="s">
        <v>1137</v>
      </c>
      <c r="B45" s="162" t="s">
        <v>1172</v>
      </c>
      <c r="C45" s="496">
        <v>105504</v>
      </c>
      <c r="D45" s="496">
        <f t="shared" si="0"/>
        <v>0</v>
      </c>
      <c r="E45" s="496">
        <f t="shared" si="1"/>
        <v>105504</v>
      </c>
      <c r="F45" s="496">
        <f t="shared" si="2"/>
        <v>13303.752</v>
      </c>
      <c r="G45" s="500">
        <f t="shared" si="3"/>
        <v>527.52</v>
      </c>
      <c r="H45" s="496">
        <f t="shared" si="4"/>
        <v>25088.851200000001</v>
      </c>
      <c r="I45" s="798">
        <f t="shared" si="5"/>
        <v>144424.1232</v>
      </c>
      <c r="J45" s="139">
        <v>1376</v>
      </c>
      <c r="K45" s="800">
        <f t="shared" si="6"/>
        <v>104.96</v>
      </c>
      <c r="L45" s="498">
        <v>0</v>
      </c>
      <c r="M45" s="748">
        <v>0</v>
      </c>
    </row>
    <row r="46" spans="1:24" x14ac:dyDescent="0.25">
      <c r="A46" s="509" t="s">
        <v>1137</v>
      </c>
      <c r="B46" s="162" t="s">
        <v>783</v>
      </c>
      <c r="C46" s="496">
        <f>(4*114894+6*126018)/10</f>
        <v>121568.4</v>
      </c>
      <c r="D46" s="496">
        <f t="shared" si="0"/>
        <v>0</v>
      </c>
      <c r="E46" s="496">
        <f t="shared" si="1"/>
        <v>121568.4</v>
      </c>
      <c r="F46" s="496">
        <f t="shared" si="2"/>
        <v>15520.6392</v>
      </c>
      <c r="G46" s="500">
        <f t="shared" si="3"/>
        <v>607.84199999999998</v>
      </c>
      <c r="H46" s="496">
        <f t="shared" si="4"/>
        <v>28908.965520000002</v>
      </c>
      <c r="I46" s="798">
        <f t="shared" si="5"/>
        <v>166605.84672</v>
      </c>
      <c r="J46" s="139">
        <v>1376</v>
      </c>
      <c r="K46" s="800">
        <f t="shared" si="6"/>
        <v>121.08</v>
      </c>
      <c r="L46" s="498">
        <v>0</v>
      </c>
      <c r="M46" s="748">
        <v>0</v>
      </c>
    </row>
    <row r="47" spans="1:24" ht="15.75" thickBot="1" x14ac:dyDescent="0.3">
      <c r="A47" s="510" t="s">
        <v>1137</v>
      </c>
      <c r="B47" s="501" t="s">
        <v>1173</v>
      </c>
      <c r="C47" s="502">
        <v>139882</v>
      </c>
      <c r="D47" s="502">
        <f t="shared" si="0"/>
        <v>0</v>
      </c>
      <c r="E47" s="502">
        <f t="shared" si="1"/>
        <v>139882</v>
      </c>
      <c r="F47" s="502">
        <f t="shared" si="2"/>
        <v>18047.916000000001</v>
      </c>
      <c r="G47" s="806">
        <f t="shared" si="3"/>
        <v>699.41</v>
      </c>
      <c r="H47" s="502">
        <f t="shared" si="4"/>
        <v>33263.939600000005</v>
      </c>
      <c r="I47" s="503">
        <f t="shared" si="5"/>
        <v>191893.26560000001</v>
      </c>
      <c r="J47" s="807">
        <v>1376</v>
      </c>
      <c r="K47" s="749">
        <f t="shared" si="6"/>
        <v>139.46</v>
      </c>
      <c r="L47" s="750">
        <v>0</v>
      </c>
      <c r="M47" s="751">
        <v>0</v>
      </c>
    </row>
    <row r="96" ht="23.85" customHeight="1" x14ac:dyDescent="0.25"/>
    <row r="97" ht="55.5" customHeight="1" x14ac:dyDescent="0.25"/>
    <row r="98" ht="23.85" customHeight="1" x14ac:dyDescent="0.25"/>
    <row r="99" ht="23.85" customHeight="1" x14ac:dyDescent="0.25"/>
    <row r="100" ht="23.85" customHeight="1" x14ac:dyDescent="0.25"/>
    <row r="101" ht="23.85" customHeight="1" x14ac:dyDescent="0.25"/>
    <row r="102" ht="23.85" customHeight="1" x14ac:dyDescent="0.25"/>
  </sheetData>
  <sheetProtection algorithmName="SHA-512" hashValue="T5rNRbt+6t6By30L8iXBYY6TsUIYOscphU3VocHhH5PMAymol0iNkbxwc7EwOYcxI8NmYEtAyliTLHrNyWW9QQ==" saltValue="BNbnErC67zDs6IwJzA5JbQ==" spinCount="100000" sheet="1" objects="1" scenarios="1"/>
  <protectedRanges>
    <protectedRange sqref="C4:C9" name="Range1"/>
  </protectedRanges>
  <dataValidations count="1">
    <dataValidation type="list" allowBlank="1" showInputMessage="1" showErrorMessage="1" sqref="C4" xr:uid="{380815BC-3BA7-4466-953D-2101314471CF}">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C4" sqref="C4"/>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411" t="s">
        <v>21</v>
      </c>
      <c r="C2" s="409"/>
      <c r="D2" s="409"/>
      <c r="E2" s="409"/>
      <c r="F2" s="409"/>
      <c r="G2" s="409"/>
      <c r="H2" s="409"/>
      <c r="I2" s="409"/>
      <c r="J2" s="409"/>
      <c r="K2" s="409"/>
      <c r="L2" s="409"/>
      <c r="M2" s="409"/>
      <c r="N2" s="409"/>
      <c r="O2" s="409"/>
      <c r="P2" s="410"/>
    </row>
    <row r="5" spans="2:17" x14ac:dyDescent="0.25">
      <c r="B5" s="247" t="s">
        <v>22</v>
      </c>
      <c r="C5" s="428"/>
      <c r="D5" s="428"/>
      <c r="E5" s="428"/>
      <c r="F5" s="428"/>
      <c r="G5" s="428"/>
      <c r="H5" s="428"/>
      <c r="I5" s="428"/>
      <c r="J5" s="428"/>
      <c r="K5" s="428"/>
      <c r="L5" s="428"/>
      <c r="M5" s="428"/>
      <c r="N5" s="428"/>
      <c r="O5" s="428"/>
      <c r="P5" s="248"/>
    </row>
    <row r="6" spans="2:17" x14ac:dyDescent="0.25">
      <c r="B6" s="252" t="s">
        <v>23</v>
      </c>
      <c r="C6" s="245"/>
      <c r="D6" s="245"/>
      <c r="E6" s="245"/>
      <c r="F6" s="245"/>
      <c r="G6" s="245"/>
      <c r="H6" s="245"/>
      <c r="I6" s="245"/>
      <c r="J6" s="245"/>
      <c r="K6" s="245"/>
      <c r="L6" s="245"/>
      <c r="M6" s="245"/>
      <c r="N6" s="245"/>
      <c r="O6" s="245"/>
      <c r="P6" s="253"/>
    </row>
    <row r="7" spans="2:17" x14ac:dyDescent="0.25">
      <c r="B7" s="250" t="s">
        <v>24</v>
      </c>
      <c r="C7" s="249"/>
      <c r="D7" s="249"/>
      <c r="E7" s="249"/>
      <c r="F7" s="249"/>
      <c r="G7" s="249"/>
      <c r="H7" s="249"/>
      <c r="I7" s="249"/>
      <c r="J7" s="249"/>
      <c r="K7" s="249"/>
      <c r="L7" s="249"/>
      <c r="M7" s="249"/>
      <c r="N7" s="249"/>
      <c r="O7" s="249"/>
      <c r="P7" s="251"/>
    </row>
    <row r="9" spans="2:17" x14ac:dyDescent="0.25">
      <c r="N9" s="479"/>
      <c r="O9" s="479"/>
      <c r="P9" s="479"/>
    </row>
    <row r="10" spans="2:17" x14ac:dyDescent="0.25">
      <c r="B10" s="247"/>
      <c r="C10" s="428"/>
      <c r="D10" s="428"/>
      <c r="E10" s="428"/>
      <c r="F10" s="428"/>
      <c r="G10" s="428"/>
      <c r="H10" s="248"/>
      <c r="J10" s="247"/>
      <c r="K10" s="428"/>
      <c r="L10" s="428"/>
      <c r="M10" s="428"/>
      <c r="N10" s="245"/>
      <c r="O10" s="245"/>
      <c r="P10" s="245"/>
      <c r="Q10" s="176"/>
    </row>
    <row r="11" spans="2:17" ht="47.25" x14ac:dyDescent="0.25">
      <c r="B11" s="252"/>
      <c r="C11" s="395" t="s">
        <v>25</v>
      </c>
      <c r="D11" s="482"/>
      <c r="E11" s="395" t="s">
        <v>26</v>
      </c>
      <c r="F11" s="482"/>
      <c r="G11" s="478" t="s">
        <v>27</v>
      </c>
      <c r="H11" s="483"/>
      <c r="I11" s="396"/>
      <c r="J11" s="486"/>
      <c r="K11" s="397" t="s">
        <v>28</v>
      </c>
      <c r="L11" s="486"/>
      <c r="M11" s="397" t="s">
        <v>29</v>
      </c>
      <c r="N11" s="482"/>
      <c r="O11" s="397" t="s">
        <v>30</v>
      </c>
      <c r="P11" s="482"/>
      <c r="Q11" s="176"/>
    </row>
    <row r="12" spans="2:17" x14ac:dyDescent="0.25">
      <c r="B12" s="252"/>
      <c r="C12" s="245"/>
      <c r="D12" s="245"/>
      <c r="E12" s="245"/>
      <c r="F12" s="245"/>
      <c r="G12" s="245"/>
      <c r="H12" s="253"/>
      <c r="J12" s="252"/>
      <c r="K12" s="245"/>
      <c r="L12" s="245"/>
      <c r="M12" s="245"/>
      <c r="N12" s="245"/>
      <c r="O12" s="245"/>
      <c r="P12" s="245"/>
      <c r="Q12" s="176"/>
    </row>
    <row r="13" spans="2:17" ht="39.950000000000003" customHeight="1" x14ac:dyDescent="0.25">
      <c r="B13" s="252"/>
      <c r="C13" s="480"/>
      <c r="D13" s="216"/>
      <c r="E13" s="537" t="s">
        <v>31</v>
      </c>
      <c r="F13" s="216"/>
      <c r="G13" s="481"/>
      <c r="H13" s="253"/>
      <c r="J13" s="252"/>
      <c r="K13" s="480"/>
      <c r="L13" s="216"/>
      <c r="M13" s="539" t="s">
        <v>32</v>
      </c>
      <c r="N13" s="216"/>
      <c r="O13" s="481"/>
      <c r="P13" s="245"/>
      <c r="Q13" s="176"/>
    </row>
    <row r="14" spans="2:17" x14ac:dyDescent="0.25">
      <c r="B14" s="252"/>
      <c r="C14" s="245"/>
      <c r="D14" s="245"/>
      <c r="E14" s="245"/>
      <c r="F14" s="245"/>
      <c r="G14" s="245"/>
      <c r="H14" s="253"/>
      <c r="J14" s="252"/>
      <c r="K14" s="245"/>
      <c r="L14" s="245"/>
      <c r="M14" s="245"/>
      <c r="N14" s="245"/>
      <c r="O14" s="245"/>
      <c r="P14" s="245"/>
      <c r="Q14" s="176"/>
    </row>
    <row r="15" spans="2:17" ht="213.75" customHeight="1" x14ac:dyDescent="0.25">
      <c r="B15" s="252"/>
      <c r="C15" s="392" t="s">
        <v>33</v>
      </c>
      <c r="D15" s="484"/>
      <c r="E15" s="393" t="s">
        <v>34</v>
      </c>
      <c r="F15" s="484"/>
      <c r="G15" s="391" t="s">
        <v>35</v>
      </c>
      <c r="H15" s="485"/>
      <c r="I15" s="265"/>
      <c r="J15" s="487"/>
      <c r="K15" s="394" t="s">
        <v>36</v>
      </c>
      <c r="L15" s="487"/>
      <c r="M15" s="432" t="s">
        <v>37</v>
      </c>
      <c r="N15" s="484"/>
      <c r="O15" s="432" t="s">
        <v>38</v>
      </c>
      <c r="P15" s="484"/>
      <c r="Q15" s="176"/>
    </row>
    <row r="16" spans="2:17" x14ac:dyDescent="0.25">
      <c r="B16" s="250"/>
      <c r="C16" s="249"/>
      <c r="D16" s="249"/>
      <c r="E16" s="249"/>
      <c r="F16" s="249"/>
      <c r="G16" s="249"/>
      <c r="H16" s="251"/>
      <c r="J16" s="250"/>
      <c r="K16" s="249"/>
      <c r="L16" s="488"/>
      <c r="M16" s="488"/>
      <c r="N16" s="488"/>
      <c r="O16" s="488"/>
      <c r="P16" s="488"/>
      <c r="Q16" s="176"/>
    </row>
    <row r="19" spans="2:16" x14ac:dyDescent="0.25">
      <c r="B19" s="247"/>
      <c r="C19" s="428"/>
      <c r="D19" s="428"/>
      <c r="E19" s="428"/>
      <c r="F19" s="428"/>
      <c r="G19" s="428"/>
      <c r="H19" s="428"/>
      <c r="I19" s="428"/>
      <c r="J19" s="428"/>
      <c r="K19" s="428"/>
      <c r="L19" s="428"/>
      <c r="M19" s="428"/>
      <c r="N19" s="428"/>
      <c r="O19" s="428"/>
      <c r="P19" s="248"/>
    </row>
    <row r="20" spans="2:16" x14ac:dyDescent="0.25">
      <c r="B20" s="252" t="s">
        <v>39</v>
      </c>
      <c r="C20" s="245"/>
      <c r="D20" s="245"/>
      <c r="E20" s="245"/>
      <c r="F20" s="245"/>
      <c r="G20" s="245"/>
      <c r="H20" s="245"/>
      <c r="I20" s="245"/>
      <c r="J20" s="245"/>
      <c r="K20" s="245"/>
      <c r="L20" s="245"/>
      <c r="M20" s="245"/>
      <c r="N20" s="245"/>
      <c r="O20" s="245"/>
      <c r="P20" s="253"/>
    </row>
    <row r="21" spans="2:16" x14ac:dyDescent="0.25">
      <c r="B21" s="489" t="s">
        <v>40</v>
      </c>
      <c r="C21" s="245"/>
      <c r="D21" s="245"/>
      <c r="E21" s="245"/>
      <c r="F21" s="245"/>
      <c r="G21" s="245"/>
      <c r="H21" s="245"/>
      <c r="I21" s="245"/>
      <c r="J21" s="245"/>
      <c r="K21" s="245"/>
      <c r="L21" s="245"/>
      <c r="M21" s="245"/>
      <c r="N21" s="245"/>
      <c r="O21" s="245"/>
      <c r="P21" s="253"/>
    </row>
    <row r="22" spans="2:16" x14ac:dyDescent="0.25">
      <c r="B22" s="490" t="s">
        <v>41</v>
      </c>
      <c r="C22" s="245"/>
      <c r="D22" s="245"/>
      <c r="E22" s="245"/>
      <c r="F22" s="245"/>
      <c r="G22" s="245"/>
      <c r="H22" s="245"/>
      <c r="I22" s="245"/>
      <c r="J22" s="245"/>
      <c r="K22" s="245"/>
      <c r="L22" s="245"/>
      <c r="M22" s="245"/>
      <c r="N22" s="245"/>
      <c r="O22" s="245"/>
      <c r="P22" s="253"/>
    </row>
    <row r="23" spans="2:16" x14ac:dyDescent="0.25">
      <c r="B23" s="491" t="s">
        <v>42</v>
      </c>
      <c r="C23" s="245"/>
      <c r="D23" s="245"/>
      <c r="E23" s="245"/>
      <c r="F23" s="245"/>
      <c r="G23" s="245"/>
      <c r="H23" s="245"/>
      <c r="I23" s="245"/>
      <c r="J23" s="245"/>
      <c r="K23" s="245"/>
      <c r="L23" s="245"/>
      <c r="M23" s="245"/>
      <c r="N23" s="245"/>
      <c r="O23" s="245"/>
      <c r="P23" s="253"/>
    </row>
    <row r="24" spans="2:16" x14ac:dyDescent="0.25">
      <c r="B24" s="490" t="s">
        <v>43</v>
      </c>
      <c r="C24" s="245"/>
      <c r="D24" s="245"/>
      <c r="E24" s="245"/>
      <c r="F24" s="245"/>
      <c r="G24" s="245"/>
      <c r="H24" s="245"/>
      <c r="I24" s="245"/>
      <c r="J24" s="245"/>
      <c r="K24" s="245"/>
      <c r="L24" s="245"/>
      <c r="M24" s="245"/>
      <c r="N24" s="245"/>
      <c r="O24" s="245"/>
      <c r="P24" s="253"/>
    </row>
    <row r="25" spans="2:16" x14ac:dyDescent="0.25">
      <c r="B25" s="490" t="s">
        <v>44</v>
      </c>
      <c r="C25" s="245"/>
      <c r="D25" s="245"/>
      <c r="E25" s="245"/>
      <c r="F25" s="245"/>
      <c r="G25" s="245"/>
      <c r="H25" s="245"/>
      <c r="I25" s="245"/>
      <c r="J25" s="245"/>
      <c r="K25" s="245"/>
      <c r="L25" s="245"/>
      <c r="M25" s="245"/>
      <c r="N25" s="245"/>
      <c r="O25" s="245"/>
      <c r="P25" s="253"/>
    </row>
    <row r="26" spans="2:16" x14ac:dyDescent="0.25">
      <c r="B26" s="252"/>
      <c r="C26" s="245"/>
      <c r="D26" s="245"/>
      <c r="E26" s="245"/>
      <c r="F26" s="245"/>
      <c r="G26" s="245"/>
      <c r="H26" s="245"/>
      <c r="I26" s="245"/>
      <c r="J26" s="245"/>
      <c r="K26" s="245"/>
      <c r="L26" s="245"/>
      <c r="M26" s="245"/>
      <c r="N26" s="245"/>
      <c r="O26" s="245"/>
      <c r="P26" s="253"/>
    </row>
    <row r="27" spans="2:16" x14ac:dyDescent="0.25">
      <c r="B27" s="492" t="s">
        <v>45</v>
      </c>
      <c r="C27" s="245"/>
      <c r="D27" s="245"/>
      <c r="E27" s="245"/>
      <c r="F27" s="245"/>
      <c r="G27" s="245"/>
      <c r="H27" s="245"/>
      <c r="I27" s="245"/>
      <c r="J27" s="245"/>
      <c r="K27" s="245"/>
      <c r="L27" s="245"/>
      <c r="M27" s="245"/>
      <c r="N27" s="245"/>
      <c r="O27" s="245"/>
      <c r="P27" s="253"/>
    </row>
    <row r="28" spans="2:16" x14ac:dyDescent="0.25">
      <c r="B28" s="250"/>
      <c r="C28" s="249"/>
      <c r="D28" s="249"/>
      <c r="E28" s="249"/>
      <c r="F28" s="249"/>
      <c r="G28" s="249"/>
      <c r="H28" s="249"/>
      <c r="I28" s="249"/>
      <c r="J28" s="249"/>
      <c r="K28" s="249"/>
      <c r="L28" s="249"/>
      <c r="M28" s="249"/>
      <c r="N28" s="249"/>
      <c r="O28" s="249"/>
      <c r="P28" s="251"/>
    </row>
  </sheetData>
  <sheetProtection algorithmName="SHA-512" hashValue="FRX6S9wP/ow97nuP2rzB83D0TbBsrCMuaqB6QY/j8AGkOFW7s/TSBAMdg5VFiJ9lOpNyT4ucxjfNsiUAq/2cpQ==" saltValue="sT0WpUhLiCaObyE5tMpt5g=="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891"/>
  <sheetViews>
    <sheetView showGridLines="0" zoomScale="40" zoomScaleNormal="40" workbookViewId="0"/>
  </sheetViews>
  <sheetFormatPr defaultColWidth="9.1406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3" width="14.42578125" style="11" customWidth="1"/>
    <col min="14" max="14" width="10.42578125" style="11" customWidth="1"/>
    <col min="15" max="16" width="10.85546875" style="11" customWidth="1"/>
    <col min="17" max="17" width="10.85546875" style="12" customWidth="1"/>
    <col min="18" max="18" width="17.5703125" style="12" customWidth="1"/>
    <col min="19" max="42" width="10.85546875" style="12" customWidth="1"/>
    <col min="43" max="50" width="10.85546875" style="13" customWidth="1"/>
    <col min="51" max="106" width="10.85546875" style="1" customWidth="1"/>
    <col min="107" max="191" width="10.85546875" style="11" hidden="1" customWidth="1"/>
    <col min="192" max="193" width="10.85546875" style="11" customWidth="1"/>
    <col min="194" max="194" width="10.42578125" style="11" customWidth="1"/>
    <col min="195" max="16384" width="9.140625" style="11"/>
  </cols>
  <sheetData>
    <row r="1" spans="2:106" ht="15" x14ac:dyDescent="0.25">
      <c r="B1" s="9" t="s">
        <v>46</v>
      </c>
      <c r="C1" s="105"/>
      <c r="D1" s="22"/>
      <c r="E1" s="10" t="s">
        <v>47</v>
      </c>
      <c r="F1" s="7"/>
      <c r="G1" s="7"/>
    </row>
    <row r="3" spans="2:106" x14ac:dyDescent="0.2">
      <c r="B3" s="95" t="s">
        <v>48</v>
      </c>
      <c r="C3" s="545"/>
      <c r="D3" s="546"/>
      <c r="E3" s="546"/>
      <c r="F3" s="546"/>
      <c r="G3" s="96"/>
    </row>
    <row r="4" spans="2:106" ht="15" x14ac:dyDescent="0.25">
      <c r="B4" s="97"/>
      <c r="C4" s="98"/>
      <c r="D4" s="7"/>
      <c r="E4" s="7"/>
      <c r="F4" s="7"/>
      <c r="G4" s="99"/>
      <c r="L4" s="9" t="s">
        <v>49</v>
      </c>
      <c r="M4" s="9" t="s">
        <v>49</v>
      </c>
      <c r="N4" s="9" t="s">
        <v>50</v>
      </c>
      <c r="O4" s="9" t="s">
        <v>50</v>
      </c>
      <c r="P4" s="9" t="s">
        <v>51</v>
      </c>
      <c r="R4" s="184" t="s">
        <v>52</v>
      </c>
      <c r="S4" s="184" t="s">
        <v>53</v>
      </c>
      <c r="T4" s="184" t="s">
        <v>54</v>
      </c>
      <c r="V4" s="184" t="s">
        <v>55</v>
      </c>
    </row>
    <row r="5" spans="2:106" ht="28.5" x14ac:dyDescent="0.2">
      <c r="B5" s="100" t="s">
        <v>56</v>
      </c>
      <c r="C5" s="98"/>
      <c r="D5" s="7"/>
      <c r="E5" s="7"/>
      <c r="F5" s="7"/>
      <c r="G5" s="99"/>
      <c r="L5" s="16" t="s">
        <v>57</v>
      </c>
      <c r="M5" s="16" t="s">
        <v>58</v>
      </c>
      <c r="N5" s="16" t="s">
        <v>59</v>
      </c>
      <c r="O5" s="16" t="s">
        <v>60</v>
      </c>
      <c r="P5" s="19"/>
      <c r="Q5" s="17"/>
      <c r="R5" s="16" t="s">
        <v>60</v>
      </c>
      <c r="S5" s="151" t="s">
        <v>61</v>
      </c>
      <c r="V5" s="152">
        <v>4</v>
      </c>
    </row>
    <row r="6" spans="2:106" ht="15" x14ac:dyDescent="0.25">
      <c r="B6" s="100" t="s">
        <v>62</v>
      </c>
      <c r="C6" s="98"/>
      <c r="D6" s="7"/>
      <c r="E6" s="7"/>
      <c r="F6" s="7"/>
      <c r="G6" s="99"/>
      <c r="J6" s="145"/>
      <c r="L6" s="21" t="s">
        <v>63</v>
      </c>
      <c r="M6" s="21" t="s">
        <v>64</v>
      </c>
      <c r="N6" s="21" t="str">
        <f>'Inputs and eligible population'!$E$11</f>
        <v>National</v>
      </c>
      <c r="O6" s="21" t="str">
        <f>IFERROR(VLOOKUP('Inputs and eligible population'!$E$11, $L$5:$M$14, 2, FALSE), "-")</f>
        <v>NATIONAL</v>
      </c>
      <c r="P6" s="16" t="b">
        <f>ISTEXT('Inputs and eligible population'!$E$12)</f>
        <v>1</v>
      </c>
      <c r="R6" s="210" t="s">
        <v>65</v>
      </c>
      <c r="S6" s="151" t="s">
        <v>66</v>
      </c>
      <c r="V6" s="152">
        <v>5</v>
      </c>
    </row>
    <row r="7" spans="2:106" x14ac:dyDescent="0.2">
      <c r="B7" s="97"/>
      <c r="C7" s="98"/>
      <c r="D7" s="7"/>
      <c r="E7" s="7"/>
      <c r="F7" s="7"/>
      <c r="G7" s="99"/>
      <c r="L7" s="21" t="s">
        <v>67</v>
      </c>
      <c r="M7" s="21" t="s">
        <v>68</v>
      </c>
      <c r="N7" s="21" t="str">
        <f>'Inputs and eligible population'!$E$11</f>
        <v>National</v>
      </c>
      <c r="O7" s="21" t="str">
        <f>IFERROR(VLOOKUP('Inputs and eligible population'!$E$11, $L$5:$M$14, 2, FALSE), "-")</f>
        <v>NATIONAL</v>
      </c>
      <c r="P7" s="16" t="b">
        <f>ISTEXT('Inputs and eligible population'!$E$12)</f>
        <v>1</v>
      </c>
      <c r="R7" s="210" t="s">
        <v>69</v>
      </c>
      <c r="S7" s="427"/>
      <c r="V7" s="152">
        <v>6</v>
      </c>
    </row>
    <row r="8" spans="2:106" ht="19.5" customHeight="1" x14ac:dyDescent="0.2">
      <c r="B8" s="101" t="s">
        <v>70</v>
      </c>
      <c r="C8" s="102"/>
      <c r="D8" s="103"/>
      <c r="E8" s="103"/>
      <c r="F8" s="103"/>
      <c r="G8" s="104"/>
      <c r="L8" s="21" t="s">
        <v>71</v>
      </c>
      <c r="M8" s="21" t="s">
        <v>72</v>
      </c>
      <c r="N8" s="21" t="str">
        <f>'Inputs and eligible population'!$E$11</f>
        <v>National</v>
      </c>
      <c r="O8" s="21" t="str">
        <f>IFERROR(VLOOKUP('Inputs and eligible population'!$E$11, $L$5:$M$14, 2, FALSE), "-")</f>
        <v>NATIONAL</v>
      </c>
      <c r="P8" s="16" t="b">
        <f>ISTEXT('Inputs and eligible population'!$E$12)</f>
        <v>1</v>
      </c>
      <c r="V8" s="152">
        <v>7</v>
      </c>
    </row>
    <row r="9" spans="2:106" ht="19.5" customHeight="1" x14ac:dyDescent="0.2">
      <c r="B9" s="14"/>
      <c r="L9" s="21" t="s">
        <v>73</v>
      </c>
      <c r="M9" s="21" t="s">
        <v>74</v>
      </c>
      <c r="N9" s="21" t="str">
        <f>'Inputs and eligible population'!$E$11</f>
        <v>National</v>
      </c>
      <c r="O9" s="21" t="str">
        <f>IFERROR(VLOOKUP('Inputs and eligible population'!$E$11, $L$5:$M$14, 2, FALSE), "-")</f>
        <v>NATIONAL</v>
      </c>
      <c r="P9" s="16" t="b">
        <f>ISTEXT('Inputs and eligible population'!$E$12)</f>
        <v>1</v>
      </c>
      <c r="V9" s="152" t="s">
        <v>75</v>
      </c>
    </row>
    <row r="10" spans="2:106" x14ac:dyDescent="0.2">
      <c r="B10" s="14"/>
      <c r="K10" s="24"/>
      <c r="L10" s="21" t="s">
        <v>76</v>
      </c>
      <c r="M10" s="21" t="s">
        <v>77</v>
      </c>
      <c r="N10" s="21" t="str">
        <f>'Inputs and eligible population'!$E$11</f>
        <v>National</v>
      </c>
      <c r="O10" s="21" t="str">
        <f>IFERROR(VLOOKUP('Inputs and eligible population'!$E$11, $L$5:$M$14, 2, FALSE), "-")</f>
        <v>NATIONAL</v>
      </c>
      <c r="P10" s="16" t="b">
        <f>ISTEXT('Inputs and eligible population'!$E$12)</f>
        <v>1</v>
      </c>
      <c r="V10" s="152" t="s">
        <v>78</v>
      </c>
    </row>
    <row r="11" spans="2:106" ht="15" x14ac:dyDescent="0.25">
      <c r="B11" s="9" t="s">
        <v>79</v>
      </c>
      <c r="C11" s="24"/>
      <c r="D11" s="24"/>
      <c r="E11" s="24"/>
      <c r="K11" s="24"/>
      <c r="L11" s="119" t="s">
        <v>80</v>
      </c>
      <c r="M11" s="21" t="s">
        <v>81</v>
      </c>
      <c r="N11" s="21" t="str">
        <f>'Inputs and eligible population'!$E$11</f>
        <v>National</v>
      </c>
      <c r="O11" s="21" t="str">
        <f>IFERROR(VLOOKUP('Inputs and eligible population'!$E$11, $L$5:$M$14, 2, FALSE), "-")</f>
        <v>NATIONAL</v>
      </c>
      <c r="P11" s="16" t="b">
        <f>ISTEXT('Inputs and eligible population'!$E$12)</f>
        <v>1</v>
      </c>
      <c r="V11" s="152" t="s">
        <v>82</v>
      </c>
    </row>
    <row r="12" spans="2:106" ht="43.5" customHeight="1" x14ac:dyDescent="0.2">
      <c r="B12" s="15"/>
      <c r="D12" s="223" t="s">
        <v>83</v>
      </c>
      <c r="E12" s="223" t="s">
        <v>83</v>
      </c>
      <c r="L12" s="21" t="s">
        <v>84</v>
      </c>
      <c r="M12" s="21" t="s">
        <v>85</v>
      </c>
      <c r="N12" s="21" t="str">
        <f>'Inputs and eligible population'!$E$11</f>
        <v>National</v>
      </c>
      <c r="O12" s="21" t="str">
        <f>IFERROR(VLOOKUP('Inputs and eligible population'!$E$11, $L$5:$M$14, 2, FALSE), "-")</f>
        <v>NATIONAL</v>
      </c>
      <c r="P12" s="16" t="b">
        <f>ISTEXT('Inputs and eligible population'!$E$12)</f>
        <v>1</v>
      </c>
      <c r="V12" s="152" t="s">
        <v>86</v>
      </c>
    </row>
    <row r="13" spans="2:106" s="19" customFormat="1" ht="45.95" customHeight="1" x14ac:dyDescent="0.2">
      <c r="B13" s="224" t="s">
        <v>87</v>
      </c>
      <c r="C13" s="224" t="s">
        <v>88</v>
      </c>
      <c r="D13" s="26" t="s">
        <v>89</v>
      </c>
      <c r="E13" s="26" t="s">
        <v>90</v>
      </c>
      <c r="F13" s="224" t="s">
        <v>91</v>
      </c>
      <c r="G13" s="11"/>
      <c r="H13" s="11"/>
      <c r="I13" s="11"/>
      <c r="K13" s="11"/>
      <c r="L13" s="21" t="s">
        <v>92</v>
      </c>
      <c r="M13" s="21" t="s">
        <v>93</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440">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25" t="str">
        <f>IF((OR('Inputs and eligible population'!E11="&lt;select&gt;",'Inputs and eligible population'!E11="")), "-", 'Inputs and eligible population'!E12)</f>
        <v>England</v>
      </c>
      <c r="C14" s="20">
        <f>IF(OR(B14="", B14="-"), "",VLOOKUP((CONCATENATE($N7," - ",$B14)),$C$23:$GL$532,4,FALSE))</f>
        <v>57106398</v>
      </c>
      <c r="D14" s="94">
        <f>IF(OR(C14="", C14="-"), "",VLOOKUP((CONCATENATE($N7," - ",$B14)),$C$23:$GL$532,2,FALSE))</f>
        <v>23982304</v>
      </c>
      <c r="E14" s="94">
        <f>IF(OR(D14="", D14="-"), "",VLOOKUP((CONCATENATE($N7," - ",$B14)),$C$23:$GL$532,3,FALSE))</f>
        <v>25305672</v>
      </c>
      <c r="F14" s="20">
        <f>IFERROR(D14+E14, "")</f>
        <v>49287976</v>
      </c>
      <c r="L14" s="21" t="s">
        <v>94</v>
      </c>
      <c r="M14" s="21" t="s">
        <v>95</v>
      </c>
      <c r="N14" s="21" t="str">
        <f>'Inputs and eligible population'!$E$11</f>
        <v>National</v>
      </c>
      <c r="O14" s="21" t="str">
        <f>IFERROR(VLOOKUP('Inputs and eligible population'!$E$11, $L$5:$M$14, 2, FALSE), "-")</f>
        <v>NATIONAL</v>
      </c>
      <c r="P14" s="16" t="b">
        <f>ISTEXT('Inputs and eligible population'!$E$12)</f>
        <v>1</v>
      </c>
      <c r="V14" s="152" t="s">
        <v>96</v>
      </c>
    </row>
    <row r="15" spans="2:106" x14ac:dyDescent="0.2">
      <c r="B15" s="225" t="str">
        <f>'Inputs and eligible population'!C17</f>
        <v>Manually entered current locality population (n/a)</v>
      </c>
      <c r="C15" s="20" t="str">
        <f>IF(OR('Inputs and eligible population'!E17="",'Inputs and eligible population'!E17="-"),"",'Inputs and eligible population'!E17)</f>
        <v/>
      </c>
      <c r="D15" s="94" t="str">
        <f>IFERROR(C15*($D$23/100000), "")</f>
        <v/>
      </c>
      <c r="E15" s="94" t="str">
        <f>IFERROR(C15*($E$23/100000), "")</f>
        <v/>
      </c>
      <c r="F15" s="20">
        <f>IF('Inputs and eligible population'!E17=0,'Population selection'!F14,'Inputs and eligible population'!E17)</f>
        <v>49287976</v>
      </c>
      <c r="L15" s="21"/>
      <c r="M15" s="21"/>
      <c r="N15" s="21"/>
      <c r="O15" s="21"/>
      <c r="P15" s="21"/>
      <c r="V15" s="152" t="s">
        <v>97</v>
      </c>
    </row>
    <row r="16" spans="2:106" ht="15" x14ac:dyDescent="0.25">
      <c r="B16" s="226" t="s">
        <v>98</v>
      </c>
      <c r="C16" s="227">
        <f>IF(C15&gt;0,C14,C15)</f>
        <v>57106398</v>
      </c>
      <c r="D16" s="227">
        <f>IF(D15&gt;0,D14,D15)</f>
        <v>23982304</v>
      </c>
      <c r="E16" s="227">
        <f>IF(E15&gt;0,E14,E15)</f>
        <v>25305672</v>
      </c>
      <c r="F16" s="227">
        <f>SUM(F15)</f>
        <v>49287976</v>
      </c>
      <c r="L16" s="22"/>
      <c r="M16" s="22"/>
      <c r="P16" s="424">
        <f>COUNTIF(P6:P14, TRUE)</f>
        <v>9</v>
      </c>
    </row>
    <row r="17" spans="1:194" ht="15" x14ac:dyDescent="0.25">
      <c r="Q17" s="23"/>
      <c r="R17" s="23"/>
    </row>
    <row r="18" spans="1:194" ht="45.6" customHeight="1" x14ac:dyDescent="0.2">
      <c r="B18" s="93"/>
      <c r="C18" s="156"/>
      <c r="D18" s="26" t="s">
        <v>83</v>
      </c>
      <c r="E18" s="26" t="s">
        <v>83</v>
      </c>
      <c r="F18" s="93"/>
      <c r="I18" s="93"/>
      <c r="J18" s="93"/>
      <c r="K18" s="24"/>
      <c r="N18" s="24"/>
    </row>
    <row r="19" spans="1:194" ht="23.1" customHeight="1" x14ac:dyDescent="0.25">
      <c r="D19" s="228">
        <v>2</v>
      </c>
      <c r="E19" s="228">
        <v>3</v>
      </c>
      <c r="F19" s="228">
        <v>4</v>
      </c>
      <c r="G19" s="228">
        <v>5</v>
      </c>
      <c r="H19" s="228">
        <v>6</v>
      </c>
      <c r="K19" s="24"/>
    </row>
    <row r="20" spans="1:194" s="1" customFormat="1" ht="48" customHeight="1" x14ac:dyDescent="0.25">
      <c r="A20" s="135" t="s">
        <v>59</v>
      </c>
      <c r="B20" s="134" t="s">
        <v>99</v>
      </c>
      <c r="C20" s="134" t="s">
        <v>100</v>
      </c>
      <c r="D20" s="85" t="s">
        <v>101</v>
      </c>
      <c r="E20" s="85" t="s">
        <v>101</v>
      </c>
      <c r="F20" s="85" t="s">
        <v>102</v>
      </c>
      <c r="G20" s="85" t="s">
        <v>102</v>
      </c>
      <c r="H20" s="85" t="s">
        <v>102</v>
      </c>
      <c r="I20" s="134" t="s">
        <v>101</v>
      </c>
      <c r="J20" s="134" t="s">
        <v>101</v>
      </c>
      <c r="K20" s="134" t="s">
        <v>103</v>
      </c>
      <c r="L20" s="134" t="s">
        <v>103</v>
      </c>
      <c r="M20" s="136" t="s">
        <v>104</v>
      </c>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R20" s="547"/>
      <c r="AS20" s="547"/>
      <c r="AT20" s="547"/>
      <c r="AU20" s="547"/>
      <c r="AV20" s="547"/>
      <c r="AW20" s="547"/>
      <c r="AX20" s="547"/>
      <c r="AY20" s="547"/>
      <c r="AZ20" s="547"/>
      <c r="BA20" s="547"/>
      <c r="BB20" s="547"/>
      <c r="BC20" s="547"/>
      <c r="BD20" s="547"/>
      <c r="BE20" s="547"/>
      <c r="BF20" s="547"/>
      <c r="BG20" s="547"/>
      <c r="BH20" s="547"/>
      <c r="BI20" s="547"/>
      <c r="BJ20" s="547"/>
      <c r="BK20" s="547"/>
      <c r="BL20" s="547"/>
      <c r="BM20" s="547"/>
      <c r="BN20" s="547"/>
      <c r="BO20" s="547"/>
      <c r="BP20" s="547"/>
      <c r="BQ20" s="547"/>
      <c r="BR20" s="547"/>
      <c r="BS20" s="547"/>
      <c r="BT20" s="547"/>
      <c r="BU20" s="547"/>
      <c r="BV20" s="547"/>
      <c r="BW20" s="547"/>
      <c r="BX20" s="547"/>
      <c r="BY20" s="547"/>
      <c r="BZ20" s="547"/>
      <c r="CA20" s="547"/>
      <c r="CB20" s="547"/>
      <c r="CC20" s="547"/>
      <c r="CD20" s="547"/>
      <c r="CE20" s="547"/>
      <c r="CF20" s="547"/>
      <c r="CG20" s="547"/>
      <c r="CH20" s="547"/>
      <c r="CI20" s="547"/>
      <c r="CJ20" s="547"/>
      <c r="CK20" s="547"/>
      <c r="CL20" s="547"/>
      <c r="CM20" s="547"/>
      <c r="CN20" s="547"/>
      <c r="CO20" s="547"/>
      <c r="CP20" s="547"/>
      <c r="CQ20" s="547"/>
      <c r="CR20" s="547"/>
      <c r="CS20" s="547"/>
      <c r="CT20" s="547"/>
      <c r="CU20" s="547"/>
      <c r="CV20" s="547"/>
      <c r="CW20" s="547"/>
      <c r="CX20" s="547"/>
      <c r="CY20" s="137"/>
      <c r="CZ20" s="548" t="s">
        <v>105</v>
      </c>
      <c r="DA20" s="548"/>
      <c r="DB20" s="548"/>
      <c r="DC20" s="548"/>
      <c r="DD20" s="548"/>
      <c r="DE20" s="548"/>
      <c r="DF20" s="548"/>
      <c r="DG20" s="548"/>
      <c r="DH20" s="548"/>
      <c r="DI20" s="548"/>
      <c r="DJ20" s="548"/>
      <c r="DK20" s="548"/>
      <c r="DL20" s="548"/>
      <c r="DM20" s="548"/>
      <c r="DN20" s="548"/>
      <c r="DO20" s="548"/>
      <c r="DP20" s="548"/>
      <c r="DQ20" s="548"/>
      <c r="DR20" s="548"/>
      <c r="DS20" s="548"/>
      <c r="DT20" s="548"/>
      <c r="DU20" s="548"/>
      <c r="DV20" s="548"/>
      <c r="DW20" s="548"/>
      <c r="DX20" s="548"/>
      <c r="DY20" s="548"/>
      <c r="DZ20" s="548"/>
      <c r="EA20" s="548"/>
      <c r="EB20" s="548"/>
      <c r="EC20" s="548"/>
      <c r="ED20" s="548"/>
      <c r="EE20" s="548"/>
      <c r="EF20" s="548"/>
      <c r="EG20" s="548"/>
      <c r="EH20" s="548"/>
      <c r="EI20" s="548"/>
      <c r="EJ20" s="548"/>
      <c r="EK20" s="548"/>
      <c r="EL20" s="548"/>
      <c r="EM20" s="548"/>
      <c r="EN20" s="548"/>
      <c r="EO20" s="548"/>
      <c r="EP20" s="548"/>
      <c r="EQ20" s="548"/>
      <c r="ER20" s="548"/>
      <c r="ES20" s="548"/>
      <c r="ET20" s="548"/>
      <c r="EU20" s="548"/>
      <c r="EV20" s="548"/>
      <c r="EW20" s="548"/>
      <c r="EX20" s="548"/>
      <c r="EY20" s="548"/>
      <c r="EZ20" s="548"/>
      <c r="FA20" s="548"/>
      <c r="FB20" s="548"/>
      <c r="FC20" s="548"/>
      <c r="FD20" s="548"/>
      <c r="FE20" s="548"/>
      <c r="FF20" s="548"/>
      <c r="FG20" s="548"/>
      <c r="FH20" s="548"/>
      <c r="FI20" s="548"/>
      <c r="FJ20" s="548"/>
      <c r="FK20" s="548"/>
      <c r="FL20" s="548"/>
      <c r="FM20" s="548"/>
      <c r="FN20" s="548"/>
      <c r="FO20" s="548"/>
      <c r="FP20" s="548"/>
      <c r="FQ20" s="548"/>
      <c r="FR20" s="548"/>
      <c r="FS20" s="548"/>
      <c r="FT20" s="548"/>
      <c r="FU20" s="548"/>
      <c r="FV20" s="548"/>
      <c r="FW20" s="548"/>
      <c r="FX20" s="548"/>
      <c r="FY20" s="548"/>
      <c r="FZ20" s="548"/>
      <c r="GA20" s="548"/>
      <c r="GB20" s="548"/>
      <c r="GC20" s="548"/>
      <c r="GD20" s="548"/>
      <c r="GE20" s="548"/>
      <c r="GF20" s="548"/>
      <c r="GG20" s="548"/>
      <c r="GH20" s="548"/>
      <c r="GI20" s="548"/>
      <c r="GJ20" s="548"/>
      <c r="GK20" s="548"/>
      <c r="GL20" s="133"/>
    </row>
    <row r="21" spans="1:194" s="8" customFormat="1" ht="30" x14ac:dyDescent="0.25">
      <c r="A21" s="135"/>
      <c r="B21" s="134"/>
      <c r="C21" s="134"/>
      <c r="D21" s="25" t="s">
        <v>89</v>
      </c>
      <c r="E21" s="26" t="s">
        <v>90</v>
      </c>
      <c r="F21" s="85" t="s">
        <v>106</v>
      </c>
      <c r="G21" s="84" t="s">
        <v>104</v>
      </c>
      <c r="H21" s="84" t="s">
        <v>105</v>
      </c>
      <c r="I21" s="85" t="s">
        <v>104</v>
      </c>
      <c r="J21" s="84" t="s">
        <v>105</v>
      </c>
      <c r="K21" s="85" t="s">
        <v>104</v>
      </c>
      <c r="L21" s="27" t="s">
        <v>105</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107</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107</v>
      </c>
    </row>
    <row r="22" spans="1:194" s="1" customFormat="1" x14ac:dyDescent="0.2">
      <c r="A22" s="30"/>
      <c r="B22" s="72"/>
      <c r="C22" s="60"/>
      <c r="D22" s="81"/>
      <c r="E22" s="81"/>
      <c r="F22" s="549"/>
      <c r="G22" s="549"/>
      <c r="H22" s="81"/>
      <c r="I22" s="81"/>
      <c r="J22" s="81"/>
      <c r="K22" s="549"/>
      <c r="L22" s="81"/>
      <c r="M22" s="549"/>
      <c r="N22" s="549"/>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c r="AL22" s="549"/>
      <c r="AM22" s="549"/>
      <c r="AN22" s="549"/>
      <c r="AO22" s="549"/>
      <c r="AP22" s="549"/>
      <c r="AQ22" s="549"/>
      <c r="AR22" s="549"/>
      <c r="AS22" s="549"/>
      <c r="AT22" s="549"/>
      <c r="AU22" s="549"/>
      <c r="AV22" s="549"/>
      <c r="AW22" s="549"/>
      <c r="AX22" s="549"/>
      <c r="AY22" s="549"/>
      <c r="AZ22" s="549"/>
      <c r="BA22" s="549"/>
      <c r="BB22" s="549"/>
      <c r="BC22" s="549"/>
      <c r="BD22" s="549"/>
      <c r="BE22" s="549"/>
      <c r="BF22" s="549"/>
      <c r="BG22" s="549"/>
      <c r="BH22" s="549"/>
      <c r="BI22" s="549"/>
      <c r="BJ22" s="549"/>
      <c r="BK22" s="549"/>
      <c r="BL22" s="549"/>
      <c r="BM22" s="549"/>
      <c r="BN22" s="549"/>
      <c r="BO22" s="549"/>
      <c r="BP22" s="549"/>
      <c r="BQ22" s="549"/>
      <c r="BR22" s="549"/>
      <c r="BS22" s="549"/>
      <c r="BT22" s="549"/>
      <c r="BU22" s="549"/>
      <c r="BV22" s="549"/>
      <c r="BW22" s="549"/>
      <c r="BX22" s="549"/>
      <c r="BY22" s="549"/>
      <c r="BZ22" s="549"/>
      <c r="CA22" s="549"/>
      <c r="CB22" s="549"/>
      <c r="CC22" s="549"/>
      <c r="CD22" s="549"/>
      <c r="CE22" s="549"/>
      <c r="CF22" s="549"/>
      <c r="CG22" s="549"/>
      <c r="CH22" s="549"/>
      <c r="CI22" s="549"/>
      <c r="CJ22" s="549"/>
      <c r="CK22" s="549"/>
      <c r="CL22" s="549"/>
      <c r="CM22" s="549"/>
      <c r="CN22" s="549"/>
      <c r="CO22" s="549"/>
      <c r="CP22" s="549"/>
      <c r="CQ22" s="549"/>
      <c r="CR22" s="549"/>
      <c r="CS22" s="549"/>
      <c r="CT22" s="549"/>
      <c r="CU22" s="549"/>
      <c r="CV22" s="549"/>
      <c r="CW22" s="549"/>
      <c r="CX22" s="549"/>
      <c r="CY22" s="81"/>
      <c r="CZ22" s="549"/>
      <c r="DA22" s="549"/>
      <c r="DB22" s="549"/>
      <c r="DC22" s="549"/>
      <c r="DD22" s="549"/>
      <c r="DE22" s="549"/>
      <c r="DF22" s="549"/>
      <c r="DG22" s="549"/>
      <c r="DH22" s="549"/>
      <c r="DI22" s="549"/>
      <c r="DJ22" s="549"/>
      <c r="DK22" s="549"/>
      <c r="DL22" s="549"/>
      <c r="DM22" s="549"/>
      <c r="DN22" s="549"/>
      <c r="DO22" s="549"/>
      <c r="DP22" s="549"/>
      <c r="DQ22" s="549"/>
      <c r="DR22" s="549"/>
      <c r="DS22" s="549"/>
      <c r="DT22" s="549"/>
      <c r="DU22" s="549"/>
      <c r="DV22" s="549"/>
      <c r="DW22" s="549"/>
      <c r="DX22" s="549"/>
      <c r="DY22" s="549"/>
      <c r="DZ22" s="549"/>
      <c r="EA22" s="549"/>
      <c r="EB22" s="549"/>
      <c r="EC22" s="549"/>
      <c r="ED22" s="549"/>
      <c r="EE22" s="549"/>
      <c r="EF22" s="549"/>
      <c r="EG22" s="549"/>
      <c r="EH22" s="549"/>
      <c r="EI22" s="549"/>
      <c r="EJ22" s="549"/>
      <c r="EK22" s="549"/>
      <c r="EL22" s="549"/>
      <c r="EM22" s="549"/>
      <c r="EN22" s="549"/>
      <c r="EO22" s="549"/>
      <c r="EP22" s="549"/>
      <c r="EQ22" s="549"/>
      <c r="ER22" s="549"/>
      <c r="ES22" s="549"/>
      <c r="ET22" s="549"/>
      <c r="EU22" s="549"/>
      <c r="EV22" s="549"/>
      <c r="EW22" s="549"/>
      <c r="EX22" s="549"/>
      <c r="EY22" s="549"/>
      <c r="EZ22" s="549"/>
      <c r="FA22" s="549"/>
      <c r="FB22" s="549"/>
      <c r="FC22" s="549"/>
      <c r="FD22" s="549"/>
      <c r="FE22" s="549"/>
      <c r="FF22" s="549"/>
      <c r="FG22" s="549"/>
      <c r="FH22" s="549"/>
      <c r="FI22" s="549"/>
      <c r="FJ22" s="549"/>
      <c r="FK22" s="549"/>
      <c r="FL22" s="549"/>
      <c r="FM22" s="549"/>
      <c r="FN22" s="549"/>
      <c r="FO22" s="549"/>
      <c r="FP22" s="549"/>
      <c r="FQ22" s="549"/>
      <c r="FR22" s="549"/>
      <c r="FS22" s="549"/>
      <c r="FT22" s="549"/>
      <c r="FU22" s="549"/>
      <c r="FV22" s="549"/>
      <c r="FW22" s="549"/>
      <c r="FX22" s="549"/>
      <c r="FY22" s="549"/>
      <c r="FZ22" s="549"/>
      <c r="GA22" s="549"/>
      <c r="GB22" s="549"/>
      <c r="GC22" s="549"/>
      <c r="GD22" s="549"/>
      <c r="GE22" s="549"/>
      <c r="GF22" s="549"/>
      <c r="GG22" s="549"/>
      <c r="GH22" s="549"/>
      <c r="GI22" s="549"/>
      <c r="GJ22" s="549"/>
      <c r="GK22" s="549"/>
      <c r="GL22" s="81"/>
    </row>
    <row r="23" spans="1:194" s="70" customFormat="1" ht="21.75" customHeight="1" x14ac:dyDescent="0.25">
      <c r="A23" s="65" t="s">
        <v>57</v>
      </c>
      <c r="B23" s="66" t="s">
        <v>57</v>
      </c>
      <c r="C23" s="67" t="str">
        <f>CONCATENATE(A23, " - ", B23)</f>
        <v>Per 100,000 population - Per 100,000 population</v>
      </c>
      <c r="D23" s="69">
        <f>ROUND((SUM(D25:D27)/SUM($F$25:$F$27))*100000,0)</f>
        <v>42003</v>
      </c>
      <c r="E23" s="69">
        <f>(SUM(E25:E27)/SUM($F$25:$F$27))*100000</f>
        <v>44307.848315957526</v>
      </c>
      <c r="F23" s="68">
        <f>SUM(G23:H23)</f>
        <v>100000</v>
      </c>
      <c r="G23" s="68">
        <f>ROUND((SUM(G25:G27)/SUM($F$25:$F$27))*100000,0)</f>
        <v>49009</v>
      </c>
      <c r="H23" s="69">
        <f>ROUND((SUM(H25:H27)/SUM($F$25:$F$27))*100000,0)</f>
        <v>50991</v>
      </c>
      <c r="I23" s="69">
        <f>ROUND((SUM(I25:I27)/SUM($F$25:$F$27))*100000,0)</f>
        <v>42003</v>
      </c>
      <c r="J23" s="69">
        <f t="shared" ref="J23:BU23" si="0">(SUM(J25:J27)/SUM($F$25:$F$27))*100000</f>
        <v>44307.848315957526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4" t="s">
        <v>67</v>
      </c>
      <c r="B25" s="80" t="s">
        <v>108</v>
      </c>
      <c r="C25" s="75" t="s">
        <v>109</v>
      </c>
      <c r="D25" s="77">
        <f t="shared" ref="D25:E27" si="3">I25</f>
        <v>23982304</v>
      </c>
      <c r="E25" s="77">
        <f t="shared" si="3"/>
        <v>25305672</v>
      </c>
      <c r="F25" s="550">
        <f>G25+H25</f>
        <v>57106398</v>
      </c>
      <c r="G25" s="550">
        <f>SUM(M25:CY25)</f>
        <v>27983290</v>
      </c>
      <c r="H25" s="76">
        <f>SUM(CZ25:GL25)</f>
        <v>29123108</v>
      </c>
      <c r="I25" s="76">
        <f>SUM(Y25:CY25)</f>
        <v>23982304</v>
      </c>
      <c r="J25" s="76">
        <f>SUM(DL25:GL25)</f>
        <v>25305672</v>
      </c>
      <c r="K25" s="551">
        <f>SUM(M25:AD25)</f>
        <v>6087888</v>
      </c>
      <c r="L25" s="77">
        <f>SUM(CZ25:DQ25)</f>
        <v>5799018</v>
      </c>
      <c r="M25" s="550">
        <v>305120</v>
      </c>
      <c r="N25" s="550">
        <v>303019</v>
      </c>
      <c r="O25" s="550">
        <v>314737</v>
      </c>
      <c r="P25" s="550">
        <v>321299</v>
      </c>
      <c r="Q25" s="550">
        <v>325230</v>
      </c>
      <c r="R25" s="550">
        <v>333023</v>
      </c>
      <c r="S25" s="550">
        <v>343154</v>
      </c>
      <c r="T25" s="550">
        <v>339729</v>
      </c>
      <c r="U25" s="550">
        <v>341966</v>
      </c>
      <c r="V25" s="550">
        <v>351482</v>
      </c>
      <c r="W25" s="550">
        <v>360539</v>
      </c>
      <c r="X25" s="550">
        <v>361688</v>
      </c>
      <c r="Y25" s="550">
        <v>356777</v>
      </c>
      <c r="Z25" s="550">
        <v>354079</v>
      </c>
      <c r="AA25" s="550">
        <v>357199</v>
      </c>
      <c r="AB25" s="550">
        <v>344190</v>
      </c>
      <c r="AC25" s="550">
        <v>336612</v>
      </c>
      <c r="AD25" s="550">
        <v>338045</v>
      </c>
      <c r="AE25" s="550">
        <v>339142</v>
      </c>
      <c r="AF25" s="550">
        <v>339234</v>
      </c>
      <c r="AG25" s="550">
        <v>338398</v>
      </c>
      <c r="AH25" s="550">
        <v>338465</v>
      </c>
      <c r="AI25" s="550">
        <v>345338</v>
      </c>
      <c r="AJ25" s="550">
        <v>358287</v>
      </c>
      <c r="AK25" s="550">
        <v>360304</v>
      </c>
      <c r="AL25" s="550">
        <v>365799</v>
      </c>
      <c r="AM25" s="550">
        <v>360324</v>
      </c>
      <c r="AN25" s="550">
        <v>364086</v>
      </c>
      <c r="AO25" s="550">
        <v>372653</v>
      </c>
      <c r="AP25" s="550">
        <v>372807</v>
      </c>
      <c r="AQ25" s="550">
        <v>383710</v>
      </c>
      <c r="AR25" s="550">
        <v>389563</v>
      </c>
      <c r="AS25" s="550">
        <v>387640</v>
      </c>
      <c r="AT25" s="550">
        <v>384620</v>
      </c>
      <c r="AU25" s="550">
        <v>387905</v>
      </c>
      <c r="AV25" s="550">
        <v>378829</v>
      </c>
      <c r="AW25" s="550">
        <v>378199</v>
      </c>
      <c r="AX25" s="550">
        <v>377186</v>
      </c>
      <c r="AY25" s="550">
        <v>365502</v>
      </c>
      <c r="AZ25" s="550">
        <v>366111</v>
      </c>
      <c r="BA25" s="550">
        <v>365728</v>
      </c>
      <c r="BB25" s="550">
        <v>369097</v>
      </c>
      <c r="BC25" s="550">
        <v>371802</v>
      </c>
      <c r="BD25" s="550">
        <v>357560</v>
      </c>
      <c r="BE25" s="550">
        <v>334069</v>
      </c>
      <c r="BF25" s="550">
        <v>328458</v>
      </c>
      <c r="BG25" s="550">
        <v>335746</v>
      </c>
      <c r="BH25" s="550">
        <v>342585</v>
      </c>
      <c r="BI25" s="550">
        <v>346685</v>
      </c>
      <c r="BJ25" s="550">
        <v>360442</v>
      </c>
      <c r="BK25" s="550">
        <v>373390</v>
      </c>
      <c r="BL25" s="550">
        <v>385375</v>
      </c>
      <c r="BM25" s="550">
        <v>375807</v>
      </c>
      <c r="BN25" s="550">
        <v>383988</v>
      </c>
      <c r="BO25" s="550">
        <v>382566</v>
      </c>
      <c r="BP25" s="550">
        <v>385629</v>
      </c>
      <c r="BQ25" s="550">
        <v>381742</v>
      </c>
      <c r="BR25" s="550">
        <v>381998</v>
      </c>
      <c r="BS25" s="550">
        <v>376164</v>
      </c>
      <c r="BT25" s="550">
        <v>367036</v>
      </c>
      <c r="BU25" s="550">
        <v>357672</v>
      </c>
      <c r="BV25" s="550">
        <v>344928</v>
      </c>
      <c r="BW25" s="550">
        <v>329857</v>
      </c>
      <c r="BX25" s="550">
        <v>319451</v>
      </c>
      <c r="BY25" s="550">
        <v>309724</v>
      </c>
      <c r="BZ25" s="550">
        <v>294558</v>
      </c>
      <c r="CA25" s="550">
        <v>282293</v>
      </c>
      <c r="CB25" s="550">
        <v>268536</v>
      </c>
      <c r="CC25" s="550">
        <v>266443</v>
      </c>
      <c r="CD25" s="550">
        <v>260410</v>
      </c>
      <c r="CE25" s="550">
        <v>249450</v>
      </c>
      <c r="CF25" s="550">
        <v>249080</v>
      </c>
      <c r="CG25" s="550">
        <v>249070</v>
      </c>
      <c r="CH25" s="550">
        <v>252982</v>
      </c>
      <c r="CI25" s="550">
        <v>263625</v>
      </c>
      <c r="CJ25" s="550">
        <v>283090</v>
      </c>
      <c r="CK25" s="550">
        <v>211587</v>
      </c>
      <c r="CL25" s="550">
        <v>200401</v>
      </c>
      <c r="CM25" s="550">
        <v>195036</v>
      </c>
      <c r="CN25" s="550">
        <v>174093</v>
      </c>
      <c r="CO25" s="550">
        <v>149572</v>
      </c>
      <c r="CP25" s="550">
        <v>127665</v>
      </c>
      <c r="CQ25" s="550">
        <v>127183</v>
      </c>
      <c r="CR25" s="550">
        <v>120061</v>
      </c>
      <c r="CS25" s="550">
        <v>109873</v>
      </c>
      <c r="CT25" s="550">
        <v>97456</v>
      </c>
      <c r="CU25" s="550">
        <v>84705</v>
      </c>
      <c r="CV25" s="550">
        <v>73428</v>
      </c>
      <c r="CW25" s="550">
        <v>60864</v>
      </c>
      <c r="CX25" s="550">
        <v>51376</v>
      </c>
      <c r="CY25" s="550">
        <v>170964</v>
      </c>
      <c r="CZ25" s="550">
        <v>291186</v>
      </c>
      <c r="DA25" s="550">
        <v>289546</v>
      </c>
      <c r="DB25" s="550">
        <v>300800</v>
      </c>
      <c r="DC25" s="550">
        <v>305906</v>
      </c>
      <c r="DD25" s="550">
        <v>310539</v>
      </c>
      <c r="DE25" s="550">
        <v>318263</v>
      </c>
      <c r="DF25" s="550">
        <v>326932</v>
      </c>
      <c r="DG25" s="550">
        <v>324633</v>
      </c>
      <c r="DH25" s="550">
        <v>326780</v>
      </c>
      <c r="DI25" s="550">
        <v>334543</v>
      </c>
      <c r="DJ25" s="550">
        <v>344341</v>
      </c>
      <c r="DK25" s="550">
        <v>343967</v>
      </c>
      <c r="DL25" s="550">
        <v>339949</v>
      </c>
      <c r="DM25" s="550">
        <v>337345</v>
      </c>
      <c r="DN25" s="550">
        <v>340474</v>
      </c>
      <c r="DO25" s="550">
        <v>326885</v>
      </c>
      <c r="DP25" s="550">
        <v>319023</v>
      </c>
      <c r="DQ25" s="550">
        <v>317906</v>
      </c>
      <c r="DR25" s="550">
        <v>318297</v>
      </c>
      <c r="DS25" s="550">
        <v>319325</v>
      </c>
      <c r="DT25" s="550">
        <v>325075</v>
      </c>
      <c r="DU25" s="550">
        <v>327194</v>
      </c>
      <c r="DV25" s="550">
        <v>333614</v>
      </c>
      <c r="DW25" s="550">
        <v>350669</v>
      </c>
      <c r="DX25" s="550">
        <v>358581</v>
      </c>
      <c r="DY25" s="550">
        <v>367839</v>
      </c>
      <c r="DZ25" s="550">
        <v>363988</v>
      </c>
      <c r="EA25" s="550">
        <v>374022</v>
      </c>
      <c r="EB25" s="550">
        <v>387522</v>
      </c>
      <c r="EC25" s="550">
        <v>390671</v>
      </c>
      <c r="ED25" s="550">
        <v>404331</v>
      </c>
      <c r="EE25" s="550">
        <v>410921</v>
      </c>
      <c r="EF25" s="550">
        <v>413176</v>
      </c>
      <c r="EG25" s="550">
        <v>411450</v>
      </c>
      <c r="EH25" s="550">
        <v>417983</v>
      </c>
      <c r="EI25" s="550">
        <v>409203</v>
      </c>
      <c r="EJ25" s="550">
        <v>404000</v>
      </c>
      <c r="EK25" s="550">
        <v>401928</v>
      </c>
      <c r="EL25" s="550">
        <v>389436</v>
      </c>
      <c r="EM25" s="550">
        <v>389518</v>
      </c>
      <c r="EN25" s="550">
        <v>386124</v>
      </c>
      <c r="EO25" s="550">
        <v>390735</v>
      </c>
      <c r="EP25" s="550">
        <v>390956</v>
      </c>
      <c r="EQ25" s="550">
        <v>373536</v>
      </c>
      <c r="ER25" s="550">
        <v>346385</v>
      </c>
      <c r="ES25" s="550">
        <v>339293</v>
      </c>
      <c r="ET25" s="550">
        <v>345871</v>
      </c>
      <c r="EU25" s="550">
        <v>353016</v>
      </c>
      <c r="EV25" s="550">
        <v>356906</v>
      </c>
      <c r="EW25" s="550">
        <v>370244</v>
      </c>
      <c r="EX25" s="550">
        <v>384214</v>
      </c>
      <c r="EY25" s="550">
        <v>399644</v>
      </c>
      <c r="EZ25" s="550">
        <v>389031</v>
      </c>
      <c r="FA25" s="550">
        <v>397139</v>
      </c>
      <c r="FB25" s="550">
        <v>395547</v>
      </c>
      <c r="FC25" s="550">
        <v>396676</v>
      </c>
      <c r="FD25" s="550">
        <v>396578</v>
      </c>
      <c r="FE25" s="550">
        <v>396708</v>
      </c>
      <c r="FF25" s="550">
        <v>390539</v>
      </c>
      <c r="FG25" s="550">
        <v>380695</v>
      </c>
      <c r="FH25" s="550">
        <v>371143</v>
      </c>
      <c r="FI25" s="550">
        <v>355407</v>
      </c>
      <c r="FJ25" s="550">
        <v>340408</v>
      </c>
      <c r="FK25" s="550">
        <v>331322</v>
      </c>
      <c r="FL25" s="550">
        <v>321164</v>
      </c>
      <c r="FM25" s="550">
        <v>308551</v>
      </c>
      <c r="FN25" s="550">
        <v>295719</v>
      </c>
      <c r="FO25" s="550">
        <v>284931</v>
      </c>
      <c r="FP25" s="550">
        <v>285437</v>
      </c>
      <c r="FQ25" s="550">
        <v>278929</v>
      </c>
      <c r="FR25" s="550">
        <v>271460</v>
      </c>
      <c r="FS25" s="550">
        <v>271487</v>
      </c>
      <c r="FT25" s="550">
        <v>275610</v>
      </c>
      <c r="FU25" s="550">
        <v>280129</v>
      </c>
      <c r="FV25" s="550">
        <v>294843</v>
      </c>
      <c r="FW25" s="550">
        <v>316380</v>
      </c>
      <c r="FX25" s="550">
        <v>240292</v>
      </c>
      <c r="FY25" s="550">
        <v>230370</v>
      </c>
      <c r="FZ25" s="550">
        <v>225985</v>
      </c>
      <c r="GA25" s="550">
        <v>206546</v>
      </c>
      <c r="GB25" s="550">
        <v>181398</v>
      </c>
      <c r="GC25" s="550">
        <v>159103</v>
      </c>
      <c r="GD25" s="550">
        <v>161482</v>
      </c>
      <c r="GE25" s="550">
        <v>155577</v>
      </c>
      <c r="GF25" s="550">
        <v>145759</v>
      </c>
      <c r="GG25" s="550">
        <v>132931</v>
      </c>
      <c r="GH25" s="550">
        <v>120255</v>
      </c>
      <c r="GI25" s="550">
        <v>107758</v>
      </c>
      <c r="GJ25" s="550">
        <v>93505</v>
      </c>
      <c r="GK25" s="550">
        <v>82264</v>
      </c>
      <c r="GL25" s="550">
        <v>349365</v>
      </c>
    </row>
    <row r="26" spans="1:194" s="8" customFormat="1" ht="15" x14ac:dyDescent="0.25">
      <c r="A26" s="32" t="s">
        <v>67</v>
      </c>
      <c r="B26" s="78" t="s">
        <v>110</v>
      </c>
      <c r="C26" s="33" t="s">
        <v>111</v>
      </c>
      <c r="D26" s="35">
        <f t="shared" si="3"/>
        <v>1329100</v>
      </c>
      <c r="E26" s="35">
        <f t="shared" si="3"/>
        <v>1400785</v>
      </c>
      <c r="F26" s="36">
        <f>G26+H26</f>
        <v>3131640</v>
      </c>
      <c r="G26" s="36">
        <f>SUM(M26:CY26)</f>
        <v>1534884</v>
      </c>
      <c r="H26" s="37">
        <f>SUM(CZ26:GL26)</f>
        <v>1596756</v>
      </c>
      <c r="I26" s="37">
        <f>SUM(Y26:CY26)</f>
        <v>1329100</v>
      </c>
      <c r="J26" s="37">
        <f>SUM(DL26:GL26)</f>
        <v>1400785</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ht="15" x14ac:dyDescent="0.25">
      <c r="A27" s="38" t="s">
        <v>67</v>
      </c>
      <c r="B27" s="79" t="s">
        <v>112</v>
      </c>
      <c r="C27" s="39" t="s">
        <v>113</v>
      </c>
      <c r="D27" s="41">
        <f t="shared" si="3"/>
        <v>792699</v>
      </c>
      <c r="E27" s="41">
        <f t="shared" si="3"/>
        <v>830242</v>
      </c>
      <c r="F27" s="42">
        <f>G27+H27</f>
        <v>1910543</v>
      </c>
      <c r="G27" s="42">
        <f>SUM(M27:CY27)</f>
        <v>939947</v>
      </c>
      <c r="H27" s="43">
        <f>SUM(CZ27:GL27)</f>
        <v>970596</v>
      </c>
      <c r="I27" s="43">
        <f>SUM(Y27:CY27)</f>
        <v>792699</v>
      </c>
      <c r="J27" s="43">
        <f>SUM(DL27:GL27)</f>
        <v>830242</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
      <c r="A28" s="44"/>
      <c r="B28" s="106"/>
      <c r="C28" s="45"/>
      <c r="D28" s="47"/>
      <c r="E28" s="47"/>
      <c r="F28" s="46"/>
      <c r="G28" s="46"/>
      <c r="H28" s="47"/>
      <c r="I28" s="91"/>
      <c r="J28" s="91"/>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
      <c r="A29" s="86" t="s">
        <v>94</v>
      </c>
      <c r="B29" s="146" t="s">
        <v>114</v>
      </c>
      <c r="C29" s="72" t="str">
        <f t="shared" ref="C29:C92" si="4">CONCATENATE(A29," - ",B29)</f>
        <v xml:space="preserve">England – CCGs - Barnsley </v>
      </c>
      <c r="D29" s="61">
        <f>I29</f>
        <v>104033</v>
      </c>
      <c r="E29" s="61">
        <f>J29</f>
        <v>108738</v>
      </c>
      <c r="F29" s="552">
        <f>G29+H29</f>
        <v>246482</v>
      </c>
      <c r="G29" s="552">
        <f>SUM(M29:CY29)</f>
        <v>121223</v>
      </c>
      <c r="H29" s="552">
        <f>SUM(CZ29:GL29)</f>
        <v>125259</v>
      </c>
      <c r="I29" s="696">
        <f>SUM(Y29:CY29)</f>
        <v>104033</v>
      </c>
      <c r="J29" s="62">
        <f>SUM(DL29:GL29)</f>
        <v>108738</v>
      </c>
      <c r="K29" s="553">
        <f>SUM(M29:AD29)</f>
        <v>25907</v>
      </c>
      <c r="L29" s="61">
        <f>SUM(CZ29:DQ29)</f>
        <v>24774</v>
      </c>
      <c r="M29" s="87">
        <v>1317</v>
      </c>
      <c r="N29" s="87">
        <v>1271</v>
      </c>
      <c r="O29" s="87">
        <v>1478</v>
      </c>
      <c r="P29" s="87">
        <v>1363</v>
      </c>
      <c r="Q29" s="87">
        <v>1420</v>
      </c>
      <c r="R29" s="87">
        <v>1488</v>
      </c>
      <c r="S29" s="87">
        <v>1408</v>
      </c>
      <c r="T29" s="87">
        <v>1447</v>
      </c>
      <c r="U29" s="87">
        <v>1411</v>
      </c>
      <c r="V29" s="87">
        <v>1496</v>
      </c>
      <c r="W29" s="87">
        <v>1484</v>
      </c>
      <c r="X29" s="87">
        <v>1607</v>
      </c>
      <c r="Y29" s="87">
        <v>1526</v>
      </c>
      <c r="Z29" s="87">
        <v>1460</v>
      </c>
      <c r="AA29" s="87">
        <v>1499</v>
      </c>
      <c r="AB29" s="87">
        <v>1439</v>
      </c>
      <c r="AC29" s="87">
        <v>1414</v>
      </c>
      <c r="AD29" s="87">
        <v>1379</v>
      </c>
      <c r="AE29" s="87">
        <v>1348</v>
      </c>
      <c r="AF29" s="87">
        <v>1081</v>
      </c>
      <c r="AG29" s="87">
        <v>1074</v>
      </c>
      <c r="AH29" s="87">
        <v>1084</v>
      </c>
      <c r="AI29" s="87">
        <v>1156</v>
      </c>
      <c r="AJ29" s="87">
        <v>1344</v>
      </c>
      <c r="AK29" s="87">
        <v>1380</v>
      </c>
      <c r="AL29" s="87">
        <v>1477</v>
      </c>
      <c r="AM29" s="87">
        <v>1425</v>
      </c>
      <c r="AN29" s="87">
        <v>1462</v>
      </c>
      <c r="AO29" s="87">
        <v>1523</v>
      </c>
      <c r="AP29" s="87">
        <v>1709</v>
      </c>
      <c r="AQ29" s="87">
        <v>1724</v>
      </c>
      <c r="AR29" s="87">
        <v>1759</v>
      </c>
      <c r="AS29" s="87">
        <v>1680</v>
      </c>
      <c r="AT29" s="87">
        <v>1609</v>
      </c>
      <c r="AU29" s="87">
        <v>1721</v>
      </c>
      <c r="AV29" s="87">
        <v>1598</v>
      </c>
      <c r="AW29" s="87">
        <v>1585</v>
      </c>
      <c r="AX29" s="87">
        <v>1585</v>
      </c>
      <c r="AY29" s="87">
        <v>1542</v>
      </c>
      <c r="AZ29" s="87">
        <v>1572</v>
      </c>
      <c r="BA29" s="87">
        <v>1553</v>
      </c>
      <c r="BB29" s="87">
        <v>1505</v>
      </c>
      <c r="BC29" s="87">
        <v>1517</v>
      </c>
      <c r="BD29" s="87">
        <v>1376</v>
      </c>
      <c r="BE29" s="87">
        <v>1237</v>
      </c>
      <c r="BF29" s="87">
        <v>1227</v>
      </c>
      <c r="BG29" s="87">
        <v>1318</v>
      </c>
      <c r="BH29" s="87">
        <v>1415</v>
      </c>
      <c r="BI29" s="87">
        <v>1433</v>
      </c>
      <c r="BJ29" s="87">
        <v>1615</v>
      </c>
      <c r="BK29" s="87">
        <v>1615</v>
      </c>
      <c r="BL29" s="87">
        <v>1865</v>
      </c>
      <c r="BM29" s="87">
        <v>1758</v>
      </c>
      <c r="BN29" s="87">
        <v>1854</v>
      </c>
      <c r="BO29" s="87">
        <v>1927</v>
      </c>
      <c r="BP29" s="87">
        <v>1898</v>
      </c>
      <c r="BQ29" s="87">
        <v>1798</v>
      </c>
      <c r="BR29" s="87">
        <v>1819</v>
      </c>
      <c r="BS29" s="87">
        <v>1778</v>
      </c>
      <c r="BT29" s="87">
        <v>1708</v>
      </c>
      <c r="BU29" s="87">
        <v>1727</v>
      </c>
      <c r="BV29" s="87">
        <v>1611</v>
      </c>
      <c r="BW29" s="87">
        <v>1549</v>
      </c>
      <c r="BX29" s="87">
        <v>1571</v>
      </c>
      <c r="BY29" s="87">
        <v>1491</v>
      </c>
      <c r="BZ29" s="87">
        <v>1437</v>
      </c>
      <c r="CA29" s="87">
        <v>1417</v>
      </c>
      <c r="CB29" s="87">
        <v>1278</v>
      </c>
      <c r="CC29" s="87">
        <v>1309</v>
      </c>
      <c r="CD29" s="87">
        <v>1316</v>
      </c>
      <c r="CE29" s="87">
        <v>1211</v>
      </c>
      <c r="CF29" s="87">
        <v>1240</v>
      </c>
      <c r="CG29" s="87">
        <v>1193</v>
      </c>
      <c r="CH29" s="87">
        <v>1226</v>
      </c>
      <c r="CI29" s="87">
        <v>1238</v>
      </c>
      <c r="CJ29" s="87">
        <v>1318</v>
      </c>
      <c r="CK29" s="87">
        <v>991</v>
      </c>
      <c r="CL29" s="87">
        <v>965</v>
      </c>
      <c r="CM29" s="87">
        <v>911</v>
      </c>
      <c r="CN29" s="87">
        <v>829</v>
      </c>
      <c r="CO29" s="87">
        <v>668</v>
      </c>
      <c r="CP29" s="87">
        <v>615</v>
      </c>
      <c r="CQ29" s="87">
        <v>549</v>
      </c>
      <c r="CR29" s="87">
        <v>482</v>
      </c>
      <c r="CS29" s="87">
        <v>487</v>
      </c>
      <c r="CT29" s="87">
        <v>402</v>
      </c>
      <c r="CU29" s="87">
        <v>324</v>
      </c>
      <c r="CV29" s="87">
        <v>304</v>
      </c>
      <c r="CW29" s="87">
        <v>229</v>
      </c>
      <c r="CX29" s="87">
        <v>213</v>
      </c>
      <c r="CY29" s="87">
        <v>561</v>
      </c>
      <c r="CZ29" s="88">
        <v>1242</v>
      </c>
      <c r="DA29" s="88">
        <v>1281</v>
      </c>
      <c r="DB29" s="88">
        <v>1292</v>
      </c>
      <c r="DC29" s="88">
        <v>1374</v>
      </c>
      <c r="DD29" s="88">
        <v>1324</v>
      </c>
      <c r="DE29" s="88">
        <v>1375</v>
      </c>
      <c r="DF29" s="88">
        <v>1413</v>
      </c>
      <c r="DG29" s="88">
        <v>1416</v>
      </c>
      <c r="DH29" s="88">
        <v>1390</v>
      </c>
      <c r="DI29" s="88">
        <v>1461</v>
      </c>
      <c r="DJ29" s="88">
        <v>1506</v>
      </c>
      <c r="DK29" s="88">
        <v>1447</v>
      </c>
      <c r="DL29" s="88">
        <v>1446</v>
      </c>
      <c r="DM29" s="88">
        <v>1397</v>
      </c>
      <c r="DN29" s="88">
        <v>1393</v>
      </c>
      <c r="DO29" s="88">
        <v>1358</v>
      </c>
      <c r="DP29" s="88">
        <v>1319</v>
      </c>
      <c r="DQ29" s="88">
        <v>1340</v>
      </c>
      <c r="DR29" s="88">
        <v>1224</v>
      </c>
      <c r="DS29" s="88">
        <v>898</v>
      </c>
      <c r="DT29" s="88">
        <v>967</v>
      </c>
      <c r="DU29" s="88">
        <v>1044</v>
      </c>
      <c r="DV29" s="88">
        <v>1194</v>
      </c>
      <c r="DW29" s="88">
        <v>1280</v>
      </c>
      <c r="DX29" s="88">
        <v>1439</v>
      </c>
      <c r="DY29" s="88">
        <v>1525</v>
      </c>
      <c r="DZ29" s="88">
        <v>1549</v>
      </c>
      <c r="EA29" s="88">
        <v>1626</v>
      </c>
      <c r="EB29" s="88">
        <v>1724</v>
      </c>
      <c r="EC29" s="88">
        <v>1735</v>
      </c>
      <c r="ED29" s="88">
        <v>1795</v>
      </c>
      <c r="EE29" s="88">
        <v>1838</v>
      </c>
      <c r="EF29" s="88">
        <v>1803</v>
      </c>
      <c r="EG29" s="88">
        <v>1629</v>
      </c>
      <c r="EH29" s="88">
        <v>1835</v>
      </c>
      <c r="EI29" s="88">
        <v>1730</v>
      </c>
      <c r="EJ29" s="88">
        <v>1602</v>
      </c>
      <c r="EK29" s="88">
        <v>1665</v>
      </c>
      <c r="EL29" s="88">
        <v>1667</v>
      </c>
      <c r="EM29" s="88">
        <v>1560</v>
      </c>
      <c r="EN29" s="88">
        <v>1442</v>
      </c>
      <c r="EO29" s="88">
        <v>1540</v>
      </c>
      <c r="EP29" s="88">
        <v>1537</v>
      </c>
      <c r="EQ29" s="88">
        <v>1478</v>
      </c>
      <c r="ER29" s="88">
        <v>1369</v>
      </c>
      <c r="ES29" s="88">
        <v>1245</v>
      </c>
      <c r="ET29" s="88">
        <v>1298</v>
      </c>
      <c r="EU29" s="88">
        <v>1425</v>
      </c>
      <c r="EV29" s="88">
        <v>1482</v>
      </c>
      <c r="EW29" s="88">
        <v>1612</v>
      </c>
      <c r="EX29" s="88">
        <v>1741</v>
      </c>
      <c r="EY29" s="88">
        <v>1980</v>
      </c>
      <c r="EZ29" s="88">
        <v>1817</v>
      </c>
      <c r="FA29" s="88">
        <v>1843</v>
      </c>
      <c r="FB29" s="88">
        <v>1893</v>
      </c>
      <c r="FC29" s="88">
        <v>1874</v>
      </c>
      <c r="FD29" s="88">
        <v>1878</v>
      </c>
      <c r="FE29" s="88">
        <v>1892</v>
      </c>
      <c r="FF29" s="88">
        <v>1830</v>
      </c>
      <c r="FG29" s="88">
        <v>1868</v>
      </c>
      <c r="FH29" s="88">
        <v>1744</v>
      </c>
      <c r="FI29" s="88">
        <v>1636</v>
      </c>
      <c r="FJ29" s="88">
        <v>1552</v>
      </c>
      <c r="FK29" s="88">
        <v>1599</v>
      </c>
      <c r="FL29" s="88">
        <v>1541</v>
      </c>
      <c r="FM29" s="88">
        <v>1563</v>
      </c>
      <c r="FN29" s="88">
        <v>1405</v>
      </c>
      <c r="FO29" s="88">
        <v>1327</v>
      </c>
      <c r="FP29" s="88">
        <v>1413</v>
      </c>
      <c r="FQ29" s="88">
        <v>1283</v>
      </c>
      <c r="FR29" s="88">
        <v>1282</v>
      </c>
      <c r="FS29" s="88">
        <v>1268</v>
      </c>
      <c r="FT29" s="88">
        <v>1223</v>
      </c>
      <c r="FU29" s="88">
        <v>1312</v>
      </c>
      <c r="FV29" s="88">
        <v>1335</v>
      </c>
      <c r="FW29" s="88">
        <v>1398</v>
      </c>
      <c r="FX29" s="88">
        <v>1137</v>
      </c>
      <c r="FY29" s="88">
        <v>1154</v>
      </c>
      <c r="FZ29" s="88">
        <v>1028</v>
      </c>
      <c r="GA29" s="88">
        <v>902</v>
      </c>
      <c r="GB29" s="88">
        <v>750</v>
      </c>
      <c r="GC29" s="88">
        <v>748</v>
      </c>
      <c r="GD29" s="88">
        <v>682</v>
      </c>
      <c r="GE29" s="88">
        <v>661</v>
      </c>
      <c r="GF29" s="88">
        <v>618</v>
      </c>
      <c r="GG29" s="88">
        <v>571</v>
      </c>
      <c r="GH29" s="88">
        <v>505</v>
      </c>
      <c r="GI29" s="88">
        <v>436</v>
      </c>
      <c r="GJ29" s="88">
        <v>402</v>
      </c>
      <c r="GK29" s="88">
        <v>358</v>
      </c>
      <c r="GL29" s="89">
        <v>1279</v>
      </c>
    </row>
    <row r="30" spans="1:194" s="1" customFormat="1" x14ac:dyDescent="0.2">
      <c r="A30" s="90" t="s">
        <v>94</v>
      </c>
      <c r="B30" s="146" t="s">
        <v>115</v>
      </c>
      <c r="C30" s="30" t="str">
        <f t="shared" si="4"/>
        <v xml:space="preserve">England – CCGs - Basildon and Brentwood </v>
      </c>
      <c r="D30" s="51">
        <f>I30</f>
        <v>108443</v>
      </c>
      <c r="E30" s="51">
        <f>J30</f>
        <v>116942</v>
      </c>
      <c r="F30" s="52">
        <f>G30+H30</f>
        <v>266180</v>
      </c>
      <c r="G30" s="52">
        <f>SUM(M30:CY30)</f>
        <v>129358</v>
      </c>
      <c r="H30" s="52">
        <f>SUM(CZ30:GL30)</f>
        <v>136822</v>
      </c>
      <c r="I30" s="697">
        <f t="shared" ref="I30:I93" si="5">SUM(Y30:CY30)</f>
        <v>108443</v>
      </c>
      <c r="J30" s="53">
        <f t="shared" ref="J30:J93" si="6">SUM(DL30:GL30)</f>
        <v>116942</v>
      </c>
      <c r="K30" s="50">
        <f>SUM(M30:AD30)</f>
        <v>30954</v>
      </c>
      <c r="L30" s="51">
        <f>SUM(CZ30:DQ30)</f>
        <v>29335</v>
      </c>
      <c r="M30" s="87">
        <v>1651</v>
      </c>
      <c r="N30" s="87">
        <v>1656</v>
      </c>
      <c r="O30" s="87">
        <v>1700</v>
      </c>
      <c r="P30" s="87">
        <v>1768</v>
      </c>
      <c r="Q30" s="87">
        <v>1731</v>
      </c>
      <c r="R30" s="87">
        <v>1803</v>
      </c>
      <c r="S30" s="87">
        <v>1781</v>
      </c>
      <c r="T30" s="87">
        <v>1774</v>
      </c>
      <c r="U30" s="87">
        <v>1719</v>
      </c>
      <c r="V30" s="87">
        <v>1774</v>
      </c>
      <c r="W30" s="87">
        <v>1820</v>
      </c>
      <c r="X30" s="87">
        <v>1738</v>
      </c>
      <c r="Y30" s="87">
        <v>1649</v>
      </c>
      <c r="Z30" s="87">
        <v>1767</v>
      </c>
      <c r="AA30" s="87">
        <v>1702</v>
      </c>
      <c r="AB30" s="87">
        <v>1630</v>
      </c>
      <c r="AC30" s="87">
        <v>1681</v>
      </c>
      <c r="AD30" s="87">
        <v>1610</v>
      </c>
      <c r="AE30" s="87">
        <v>1531</v>
      </c>
      <c r="AF30" s="87">
        <v>1140</v>
      </c>
      <c r="AG30" s="87">
        <v>1154</v>
      </c>
      <c r="AH30" s="87">
        <v>1132</v>
      </c>
      <c r="AI30" s="87">
        <v>1371</v>
      </c>
      <c r="AJ30" s="87">
        <v>1420</v>
      </c>
      <c r="AK30" s="87">
        <v>1456</v>
      </c>
      <c r="AL30" s="87">
        <v>1475</v>
      </c>
      <c r="AM30" s="87">
        <v>1448</v>
      </c>
      <c r="AN30" s="87">
        <v>1635</v>
      </c>
      <c r="AO30" s="87">
        <v>1615</v>
      </c>
      <c r="AP30" s="87">
        <v>1728</v>
      </c>
      <c r="AQ30" s="87">
        <v>1778</v>
      </c>
      <c r="AR30" s="87">
        <v>1793</v>
      </c>
      <c r="AS30" s="87">
        <v>1839</v>
      </c>
      <c r="AT30" s="87">
        <v>1847</v>
      </c>
      <c r="AU30" s="87">
        <v>1945</v>
      </c>
      <c r="AV30" s="87">
        <v>1838</v>
      </c>
      <c r="AW30" s="87">
        <v>1892</v>
      </c>
      <c r="AX30" s="87">
        <v>1822</v>
      </c>
      <c r="AY30" s="87">
        <v>1772</v>
      </c>
      <c r="AZ30" s="87">
        <v>1667</v>
      </c>
      <c r="BA30" s="87">
        <v>1652</v>
      </c>
      <c r="BB30" s="87">
        <v>1777</v>
      </c>
      <c r="BC30" s="87">
        <v>1718</v>
      </c>
      <c r="BD30" s="87">
        <v>1644</v>
      </c>
      <c r="BE30" s="87">
        <v>1600</v>
      </c>
      <c r="BF30" s="87">
        <v>1562</v>
      </c>
      <c r="BG30" s="87">
        <v>1568</v>
      </c>
      <c r="BH30" s="87">
        <v>1730</v>
      </c>
      <c r="BI30" s="87">
        <v>1575</v>
      </c>
      <c r="BJ30" s="87">
        <v>1702</v>
      </c>
      <c r="BK30" s="87">
        <v>1687</v>
      </c>
      <c r="BL30" s="87">
        <v>1776</v>
      </c>
      <c r="BM30" s="87">
        <v>1755</v>
      </c>
      <c r="BN30" s="87">
        <v>1791</v>
      </c>
      <c r="BO30" s="87">
        <v>1840</v>
      </c>
      <c r="BP30" s="87">
        <v>1810</v>
      </c>
      <c r="BQ30" s="87">
        <v>1765</v>
      </c>
      <c r="BR30" s="87">
        <v>1761</v>
      </c>
      <c r="BS30" s="87">
        <v>1743</v>
      </c>
      <c r="BT30" s="87">
        <v>1650</v>
      </c>
      <c r="BU30" s="87">
        <v>1653</v>
      </c>
      <c r="BV30" s="87">
        <v>1594</v>
      </c>
      <c r="BW30" s="87">
        <v>1538</v>
      </c>
      <c r="BX30" s="87">
        <v>1477</v>
      </c>
      <c r="BY30" s="87">
        <v>1383</v>
      </c>
      <c r="BZ30" s="87">
        <v>1291</v>
      </c>
      <c r="CA30" s="87">
        <v>1222</v>
      </c>
      <c r="CB30" s="87">
        <v>1209</v>
      </c>
      <c r="CC30" s="87">
        <v>1151</v>
      </c>
      <c r="CD30" s="87">
        <v>1024</v>
      </c>
      <c r="CE30" s="87">
        <v>1047</v>
      </c>
      <c r="CF30" s="87">
        <v>1049</v>
      </c>
      <c r="CG30" s="87">
        <v>1060</v>
      </c>
      <c r="CH30" s="87">
        <v>1072</v>
      </c>
      <c r="CI30" s="87">
        <v>1178</v>
      </c>
      <c r="CJ30" s="87">
        <v>1319</v>
      </c>
      <c r="CK30" s="87">
        <v>983</v>
      </c>
      <c r="CL30" s="87">
        <v>874</v>
      </c>
      <c r="CM30" s="87">
        <v>837</v>
      </c>
      <c r="CN30" s="87">
        <v>761</v>
      </c>
      <c r="CO30" s="87">
        <v>653</v>
      </c>
      <c r="CP30" s="87">
        <v>517</v>
      </c>
      <c r="CQ30" s="87">
        <v>517</v>
      </c>
      <c r="CR30" s="87">
        <v>502</v>
      </c>
      <c r="CS30" s="87">
        <v>503</v>
      </c>
      <c r="CT30" s="87">
        <v>442</v>
      </c>
      <c r="CU30" s="87">
        <v>389</v>
      </c>
      <c r="CV30" s="87">
        <v>356</v>
      </c>
      <c r="CW30" s="87">
        <v>287</v>
      </c>
      <c r="CX30" s="87">
        <v>260</v>
      </c>
      <c r="CY30" s="87">
        <v>852</v>
      </c>
      <c r="CZ30" s="88">
        <v>1616</v>
      </c>
      <c r="DA30" s="88">
        <v>1536</v>
      </c>
      <c r="DB30" s="88">
        <v>1661</v>
      </c>
      <c r="DC30" s="88">
        <v>1705</v>
      </c>
      <c r="DD30" s="88">
        <v>1589</v>
      </c>
      <c r="DE30" s="88">
        <v>1662</v>
      </c>
      <c r="DF30" s="88">
        <v>1732</v>
      </c>
      <c r="DG30" s="88">
        <v>1642</v>
      </c>
      <c r="DH30" s="88">
        <v>1669</v>
      </c>
      <c r="DI30" s="88">
        <v>1725</v>
      </c>
      <c r="DJ30" s="88">
        <v>1684</v>
      </c>
      <c r="DK30" s="88">
        <v>1659</v>
      </c>
      <c r="DL30" s="88">
        <v>1618</v>
      </c>
      <c r="DM30" s="88">
        <v>1571</v>
      </c>
      <c r="DN30" s="88">
        <v>1655</v>
      </c>
      <c r="DO30" s="88">
        <v>1533</v>
      </c>
      <c r="DP30" s="88">
        <v>1542</v>
      </c>
      <c r="DQ30" s="88">
        <v>1536</v>
      </c>
      <c r="DR30" s="88">
        <v>1424</v>
      </c>
      <c r="DS30" s="88">
        <v>938</v>
      </c>
      <c r="DT30" s="88">
        <v>1009</v>
      </c>
      <c r="DU30" s="88">
        <v>1058</v>
      </c>
      <c r="DV30" s="88">
        <v>1258</v>
      </c>
      <c r="DW30" s="88">
        <v>1433</v>
      </c>
      <c r="DX30" s="88">
        <v>1583</v>
      </c>
      <c r="DY30" s="88">
        <v>1613</v>
      </c>
      <c r="DZ30" s="88">
        <v>1591</v>
      </c>
      <c r="EA30" s="88">
        <v>1650</v>
      </c>
      <c r="EB30" s="88">
        <v>1849</v>
      </c>
      <c r="EC30" s="88">
        <v>1778</v>
      </c>
      <c r="ED30" s="88">
        <v>1980</v>
      </c>
      <c r="EE30" s="88">
        <v>1978</v>
      </c>
      <c r="EF30" s="88">
        <v>2037</v>
      </c>
      <c r="EG30" s="88">
        <v>2041</v>
      </c>
      <c r="EH30" s="88">
        <v>2155</v>
      </c>
      <c r="EI30" s="88">
        <v>1964</v>
      </c>
      <c r="EJ30" s="88">
        <v>1988</v>
      </c>
      <c r="EK30" s="88">
        <v>1999</v>
      </c>
      <c r="EL30" s="88">
        <v>1889</v>
      </c>
      <c r="EM30" s="88">
        <v>1906</v>
      </c>
      <c r="EN30" s="88">
        <v>1890</v>
      </c>
      <c r="EO30" s="88">
        <v>1819</v>
      </c>
      <c r="EP30" s="88">
        <v>1898</v>
      </c>
      <c r="EQ30" s="88">
        <v>1711</v>
      </c>
      <c r="ER30" s="88">
        <v>1635</v>
      </c>
      <c r="ES30" s="88">
        <v>1645</v>
      </c>
      <c r="ET30" s="88">
        <v>1772</v>
      </c>
      <c r="EU30" s="88">
        <v>1675</v>
      </c>
      <c r="EV30" s="88">
        <v>1632</v>
      </c>
      <c r="EW30" s="88">
        <v>1774</v>
      </c>
      <c r="EX30" s="88">
        <v>1724</v>
      </c>
      <c r="EY30" s="88">
        <v>1885</v>
      </c>
      <c r="EZ30" s="88">
        <v>1801</v>
      </c>
      <c r="FA30" s="88">
        <v>1857</v>
      </c>
      <c r="FB30" s="88">
        <v>1889</v>
      </c>
      <c r="FC30" s="88">
        <v>1900</v>
      </c>
      <c r="FD30" s="88">
        <v>1824</v>
      </c>
      <c r="FE30" s="88">
        <v>1869</v>
      </c>
      <c r="FF30" s="88">
        <v>1829</v>
      </c>
      <c r="FG30" s="88">
        <v>1785</v>
      </c>
      <c r="FH30" s="88">
        <v>1726</v>
      </c>
      <c r="FI30" s="88">
        <v>1673</v>
      </c>
      <c r="FJ30" s="88">
        <v>1536</v>
      </c>
      <c r="FK30" s="88">
        <v>1478</v>
      </c>
      <c r="FL30" s="88">
        <v>1487</v>
      </c>
      <c r="FM30" s="88">
        <v>1373</v>
      </c>
      <c r="FN30" s="88">
        <v>1324</v>
      </c>
      <c r="FO30" s="88">
        <v>1256</v>
      </c>
      <c r="FP30" s="88">
        <v>1339</v>
      </c>
      <c r="FQ30" s="88">
        <v>1222</v>
      </c>
      <c r="FR30" s="88">
        <v>1177</v>
      </c>
      <c r="FS30" s="88">
        <v>1210</v>
      </c>
      <c r="FT30" s="88">
        <v>1161</v>
      </c>
      <c r="FU30" s="88">
        <v>1280</v>
      </c>
      <c r="FV30" s="88">
        <v>1379</v>
      </c>
      <c r="FW30" s="88">
        <v>1584</v>
      </c>
      <c r="FX30" s="88">
        <v>1158</v>
      </c>
      <c r="FY30" s="88">
        <v>1052</v>
      </c>
      <c r="FZ30" s="88">
        <v>994</v>
      </c>
      <c r="GA30" s="88">
        <v>985</v>
      </c>
      <c r="GB30" s="88">
        <v>803</v>
      </c>
      <c r="GC30" s="88">
        <v>713</v>
      </c>
      <c r="GD30" s="88">
        <v>789</v>
      </c>
      <c r="GE30" s="88">
        <v>741</v>
      </c>
      <c r="GF30" s="88">
        <v>689</v>
      </c>
      <c r="GG30" s="88">
        <v>648</v>
      </c>
      <c r="GH30" s="88">
        <v>629</v>
      </c>
      <c r="GI30" s="88">
        <v>533</v>
      </c>
      <c r="GJ30" s="88">
        <v>500</v>
      </c>
      <c r="GK30" s="88">
        <v>419</v>
      </c>
      <c r="GL30" s="89">
        <v>1694</v>
      </c>
    </row>
    <row r="31" spans="1:194" s="1" customFormat="1" x14ac:dyDescent="0.2">
      <c r="A31" s="90" t="s">
        <v>94</v>
      </c>
      <c r="B31" s="146" t="s">
        <v>116</v>
      </c>
      <c r="C31" s="30" t="str">
        <f t="shared" si="4"/>
        <v xml:space="preserve">England – CCGs - Bassetlaw </v>
      </c>
      <c r="D31" s="51">
        <f t="shared" ref="D31:E90" si="7">I31</f>
        <v>51512</v>
      </c>
      <c r="E31" s="51">
        <f t="shared" si="7"/>
        <v>52980</v>
      </c>
      <c r="F31" s="52">
        <f t="shared" ref="F31:F94" si="8">G31+H31</f>
        <v>120012</v>
      </c>
      <c r="G31" s="52">
        <f t="shared" ref="G31:G94" si="9">SUM(M31:CY31)</f>
        <v>59485</v>
      </c>
      <c r="H31" s="52">
        <f t="shared" ref="H31:H94" si="10">SUM(CZ31:GL31)</f>
        <v>60527</v>
      </c>
      <c r="I31" s="697">
        <f t="shared" si="5"/>
        <v>51512</v>
      </c>
      <c r="J31" s="53">
        <f t="shared" si="6"/>
        <v>52980</v>
      </c>
      <c r="K31" s="50">
        <f t="shared" ref="K31:K94" si="11">SUM(M31:AD31)</f>
        <v>12097</v>
      </c>
      <c r="L31" s="51">
        <f t="shared" ref="L31:L94" si="12">SUM(CZ31:DQ31)</f>
        <v>11383</v>
      </c>
      <c r="M31" s="87">
        <v>602</v>
      </c>
      <c r="N31" s="87">
        <v>581</v>
      </c>
      <c r="O31" s="87">
        <v>643</v>
      </c>
      <c r="P31" s="87">
        <v>626</v>
      </c>
      <c r="Q31" s="87">
        <v>642</v>
      </c>
      <c r="R31" s="87">
        <v>720</v>
      </c>
      <c r="S31" s="87">
        <v>702</v>
      </c>
      <c r="T31" s="87">
        <v>648</v>
      </c>
      <c r="U31" s="87">
        <v>701</v>
      </c>
      <c r="V31" s="87">
        <v>686</v>
      </c>
      <c r="W31" s="87">
        <v>688</v>
      </c>
      <c r="X31" s="87">
        <v>734</v>
      </c>
      <c r="Y31" s="87">
        <v>679</v>
      </c>
      <c r="Z31" s="87">
        <v>714</v>
      </c>
      <c r="AA31" s="87">
        <v>703</v>
      </c>
      <c r="AB31" s="87">
        <v>675</v>
      </c>
      <c r="AC31" s="87">
        <v>683</v>
      </c>
      <c r="AD31" s="87">
        <v>670</v>
      </c>
      <c r="AE31" s="87">
        <v>625</v>
      </c>
      <c r="AF31" s="87">
        <v>477</v>
      </c>
      <c r="AG31" s="87">
        <v>462</v>
      </c>
      <c r="AH31" s="87">
        <v>504</v>
      </c>
      <c r="AI31" s="87">
        <v>592</v>
      </c>
      <c r="AJ31" s="87">
        <v>643</v>
      </c>
      <c r="AK31" s="87">
        <v>615</v>
      </c>
      <c r="AL31" s="87">
        <v>678</v>
      </c>
      <c r="AM31" s="87">
        <v>666</v>
      </c>
      <c r="AN31" s="87">
        <v>736</v>
      </c>
      <c r="AO31" s="87">
        <v>717</v>
      </c>
      <c r="AP31" s="87">
        <v>684</v>
      </c>
      <c r="AQ31" s="87">
        <v>773</v>
      </c>
      <c r="AR31" s="87">
        <v>744</v>
      </c>
      <c r="AS31" s="87">
        <v>776</v>
      </c>
      <c r="AT31" s="87">
        <v>749</v>
      </c>
      <c r="AU31" s="87">
        <v>748</v>
      </c>
      <c r="AV31" s="87">
        <v>733</v>
      </c>
      <c r="AW31" s="87">
        <v>768</v>
      </c>
      <c r="AX31" s="87">
        <v>724</v>
      </c>
      <c r="AY31" s="87">
        <v>687</v>
      </c>
      <c r="AZ31" s="87">
        <v>706</v>
      </c>
      <c r="BA31" s="87">
        <v>688</v>
      </c>
      <c r="BB31" s="87">
        <v>701</v>
      </c>
      <c r="BC31" s="87">
        <v>699</v>
      </c>
      <c r="BD31" s="87">
        <v>689</v>
      </c>
      <c r="BE31" s="87">
        <v>662</v>
      </c>
      <c r="BF31" s="87">
        <v>593</v>
      </c>
      <c r="BG31" s="87">
        <v>698</v>
      </c>
      <c r="BH31" s="87">
        <v>719</v>
      </c>
      <c r="BI31" s="87">
        <v>709</v>
      </c>
      <c r="BJ31" s="87">
        <v>738</v>
      </c>
      <c r="BK31" s="87">
        <v>773</v>
      </c>
      <c r="BL31" s="87">
        <v>915</v>
      </c>
      <c r="BM31" s="87">
        <v>892</v>
      </c>
      <c r="BN31" s="87">
        <v>887</v>
      </c>
      <c r="BO31" s="87">
        <v>947</v>
      </c>
      <c r="BP31" s="87">
        <v>910</v>
      </c>
      <c r="BQ31" s="87">
        <v>901</v>
      </c>
      <c r="BR31" s="87">
        <v>922</v>
      </c>
      <c r="BS31" s="87">
        <v>954</v>
      </c>
      <c r="BT31" s="87">
        <v>932</v>
      </c>
      <c r="BU31" s="87">
        <v>862</v>
      </c>
      <c r="BV31" s="87">
        <v>869</v>
      </c>
      <c r="BW31" s="87">
        <v>783</v>
      </c>
      <c r="BX31" s="87">
        <v>798</v>
      </c>
      <c r="BY31" s="87">
        <v>756</v>
      </c>
      <c r="BZ31" s="87">
        <v>757</v>
      </c>
      <c r="CA31" s="87">
        <v>693</v>
      </c>
      <c r="CB31" s="87">
        <v>701</v>
      </c>
      <c r="CC31" s="87">
        <v>683</v>
      </c>
      <c r="CD31" s="87">
        <v>642</v>
      </c>
      <c r="CE31" s="87">
        <v>618</v>
      </c>
      <c r="CF31" s="87">
        <v>661</v>
      </c>
      <c r="CG31" s="87">
        <v>616</v>
      </c>
      <c r="CH31" s="87">
        <v>686</v>
      </c>
      <c r="CI31" s="87">
        <v>713</v>
      </c>
      <c r="CJ31" s="87">
        <v>738</v>
      </c>
      <c r="CK31" s="87">
        <v>545</v>
      </c>
      <c r="CL31" s="87">
        <v>567</v>
      </c>
      <c r="CM31" s="87">
        <v>549</v>
      </c>
      <c r="CN31" s="87">
        <v>482</v>
      </c>
      <c r="CO31" s="87">
        <v>391</v>
      </c>
      <c r="CP31" s="87">
        <v>341</v>
      </c>
      <c r="CQ31" s="87">
        <v>325</v>
      </c>
      <c r="CR31" s="87">
        <v>297</v>
      </c>
      <c r="CS31" s="87">
        <v>288</v>
      </c>
      <c r="CT31" s="87">
        <v>240</v>
      </c>
      <c r="CU31" s="87">
        <v>199</v>
      </c>
      <c r="CV31" s="87">
        <v>186</v>
      </c>
      <c r="CW31" s="87">
        <v>142</v>
      </c>
      <c r="CX31" s="87">
        <v>108</v>
      </c>
      <c r="CY31" s="87">
        <v>416</v>
      </c>
      <c r="CZ31" s="88">
        <v>505</v>
      </c>
      <c r="DA31" s="88">
        <v>594</v>
      </c>
      <c r="DB31" s="88">
        <v>565</v>
      </c>
      <c r="DC31" s="88">
        <v>624</v>
      </c>
      <c r="DD31" s="88">
        <v>611</v>
      </c>
      <c r="DE31" s="88">
        <v>654</v>
      </c>
      <c r="DF31" s="88">
        <v>642</v>
      </c>
      <c r="DG31" s="88">
        <v>670</v>
      </c>
      <c r="DH31" s="88">
        <v>623</v>
      </c>
      <c r="DI31" s="88">
        <v>632</v>
      </c>
      <c r="DJ31" s="88">
        <v>747</v>
      </c>
      <c r="DK31" s="88">
        <v>680</v>
      </c>
      <c r="DL31" s="88">
        <v>693</v>
      </c>
      <c r="DM31" s="88">
        <v>661</v>
      </c>
      <c r="DN31" s="88">
        <v>658</v>
      </c>
      <c r="DO31" s="88">
        <v>615</v>
      </c>
      <c r="DP31" s="88">
        <v>614</v>
      </c>
      <c r="DQ31" s="88">
        <v>595</v>
      </c>
      <c r="DR31" s="88">
        <v>563</v>
      </c>
      <c r="DS31" s="88">
        <v>424</v>
      </c>
      <c r="DT31" s="88">
        <v>408</v>
      </c>
      <c r="DU31" s="88">
        <v>449</v>
      </c>
      <c r="DV31" s="88">
        <v>525</v>
      </c>
      <c r="DW31" s="88">
        <v>625</v>
      </c>
      <c r="DX31" s="88">
        <v>628</v>
      </c>
      <c r="DY31" s="88">
        <v>669</v>
      </c>
      <c r="DZ31" s="88">
        <v>695</v>
      </c>
      <c r="EA31" s="88">
        <v>727</v>
      </c>
      <c r="EB31" s="88">
        <v>707</v>
      </c>
      <c r="EC31" s="88">
        <v>730</v>
      </c>
      <c r="ED31" s="88">
        <v>759</v>
      </c>
      <c r="EE31" s="88">
        <v>791</v>
      </c>
      <c r="EF31" s="88">
        <v>769</v>
      </c>
      <c r="EG31" s="88">
        <v>749</v>
      </c>
      <c r="EH31" s="88">
        <v>736</v>
      </c>
      <c r="EI31" s="88">
        <v>784</v>
      </c>
      <c r="EJ31" s="88">
        <v>698</v>
      </c>
      <c r="EK31" s="88">
        <v>734</v>
      </c>
      <c r="EL31" s="88">
        <v>719</v>
      </c>
      <c r="EM31" s="88">
        <v>684</v>
      </c>
      <c r="EN31" s="88">
        <v>680</v>
      </c>
      <c r="EO31" s="88">
        <v>725</v>
      </c>
      <c r="EP31" s="88">
        <v>698</v>
      </c>
      <c r="EQ31" s="88">
        <v>663</v>
      </c>
      <c r="ER31" s="88">
        <v>659</v>
      </c>
      <c r="ES31" s="88">
        <v>660</v>
      </c>
      <c r="ET31" s="88">
        <v>698</v>
      </c>
      <c r="EU31" s="88">
        <v>695</v>
      </c>
      <c r="EV31" s="88">
        <v>719</v>
      </c>
      <c r="EW31" s="88">
        <v>825</v>
      </c>
      <c r="EX31" s="88">
        <v>886</v>
      </c>
      <c r="EY31" s="88">
        <v>933</v>
      </c>
      <c r="EZ31" s="88">
        <v>843</v>
      </c>
      <c r="FA31" s="88">
        <v>934</v>
      </c>
      <c r="FB31" s="88">
        <v>933</v>
      </c>
      <c r="FC31" s="88">
        <v>936</v>
      </c>
      <c r="FD31" s="88">
        <v>938</v>
      </c>
      <c r="FE31" s="88">
        <v>1001</v>
      </c>
      <c r="FF31" s="88">
        <v>949</v>
      </c>
      <c r="FG31" s="88">
        <v>892</v>
      </c>
      <c r="FH31" s="88">
        <v>919</v>
      </c>
      <c r="FI31" s="88">
        <v>824</v>
      </c>
      <c r="FJ31" s="88">
        <v>809</v>
      </c>
      <c r="FK31" s="88">
        <v>837</v>
      </c>
      <c r="FL31" s="88">
        <v>759</v>
      </c>
      <c r="FM31" s="88">
        <v>731</v>
      </c>
      <c r="FN31" s="88">
        <v>678</v>
      </c>
      <c r="FO31" s="88">
        <v>697</v>
      </c>
      <c r="FP31" s="88">
        <v>726</v>
      </c>
      <c r="FQ31" s="88">
        <v>680</v>
      </c>
      <c r="FR31" s="88">
        <v>673</v>
      </c>
      <c r="FS31" s="88">
        <v>650</v>
      </c>
      <c r="FT31" s="88">
        <v>722</v>
      </c>
      <c r="FU31" s="88">
        <v>726</v>
      </c>
      <c r="FV31" s="88">
        <v>805</v>
      </c>
      <c r="FW31" s="88">
        <v>790</v>
      </c>
      <c r="FX31" s="88">
        <v>627</v>
      </c>
      <c r="FY31" s="88">
        <v>588</v>
      </c>
      <c r="FZ31" s="88">
        <v>561</v>
      </c>
      <c r="GA31" s="88">
        <v>520</v>
      </c>
      <c r="GB31" s="88">
        <v>462</v>
      </c>
      <c r="GC31" s="88">
        <v>399</v>
      </c>
      <c r="GD31" s="88">
        <v>387</v>
      </c>
      <c r="GE31" s="88">
        <v>405</v>
      </c>
      <c r="GF31" s="88">
        <v>345</v>
      </c>
      <c r="GG31" s="88">
        <v>312</v>
      </c>
      <c r="GH31" s="88">
        <v>279</v>
      </c>
      <c r="GI31" s="88">
        <v>244</v>
      </c>
      <c r="GJ31" s="88">
        <v>238</v>
      </c>
      <c r="GK31" s="88">
        <v>151</v>
      </c>
      <c r="GL31" s="89">
        <v>760</v>
      </c>
    </row>
    <row r="32" spans="1:194" s="1" customFormat="1" x14ac:dyDescent="0.2">
      <c r="A32" s="90" t="s">
        <v>94</v>
      </c>
      <c r="B32" s="146" t="s">
        <v>117</v>
      </c>
      <c r="C32" s="30" t="str">
        <f t="shared" si="4"/>
        <v xml:space="preserve">England – CCGs - Bath and North East Somerset, Swindon and Wiltshire </v>
      </c>
      <c r="D32" s="51">
        <f t="shared" si="7"/>
        <v>406174</v>
      </c>
      <c r="E32" s="51">
        <f t="shared" si="7"/>
        <v>421290</v>
      </c>
      <c r="F32" s="52">
        <f t="shared" si="8"/>
        <v>953852</v>
      </c>
      <c r="G32" s="52">
        <f t="shared" si="9"/>
        <v>470982</v>
      </c>
      <c r="H32" s="52">
        <f t="shared" si="10"/>
        <v>482870</v>
      </c>
      <c r="I32" s="697">
        <f t="shared" si="5"/>
        <v>406174</v>
      </c>
      <c r="J32" s="53">
        <f t="shared" si="6"/>
        <v>421290</v>
      </c>
      <c r="K32" s="50">
        <f t="shared" si="11"/>
        <v>98790</v>
      </c>
      <c r="L32" s="51">
        <f t="shared" si="12"/>
        <v>94278</v>
      </c>
      <c r="M32" s="87">
        <v>4647</v>
      </c>
      <c r="N32" s="87">
        <v>4706</v>
      </c>
      <c r="O32" s="87">
        <v>4907</v>
      </c>
      <c r="P32" s="87">
        <v>5108</v>
      </c>
      <c r="Q32" s="87">
        <v>5293</v>
      </c>
      <c r="R32" s="87">
        <v>5287</v>
      </c>
      <c r="S32" s="87">
        <v>5628</v>
      </c>
      <c r="T32" s="87">
        <v>5623</v>
      </c>
      <c r="U32" s="87">
        <v>5617</v>
      </c>
      <c r="V32" s="87">
        <v>5799</v>
      </c>
      <c r="W32" s="87">
        <v>6160</v>
      </c>
      <c r="X32" s="87">
        <v>6033</v>
      </c>
      <c r="Y32" s="87">
        <v>5955</v>
      </c>
      <c r="Z32" s="87">
        <v>5803</v>
      </c>
      <c r="AA32" s="87">
        <v>5710</v>
      </c>
      <c r="AB32" s="87">
        <v>5605</v>
      </c>
      <c r="AC32" s="87">
        <v>5496</v>
      </c>
      <c r="AD32" s="87">
        <v>5413</v>
      </c>
      <c r="AE32" s="87">
        <v>5967</v>
      </c>
      <c r="AF32" s="87">
        <v>6678</v>
      </c>
      <c r="AG32" s="87">
        <v>6216</v>
      </c>
      <c r="AH32" s="87">
        <v>5569</v>
      </c>
      <c r="AI32" s="87">
        <v>5932</v>
      </c>
      <c r="AJ32" s="87">
        <v>5961</v>
      </c>
      <c r="AK32" s="87">
        <v>5644</v>
      </c>
      <c r="AL32" s="87">
        <v>5569</v>
      </c>
      <c r="AM32" s="87">
        <v>5603</v>
      </c>
      <c r="AN32" s="87">
        <v>5436</v>
      </c>
      <c r="AO32" s="87">
        <v>5723</v>
      </c>
      <c r="AP32" s="87">
        <v>5509</v>
      </c>
      <c r="AQ32" s="87">
        <v>5906</v>
      </c>
      <c r="AR32" s="87">
        <v>5926</v>
      </c>
      <c r="AS32" s="87">
        <v>5999</v>
      </c>
      <c r="AT32" s="87">
        <v>5968</v>
      </c>
      <c r="AU32" s="87">
        <v>6124</v>
      </c>
      <c r="AV32" s="87">
        <v>6089</v>
      </c>
      <c r="AW32" s="87">
        <v>6037</v>
      </c>
      <c r="AX32" s="87">
        <v>5950</v>
      </c>
      <c r="AY32" s="87">
        <v>6029</v>
      </c>
      <c r="AZ32" s="87">
        <v>5880</v>
      </c>
      <c r="BA32" s="87">
        <v>5821</v>
      </c>
      <c r="BB32" s="87">
        <v>5960</v>
      </c>
      <c r="BC32" s="87">
        <v>6033</v>
      </c>
      <c r="BD32" s="87">
        <v>5922</v>
      </c>
      <c r="BE32" s="87">
        <v>5375</v>
      </c>
      <c r="BF32" s="87">
        <v>5274</v>
      </c>
      <c r="BG32" s="87">
        <v>5437</v>
      </c>
      <c r="BH32" s="87">
        <v>5820</v>
      </c>
      <c r="BI32" s="87">
        <v>5866</v>
      </c>
      <c r="BJ32" s="87">
        <v>6432</v>
      </c>
      <c r="BK32" s="87">
        <v>6631</v>
      </c>
      <c r="BL32" s="87">
        <v>6700</v>
      </c>
      <c r="BM32" s="87">
        <v>6536</v>
      </c>
      <c r="BN32" s="87">
        <v>6527</v>
      </c>
      <c r="BO32" s="87">
        <v>6586</v>
      </c>
      <c r="BP32" s="87">
        <v>6746</v>
      </c>
      <c r="BQ32" s="87">
        <v>6723</v>
      </c>
      <c r="BR32" s="87">
        <v>6887</v>
      </c>
      <c r="BS32" s="87">
        <v>6661</v>
      </c>
      <c r="BT32" s="87">
        <v>6550</v>
      </c>
      <c r="BU32" s="87">
        <v>6440</v>
      </c>
      <c r="BV32" s="87">
        <v>6192</v>
      </c>
      <c r="BW32" s="87">
        <v>5977</v>
      </c>
      <c r="BX32" s="87">
        <v>5691</v>
      </c>
      <c r="BY32" s="87">
        <v>5371</v>
      </c>
      <c r="BZ32" s="87">
        <v>5135</v>
      </c>
      <c r="CA32" s="87">
        <v>4863</v>
      </c>
      <c r="CB32" s="87">
        <v>4730</v>
      </c>
      <c r="CC32" s="87">
        <v>4797</v>
      </c>
      <c r="CD32" s="87">
        <v>4544</v>
      </c>
      <c r="CE32" s="87">
        <v>4485</v>
      </c>
      <c r="CF32" s="87">
        <v>4422</v>
      </c>
      <c r="CG32" s="87">
        <v>4421</v>
      </c>
      <c r="CH32" s="87">
        <v>4529</v>
      </c>
      <c r="CI32" s="87">
        <v>4861</v>
      </c>
      <c r="CJ32" s="87">
        <v>5197</v>
      </c>
      <c r="CK32" s="87">
        <v>3865</v>
      </c>
      <c r="CL32" s="87">
        <v>3773</v>
      </c>
      <c r="CM32" s="87">
        <v>3497</v>
      </c>
      <c r="CN32" s="87">
        <v>3141</v>
      </c>
      <c r="CO32" s="87">
        <v>2804</v>
      </c>
      <c r="CP32" s="87">
        <v>2380</v>
      </c>
      <c r="CQ32" s="87">
        <v>2335</v>
      </c>
      <c r="CR32" s="87">
        <v>2209</v>
      </c>
      <c r="CS32" s="87">
        <v>2008</v>
      </c>
      <c r="CT32" s="87">
        <v>1804</v>
      </c>
      <c r="CU32" s="87">
        <v>1625</v>
      </c>
      <c r="CV32" s="87">
        <v>1368</v>
      </c>
      <c r="CW32" s="87">
        <v>1144</v>
      </c>
      <c r="CX32" s="87">
        <v>1023</v>
      </c>
      <c r="CY32" s="87">
        <v>3359</v>
      </c>
      <c r="CZ32" s="88">
        <v>4395</v>
      </c>
      <c r="DA32" s="88">
        <v>4569</v>
      </c>
      <c r="DB32" s="88">
        <v>4724</v>
      </c>
      <c r="DC32" s="88">
        <v>4830</v>
      </c>
      <c r="DD32" s="88">
        <v>5033</v>
      </c>
      <c r="DE32" s="88">
        <v>5193</v>
      </c>
      <c r="DF32" s="88">
        <v>5362</v>
      </c>
      <c r="DG32" s="88">
        <v>5295</v>
      </c>
      <c r="DH32" s="88">
        <v>5344</v>
      </c>
      <c r="DI32" s="88">
        <v>5565</v>
      </c>
      <c r="DJ32" s="88">
        <v>5551</v>
      </c>
      <c r="DK32" s="88">
        <v>5719</v>
      </c>
      <c r="DL32" s="88">
        <v>5546</v>
      </c>
      <c r="DM32" s="88">
        <v>5549</v>
      </c>
      <c r="DN32" s="88">
        <v>5624</v>
      </c>
      <c r="DO32" s="88">
        <v>5574</v>
      </c>
      <c r="DP32" s="88">
        <v>5184</v>
      </c>
      <c r="DQ32" s="88">
        <v>5221</v>
      </c>
      <c r="DR32" s="88">
        <v>5415</v>
      </c>
      <c r="DS32" s="88">
        <v>5600</v>
      </c>
      <c r="DT32" s="88">
        <v>5189</v>
      </c>
      <c r="DU32" s="88">
        <v>4912</v>
      </c>
      <c r="DV32" s="88">
        <v>5426</v>
      </c>
      <c r="DW32" s="88">
        <v>5137</v>
      </c>
      <c r="DX32" s="88">
        <v>5128</v>
      </c>
      <c r="DY32" s="88">
        <v>5294</v>
      </c>
      <c r="DZ32" s="88">
        <v>5013</v>
      </c>
      <c r="EA32" s="88">
        <v>5302</v>
      </c>
      <c r="EB32" s="88">
        <v>5698</v>
      </c>
      <c r="EC32" s="88">
        <v>5815</v>
      </c>
      <c r="ED32" s="88">
        <v>5939</v>
      </c>
      <c r="EE32" s="88">
        <v>6272</v>
      </c>
      <c r="EF32" s="88">
        <v>6263</v>
      </c>
      <c r="EG32" s="88">
        <v>6313</v>
      </c>
      <c r="EH32" s="88">
        <v>6318</v>
      </c>
      <c r="EI32" s="88">
        <v>6535</v>
      </c>
      <c r="EJ32" s="88">
        <v>6131</v>
      </c>
      <c r="EK32" s="88">
        <v>6244</v>
      </c>
      <c r="EL32" s="88">
        <v>6165</v>
      </c>
      <c r="EM32" s="88">
        <v>5942</v>
      </c>
      <c r="EN32" s="88">
        <v>6211</v>
      </c>
      <c r="EO32" s="88">
        <v>6218</v>
      </c>
      <c r="EP32" s="88">
        <v>6104</v>
      </c>
      <c r="EQ32" s="88">
        <v>5799</v>
      </c>
      <c r="ER32" s="88">
        <v>5574</v>
      </c>
      <c r="ES32" s="88">
        <v>5586</v>
      </c>
      <c r="ET32" s="88">
        <v>5770</v>
      </c>
      <c r="EU32" s="88">
        <v>5831</v>
      </c>
      <c r="EV32" s="88">
        <v>6251</v>
      </c>
      <c r="EW32" s="88">
        <v>6563</v>
      </c>
      <c r="EX32" s="88">
        <v>6923</v>
      </c>
      <c r="EY32" s="88">
        <v>6736</v>
      </c>
      <c r="EZ32" s="88">
        <v>6661</v>
      </c>
      <c r="FA32" s="88">
        <v>6860</v>
      </c>
      <c r="FB32" s="88">
        <v>6795</v>
      </c>
      <c r="FC32" s="88">
        <v>7093</v>
      </c>
      <c r="FD32" s="88">
        <v>7056</v>
      </c>
      <c r="FE32" s="88">
        <v>6890</v>
      </c>
      <c r="FF32" s="88">
        <v>6926</v>
      </c>
      <c r="FG32" s="88">
        <v>6551</v>
      </c>
      <c r="FH32" s="88">
        <v>6513</v>
      </c>
      <c r="FI32" s="88">
        <v>6413</v>
      </c>
      <c r="FJ32" s="88">
        <v>5897</v>
      </c>
      <c r="FK32" s="88">
        <v>5838</v>
      </c>
      <c r="FL32" s="88">
        <v>5643</v>
      </c>
      <c r="FM32" s="88">
        <v>5384</v>
      </c>
      <c r="FN32" s="88">
        <v>5189</v>
      </c>
      <c r="FO32" s="88">
        <v>5034</v>
      </c>
      <c r="FP32" s="88">
        <v>5088</v>
      </c>
      <c r="FQ32" s="88">
        <v>5112</v>
      </c>
      <c r="FR32" s="88">
        <v>4845</v>
      </c>
      <c r="FS32" s="88">
        <v>4831</v>
      </c>
      <c r="FT32" s="88">
        <v>4917</v>
      </c>
      <c r="FU32" s="88">
        <v>5074</v>
      </c>
      <c r="FV32" s="88">
        <v>5409</v>
      </c>
      <c r="FW32" s="88">
        <v>5546</v>
      </c>
      <c r="FX32" s="88">
        <v>4375</v>
      </c>
      <c r="FY32" s="88">
        <v>4296</v>
      </c>
      <c r="FZ32" s="88">
        <v>4189</v>
      </c>
      <c r="GA32" s="88">
        <v>3718</v>
      </c>
      <c r="GB32" s="88">
        <v>3306</v>
      </c>
      <c r="GC32" s="88">
        <v>2846</v>
      </c>
      <c r="GD32" s="88">
        <v>2931</v>
      </c>
      <c r="GE32" s="88">
        <v>2828</v>
      </c>
      <c r="GF32" s="88">
        <v>2632</v>
      </c>
      <c r="GG32" s="88">
        <v>2327</v>
      </c>
      <c r="GH32" s="88">
        <v>2137</v>
      </c>
      <c r="GI32" s="88">
        <v>1982</v>
      </c>
      <c r="GJ32" s="88">
        <v>1693</v>
      </c>
      <c r="GK32" s="88">
        <v>1476</v>
      </c>
      <c r="GL32" s="89">
        <v>6674</v>
      </c>
    </row>
    <row r="33" spans="1:194" s="1" customFormat="1" x14ac:dyDescent="0.2">
      <c r="A33" s="90" t="s">
        <v>94</v>
      </c>
      <c r="B33" s="146" t="s">
        <v>118</v>
      </c>
      <c r="C33" s="30" t="str">
        <f t="shared" si="4"/>
        <v xml:space="preserve">England – CCGs - Bedfordshire, Luton and Milton Keynes </v>
      </c>
      <c r="D33" s="51">
        <f t="shared" si="7"/>
        <v>421029</v>
      </c>
      <c r="E33" s="51">
        <f t="shared" si="7"/>
        <v>434025</v>
      </c>
      <c r="F33" s="52">
        <f t="shared" si="8"/>
        <v>1015380</v>
      </c>
      <c r="G33" s="52">
        <f t="shared" si="9"/>
        <v>503181</v>
      </c>
      <c r="H33" s="52">
        <f t="shared" si="10"/>
        <v>512199</v>
      </c>
      <c r="I33" s="697">
        <f t="shared" si="5"/>
        <v>421029</v>
      </c>
      <c r="J33" s="53">
        <f t="shared" si="6"/>
        <v>434025</v>
      </c>
      <c r="K33" s="50">
        <f t="shared" si="11"/>
        <v>123163</v>
      </c>
      <c r="L33" s="51">
        <f t="shared" si="12"/>
        <v>116851</v>
      </c>
      <c r="M33" s="87">
        <v>6273</v>
      </c>
      <c r="N33" s="87">
        <v>6440</v>
      </c>
      <c r="O33" s="87">
        <v>6475</v>
      </c>
      <c r="P33" s="87">
        <v>6788</v>
      </c>
      <c r="Q33" s="87">
        <v>6646</v>
      </c>
      <c r="R33" s="87">
        <v>6909</v>
      </c>
      <c r="S33" s="87">
        <v>6924</v>
      </c>
      <c r="T33" s="87">
        <v>7053</v>
      </c>
      <c r="U33" s="87">
        <v>7057</v>
      </c>
      <c r="V33" s="87">
        <v>7110</v>
      </c>
      <c r="W33" s="87">
        <v>7239</v>
      </c>
      <c r="X33" s="87">
        <v>7238</v>
      </c>
      <c r="Y33" s="87">
        <v>7077</v>
      </c>
      <c r="Z33" s="87">
        <v>7044</v>
      </c>
      <c r="AA33" s="87">
        <v>7166</v>
      </c>
      <c r="AB33" s="87">
        <v>6687</v>
      </c>
      <c r="AC33" s="87">
        <v>6579</v>
      </c>
      <c r="AD33" s="87">
        <v>6458</v>
      </c>
      <c r="AE33" s="87">
        <v>6098</v>
      </c>
      <c r="AF33" s="87">
        <v>4734</v>
      </c>
      <c r="AG33" s="87">
        <v>4755</v>
      </c>
      <c r="AH33" s="87">
        <v>4949</v>
      </c>
      <c r="AI33" s="87">
        <v>5689</v>
      </c>
      <c r="AJ33" s="87">
        <v>6118</v>
      </c>
      <c r="AK33" s="87">
        <v>6613</v>
      </c>
      <c r="AL33" s="87">
        <v>6659</v>
      </c>
      <c r="AM33" s="87">
        <v>6538</v>
      </c>
      <c r="AN33" s="87">
        <v>6463</v>
      </c>
      <c r="AO33" s="87">
        <v>6547</v>
      </c>
      <c r="AP33" s="87">
        <v>6659</v>
      </c>
      <c r="AQ33" s="87">
        <v>7131</v>
      </c>
      <c r="AR33" s="87">
        <v>7221</v>
      </c>
      <c r="AS33" s="87">
        <v>7230</v>
      </c>
      <c r="AT33" s="87">
        <v>7358</v>
      </c>
      <c r="AU33" s="87">
        <v>7740</v>
      </c>
      <c r="AV33" s="87">
        <v>7394</v>
      </c>
      <c r="AW33" s="87">
        <v>7501</v>
      </c>
      <c r="AX33" s="87">
        <v>7550</v>
      </c>
      <c r="AY33" s="87">
        <v>7313</v>
      </c>
      <c r="AZ33" s="87">
        <v>7512</v>
      </c>
      <c r="BA33" s="87">
        <v>7305</v>
      </c>
      <c r="BB33" s="87">
        <v>7592</v>
      </c>
      <c r="BC33" s="87">
        <v>7529</v>
      </c>
      <c r="BD33" s="87">
        <v>7321</v>
      </c>
      <c r="BE33" s="87">
        <v>6860</v>
      </c>
      <c r="BF33" s="87">
        <v>6659</v>
      </c>
      <c r="BG33" s="87">
        <v>6718</v>
      </c>
      <c r="BH33" s="87">
        <v>6517</v>
      </c>
      <c r="BI33" s="87">
        <v>6656</v>
      </c>
      <c r="BJ33" s="87">
        <v>6585</v>
      </c>
      <c r="BK33" s="87">
        <v>6691</v>
      </c>
      <c r="BL33" s="87">
        <v>7002</v>
      </c>
      <c r="BM33" s="87">
        <v>6699</v>
      </c>
      <c r="BN33" s="87">
        <v>6723</v>
      </c>
      <c r="BO33" s="87">
        <v>6609</v>
      </c>
      <c r="BP33" s="87">
        <v>6800</v>
      </c>
      <c r="BQ33" s="87">
        <v>6441</v>
      </c>
      <c r="BR33" s="87">
        <v>6446</v>
      </c>
      <c r="BS33" s="87">
        <v>6267</v>
      </c>
      <c r="BT33" s="87">
        <v>6023</v>
      </c>
      <c r="BU33" s="87">
        <v>5793</v>
      </c>
      <c r="BV33" s="87">
        <v>5647</v>
      </c>
      <c r="BW33" s="87">
        <v>5437</v>
      </c>
      <c r="BX33" s="87">
        <v>5231</v>
      </c>
      <c r="BY33" s="87">
        <v>4932</v>
      </c>
      <c r="BZ33" s="87">
        <v>4851</v>
      </c>
      <c r="CA33" s="87">
        <v>4523</v>
      </c>
      <c r="CB33" s="87">
        <v>4167</v>
      </c>
      <c r="CC33" s="87">
        <v>4043</v>
      </c>
      <c r="CD33" s="87">
        <v>3968</v>
      </c>
      <c r="CE33" s="87">
        <v>3717</v>
      </c>
      <c r="CF33" s="87">
        <v>3765</v>
      </c>
      <c r="CG33" s="87">
        <v>3704</v>
      </c>
      <c r="CH33" s="87">
        <v>3676</v>
      </c>
      <c r="CI33" s="87">
        <v>3867</v>
      </c>
      <c r="CJ33" s="87">
        <v>4016</v>
      </c>
      <c r="CK33" s="87">
        <v>3023</v>
      </c>
      <c r="CL33" s="87">
        <v>2768</v>
      </c>
      <c r="CM33" s="87">
        <v>2884</v>
      </c>
      <c r="CN33" s="87">
        <v>2448</v>
      </c>
      <c r="CO33" s="87">
        <v>2053</v>
      </c>
      <c r="CP33" s="87">
        <v>1790</v>
      </c>
      <c r="CQ33" s="87">
        <v>1716</v>
      </c>
      <c r="CR33" s="87">
        <v>1682</v>
      </c>
      <c r="CS33" s="87">
        <v>1593</v>
      </c>
      <c r="CT33" s="87">
        <v>1409</v>
      </c>
      <c r="CU33" s="87">
        <v>1193</v>
      </c>
      <c r="CV33" s="87">
        <v>1019</v>
      </c>
      <c r="CW33" s="87">
        <v>846</v>
      </c>
      <c r="CX33" s="87">
        <v>718</v>
      </c>
      <c r="CY33" s="87">
        <v>2324</v>
      </c>
      <c r="CZ33" s="88">
        <v>6042</v>
      </c>
      <c r="DA33" s="88">
        <v>5992</v>
      </c>
      <c r="DB33" s="88">
        <v>6367</v>
      </c>
      <c r="DC33" s="88">
        <v>6415</v>
      </c>
      <c r="DD33" s="88">
        <v>6472</v>
      </c>
      <c r="DE33" s="88">
        <v>6585</v>
      </c>
      <c r="DF33" s="88">
        <v>6831</v>
      </c>
      <c r="DG33" s="88">
        <v>6532</v>
      </c>
      <c r="DH33" s="88">
        <v>6582</v>
      </c>
      <c r="DI33" s="88">
        <v>6678</v>
      </c>
      <c r="DJ33" s="88">
        <v>6802</v>
      </c>
      <c r="DK33" s="88">
        <v>6876</v>
      </c>
      <c r="DL33" s="88">
        <v>6813</v>
      </c>
      <c r="DM33" s="88">
        <v>6834</v>
      </c>
      <c r="DN33" s="88">
        <v>6608</v>
      </c>
      <c r="DO33" s="88">
        <v>6285</v>
      </c>
      <c r="DP33" s="88">
        <v>6079</v>
      </c>
      <c r="DQ33" s="88">
        <v>6058</v>
      </c>
      <c r="DR33" s="88">
        <v>5603</v>
      </c>
      <c r="DS33" s="88">
        <v>3938</v>
      </c>
      <c r="DT33" s="88">
        <v>4000</v>
      </c>
      <c r="DU33" s="88">
        <v>4526</v>
      </c>
      <c r="DV33" s="88">
        <v>5216</v>
      </c>
      <c r="DW33" s="88">
        <v>5725</v>
      </c>
      <c r="DX33" s="88">
        <v>6007</v>
      </c>
      <c r="DY33" s="88">
        <v>6161</v>
      </c>
      <c r="DZ33" s="88">
        <v>6278</v>
      </c>
      <c r="EA33" s="88">
        <v>6424</v>
      </c>
      <c r="EB33" s="88">
        <v>6889</v>
      </c>
      <c r="EC33" s="88">
        <v>7269</v>
      </c>
      <c r="ED33" s="88">
        <v>7441</v>
      </c>
      <c r="EE33" s="88">
        <v>7795</v>
      </c>
      <c r="EF33" s="88">
        <v>7847</v>
      </c>
      <c r="EG33" s="88">
        <v>7940</v>
      </c>
      <c r="EH33" s="88">
        <v>8326</v>
      </c>
      <c r="EI33" s="88">
        <v>7979</v>
      </c>
      <c r="EJ33" s="88">
        <v>8189</v>
      </c>
      <c r="EK33" s="88">
        <v>8035</v>
      </c>
      <c r="EL33" s="88">
        <v>7679</v>
      </c>
      <c r="EM33" s="88">
        <v>7874</v>
      </c>
      <c r="EN33" s="88">
        <v>7779</v>
      </c>
      <c r="EO33" s="88">
        <v>7927</v>
      </c>
      <c r="EP33" s="88">
        <v>7879</v>
      </c>
      <c r="EQ33" s="88">
        <v>7372</v>
      </c>
      <c r="ER33" s="88">
        <v>6786</v>
      </c>
      <c r="ES33" s="88">
        <v>6685</v>
      </c>
      <c r="ET33" s="88">
        <v>6491</v>
      </c>
      <c r="EU33" s="88">
        <v>6746</v>
      </c>
      <c r="EV33" s="88">
        <v>6438</v>
      </c>
      <c r="EW33" s="88">
        <v>6752</v>
      </c>
      <c r="EX33" s="88">
        <v>6691</v>
      </c>
      <c r="EY33" s="88">
        <v>6855</v>
      </c>
      <c r="EZ33" s="88">
        <v>6641</v>
      </c>
      <c r="FA33" s="88">
        <v>6745</v>
      </c>
      <c r="FB33" s="88">
        <v>6710</v>
      </c>
      <c r="FC33" s="88">
        <v>6567</v>
      </c>
      <c r="FD33" s="88">
        <v>6682</v>
      </c>
      <c r="FE33" s="88">
        <v>6307</v>
      </c>
      <c r="FF33" s="88">
        <v>6420</v>
      </c>
      <c r="FG33" s="88">
        <v>6088</v>
      </c>
      <c r="FH33" s="88">
        <v>6068</v>
      </c>
      <c r="FI33" s="88">
        <v>5553</v>
      </c>
      <c r="FJ33" s="88">
        <v>5469</v>
      </c>
      <c r="FK33" s="88">
        <v>5337</v>
      </c>
      <c r="FL33" s="88">
        <v>4997</v>
      </c>
      <c r="FM33" s="88">
        <v>4780</v>
      </c>
      <c r="FN33" s="88">
        <v>4612</v>
      </c>
      <c r="FO33" s="88">
        <v>4594</v>
      </c>
      <c r="FP33" s="88">
        <v>4457</v>
      </c>
      <c r="FQ33" s="88">
        <v>4288</v>
      </c>
      <c r="FR33" s="88">
        <v>4208</v>
      </c>
      <c r="FS33" s="88">
        <v>4167</v>
      </c>
      <c r="FT33" s="88">
        <v>4147</v>
      </c>
      <c r="FU33" s="88">
        <v>4209</v>
      </c>
      <c r="FV33" s="88">
        <v>4191</v>
      </c>
      <c r="FW33" s="88">
        <v>4481</v>
      </c>
      <c r="FX33" s="88">
        <v>3436</v>
      </c>
      <c r="FY33" s="88">
        <v>3295</v>
      </c>
      <c r="FZ33" s="88">
        <v>3193</v>
      </c>
      <c r="GA33" s="88">
        <v>2911</v>
      </c>
      <c r="GB33" s="88">
        <v>2554</v>
      </c>
      <c r="GC33" s="88">
        <v>2100</v>
      </c>
      <c r="GD33" s="88">
        <v>2270</v>
      </c>
      <c r="GE33" s="88">
        <v>2124</v>
      </c>
      <c r="GF33" s="88">
        <v>1988</v>
      </c>
      <c r="GG33" s="88">
        <v>1862</v>
      </c>
      <c r="GH33" s="88">
        <v>1750</v>
      </c>
      <c r="GI33" s="88">
        <v>1563</v>
      </c>
      <c r="GJ33" s="88">
        <v>1282</v>
      </c>
      <c r="GK33" s="88">
        <v>1096</v>
      </c>
      <c r="GL33" s="89">
        <v>4664</v>
      </c>
    </row>
    <row r="34" spans="1:194" s="1" customFormat="1" x14ac:dyDescent="0.2">
      <c r="A34" s="90" t="s">
        <v>94</v>
      </c>
      <c r="B34" s="146" t="s">
        <v>119</v>
      </c>
      <c r="C34" s="30" t="str">
        <f t="shared" si="4"/>
        <v xml:space="preserve">England – CCGs - Berkshire West </v>
      </c>
      <c r="D34" s="51">
        <f t="shared" si="7"/>
        <v>218219</v>
      </c>
      <c r="E34" s="51">
        <f t="shared" si="7"/>
        <v>225295</v>
      </c>
      <c r="F34" s="52">
        <f t="shared" si="8"/>
        <v>518002</v>
      </c>
      <c r="G34" s="52">
        <f t="shared" si="9"/>
        <v>256499</v>
      </c>
      <c r="H34" s="52">
        <f t="shared" si="10"/>
        <v>261503</v>
      </c>
      <c r="I34" s="697">
        <f t="shared" si="5"/>
        <v>218219</v>
      </c>
      <c r="J34" s="53">
        <f t="shared" si="6"/>
        <v>225295</v>
      </c>
      <c r="K34" s="50">
        <f t="shared" si="11"/>
        <v>58482</v>
      </c>
      <c r="L34" s="51">
        <f t="shared" si="12"/>
        <v>55584</v>
      </c>
      <c r="M34" s="87">
        <v>2802</v>
      </c>
      <c r="N34" s="87">
        <v>2775</v>
      </c>
      <c r="O34" s="87">
        <v>2943</v>
      </c>
      <c r="P34" s="87">
        <v>3047</v>
      </c>
      <c r="Q34" s="87">
        <v>3020</v>
      </c>
      <c r="R34" s="87">
        <v>3148</v>
      </c>
      <c r="S34" s="87">
        <v>3405</v>
      </c>
      <c r="T34" s="87">
        <v>3200</v>
      </c>
      <c r="U34" s="87">
        <v>3307</v>
      </c>
      <c r="V34" s="87">
        <v>3521</v>
      </c>
      <c r="W34" s="87">
        <v>3588</v>
      </c>
      <c r="X34" s="87">
        <v>3524</v>
      </c>
      <c r="Y34" s="87">
        <v>3534</v>
      </c>
      <c r="Z34" s="87">
        <v>3496</v>
      </c>
      <c r="AA34" s="87">
        <v>3571</v>
      </c>
      <c r="AB34" s="87">
        <v>3240</v>
      </c>
      <c r="AC34" s="87">
        <v>3194</v>
      </c>
      <c r="AD34" s="87">
        <v>3167</v>
      </c>
      <c r="AE34" s="87">
        <v>3142</v>
      </c>
      <c r="AF34" s="87">
        <v>3090</v>
      </c>
      <c r="AG34" s="87">
        <v>3066</v>
      </c>
      <c r="AH34" s="87">
        <v>3224</v>
      </c>
      <c r="AI34" s="87">
        <v>3117</v>
      </c>
      <c r="AJ34" s="87">
        <v>3018</v>
      </c>
      <c r="AK34" s="87">
        <v>3001</v>
      </c>
      <c r="AL34" s="87">
        <v>2985</v>
      </c>
      <c r="AM34" s="87">
        <v>3060</v>
      </c>
      <c r="AN34" s="87">
        <v>3113</v>
      </c>
      <c r="AO34" s="87">
        <v>3267</v>
      </c>
      <c r="AP34" s="87">
        <v>3232</v>
      </c>
      <c r="AQ34" s="87">
        <v>3432</v>
      </c>
      <c r="AR34" s="87">
        <v>3381</v>
      </c>
      <c r="AS34" s="87">
        <v>3487</v>
      </c>
      <c r="AT34" s="87">
        <v>3483</v>
      </c>
      <c r="AU34" s="87">
        <v>3668</v>
      </c>
      <c r="AV34" s="87">
        <v>3521</v>
      </c>
      <c r="AW34" s="87">
        <v>3690</v>
      </c>
      <c r="AX34" s="87">
        <v>3692</v>
      </c>
      <c r="AY34" s="87">
        <v>3537</v>
      </c>
      <c r="AZ34" s="87">
        <v>3716</v>
      </c>
      <c r="BA34" s="87">
        <v>3676</v>
      </c>
      <c r="BB34" s="87">
        <v>3793</v>
      </c>
      <c r="BC34" s="87">
        <v>3997</v>
      </c>
      <c r="BD34" s="87">
        <v>3806</v>
      </c>
      <c r="BE34" s="87">
        <v>3557</v>
      </c>
      <c r="BF34" s="87">
        <v>3632</v>
      </c>
      <c r="BG34" s="87">
        <v>3518</v>
      </c>
      <c r="BH34" s="87">
        <v>3615</v>
      </c>
      <c r="BI34" s="87">
        <v>3545</v>
      </c>
      <c r="BJ34" s="87">
        <v>3676</v>
      </c>
      <c r="BK34" s="87">
        <v>3696</v>
      </c>
      <c r="BL34" s="87">
        <v>3670</v>
      </c>
      <c r="BM34" s="87">
        <v>3599</v>
      </c>
      <c r="BN34" s="87">
        <v>3687</v>
      </c>
      <c r="BO34" s="87">
        <v>3401</v>
      </c>
      <c r="BP34" s="87">
        <v>3501</v>
      </c>
      <c r="BQ34" s="87">
        <v>3418</v>
      </c>
      <c r="BR34" s="87">
        <v>3298</v>
      </c>
      <c r="BS34" s="87">
        <v>3293</v>
      </c>
      <c r="BT34" s="87">
        <v>3223</v>
      </c>
      <c r="BU34" s="87">
        <v>3080</v>
      </c>
      <c r="BV34" s="87">
        <v>2919</v>
      </c>
      <c r="BW34" s="87">
        <v>2910</v>
      </c>
      <c r="BX34" s="87">
        <v>2731</v>
      </c>
      <c r="BY34" s="87">
        <v>2662</v>
      </c>
      <c r="BZ34" s="87">
        <v>2409</v>
      </c>
      <c r="CA34" s="87">
        <v>2347</v>
      </c>
      <c r="CB34" s="87">
        <v>2098</v>
      </c>
      <c r="CC34" s="87">
        <v>2126</v>
      </c>
      <c r="CD34" s="87">
        <v>2085</v>
      </c>
      <c r="CE34" s="87">
        <v>1971</v>
      </c>
      <c r="CF34" s="87">
        <v>1920</v>
      </c>
      <c r="CG34" s="87">
        <v>1814</v>
      </c>
      <c r="CH34" s="87">
        <v>1938</v>
      </c>
      <c r="CI34" s="87">
        <v>2178</v>
      </c>
      <c r="CJ34" s="87">
        <v>2291</v>
      </c>
      <c r="CK34" s="87">
        <v>1620</v>
      </c>
      <c r="CL34" s="87">
        <v>1639</v>
      </c>
      <c r="CM34" s="87">
        <v>1620</v>
      </c>
      <c r="CN34" s="87">
        <v>1366</v>
      </c>
      <c r="CO34" s="87">
        <v>1229</v>
      </c>
      <c r="CP34" s="87">
        <v>1010</v>
      </c>
      <c r="CQ34" s="87">
        <v>1138</v>
      </c>
      <c r="CR34" s="87">
        <v>897</v>
      </c>
      <c r="CS34" s="87">
        <v>886</v>
      </c>
      <c r="CT34" s="87">
        <v>877</v>
      </c>
      <c r="CU34" s="87">
        <v>678</v>
      </c>
      <c r="CV34" s="87">
        <v>600</v>
      </c>
      <c r="CW34" s="87">
        <v>520</v>
      </c>
      <c r="CX34" s="87">
        <v>409</v>
      </c>
      <c r="CY34" s="87">
        <v>1526</v>
      </c>
      <c r="CZ34" s="88">
        <v>2511</v>
      </c>
      <c r="DA34" s="88">
        <v>2597</v>
      </c>
      <c r="DB34" s="88">
        <v>2707</v>
      </c>
      <c r="DC34" s="88">
        <v>2773</v>
      </c>
      <c r="DD34" s="88">
        <v>2913</v>
      </c>
      <c r="DE34" s="88">
        <v>3076</v>
      </c>
      <c r="DF34" s="88">
        <v>3187</v>
      </c>
      <c r="DG34" s="88">
        <v>3056</v>
      </c>
      <c r="DH34" s="88">
        <v>3267</v>
      </c>
      <c r="DI34" s="88">
        <v>3346</v>
      </c>
      <c r="DJ34" s="88">
        <v>3334</v>
      </c>
      <c r="DK34" s="88">
        <v>3441</v>
      </c>
      <c r="DL34" s="88">
        <v>3355</v>
      </c>
      <c r="DM34" s="88">
        <v>3330</v>
      </c>
      <c r="DN34" s="88">
        <v>3403</v>
      </c>
      <c r="DO34" s="88">
        <v>3255</v>
      </c>
      <c r="DP34" s="88">
        <v>3116</v>
      </c>
      <c r="DQ34" s="88">
        <v>2917</v>
      </c>
      <c r="DR34" s="88">
        <v>3026</v>
      </c>
      <c r="DS34" s="88">
        <v>2941</v>
      </c>
      <c r="DT34" s="88">
        <v>2974</v>
      </c>
      <c r="DU34" s="88">
        <v>2858</v>
      </c>
      <c r="DV34" s="88">
        <v>3042</v>
      </c>
      <c r="DW34" s="88">
        <v>2902</v>
      </c>
      <c r="DX34" s="88">
        <v>2819</v>
      </c>
      <c r="DY34" s="88">
        <v>2965</v>
      </c>
      <c r="DZ34" s="88">
        <v>2945</v>
      </c>
      <c r="EA34" s="88">
        <v>3146</v>
      </c>
      <c r="EB34" s="88">
        <v>3265</v>
      </c>
      <c r="EC34" s="88">
        <v>3319</v>
      </c>
      <c r="ED34" s="88">
        <v>3546</v>
      </c>
      <c r="EE34" s="88">
        <v>3571</v>
      </c>
      <c r="EF34" s="88">
        <v>3792</v>
      </c>
      <c r="EG34" s="88">
        <v>3739</v>
      </c>
      <c r="EH34" s="88">
        <v>3813</v>
      </c>
      <c r="EI34" s="88">
        <v>3904</v>
      </c>
      <c r="EJ34" s="88">
        <v>3940</v>
      </c>
      <c r="EK34" s="88">
        <v>3852</v>
      </c>
      <c r="EL34" s="88">
        <v>3982</v>
      </c>
      <c r="EM34" s="88">
        <v>3765</v>
      </c>
      <c r="EN34" s="88">
        <v>3955</v>
      </c>
      <c r="EO34" s="88">
        <v>3870</v>
      </c>
      <c r="EP34" s="88">
        <v>3975</v>
      </c>
      <c r="EQ34" s="88">
        <v>3785</v>
      </c>
      <c r="ER34" s="88">
        <v>3620</v>
      </c>
      <c r="ES34" s="88">
        <v>3595</v>
      </c>
      <c r="ET34" s="88">
        <v>3544</v>
      </c>
      <c r="EU34" s="88">
        <v>3627</v>
      </c>
      <c r="EV34" s="88">
        <v>3563</v>
      </c>
      <c r="EW34" s="88">
        <v>3567</v>
      </c>
      <c r="EX34" s="88">
        <v>3635</v>
      </c>
      <c r="EY34" s="88">
        <v>3741</v>
      </c>
      <c r="EZ34" s="88">
        <v>3441</v>
      </c>
      <c r="FA34" s="88">
        <v>3604</v>
      </c>
      <c r="FB34" s="88">
        <v>3494</v>
      </c>
      <c r="FC34" s="88">
        <v>3553</v>
      </c>
      <c r="FD34" s="88">
        <v>3356</v>
      </c>
      <c r="FE34" s="88">
        <v>3457</v>
      </c>
      <c r="FF34" s="88">
        <v>3333</v>
      </c>
      <c r="FG34" s="88">
        <v>3251</v>
      </c>
      <c r="FH34" s="88">
        <v>3062</v>
      </c>
      <c r="FI34" s="88">
        <v>2925</v>
      </c>
      <c r="FJ34" s="88">
        <v>2626</v>
      </c>
      <c r="FK34" s="88">
        <v>2687</v>
      </c>
      <c r="FL34" s="88">
        <v>2669</v>
      </c>
      <c r="FM34" s="88">
        <v>2517</v>
      </c>
      <c r="FN34" s="88">
        <v>2322</v>
      </c>
      <c r="FO34" s="88">
        <v>2309</v>
      </c>
      <c r="FP34" s="88">
        <v>2208</v>
      </c>
      <c r="FQ34" s="88">
        <v>2117</v>
      </c>
      <c r="FR34" s="88">
        <v>2192</v>
      </c>
      <c r="FS34" s="88">
        <v>2124</v>
      </c>
      <c r="FT34" s="88">
        <v>2194</v>
      </c>
      <c r="FU34" s="88">
        <v>2270</v>
      </c>
      <c r="FV34" s="88">
        <v>2307</v>
      </c>
      <c r="FW34" s="88">
        <v>2527</v>
      </c>
      <c r="FX34" s="88">
        <v>1901</v>
      </c>
      <c r="FY34" s="88">
        <v>1905</v>
      </c>
      <c r="FZ34" s="88">
        <v>1861</v>
      </c>
      <c r="GA34" s="88">
        <v>1683</v>
      </c>
      <c r="GB34" s="88">
        <v>1437</v>
      </c>
      <c r="GC34" s="88">
        <v>1302</v>
      </c>
      <c r="GD34" s="88">
        <v>1194</v>
      </c>
      <c r="GE34" s="88">
        <v>1275</v>
      </c>
      <c r="GF34" s="88">
        <v>1222</v>
      </c>
      <c r="GG34" s="88">
        <v>955</v>
      </c>
      <c r="GH34" s="88">
        <v>944</v>
      </c>
      <c r="GI34" s="88">
        <v>895</v>
      </c>
      <c r="GJ34" s="88">
        <v>735</v>
      </c>
      <c r="GK34" s="88">
        <v>672</v>
      </c>
      <c r="GL34" s="89">
        <v>2810</v>
      </c>
    </row>
    <row r="35" spans="1:194" s="1" customFormat="1" x14ac:dyDescent="0.2">
      <c r="A35" s="90" t="s">
        <v>94</v>
      </c>
      <c r="B35" s="146" t="s">
        <v>120</v>
      </c>
      <c r="C35" s="30" t="str">
        <f t="shared" si="4"/>
        <v xml:space="preserve">England – CCGs - Birmingham and Solihull </v>
      </c>
      <c r="D35" s="51">
        <f t="shared" si="7"/>
        <v>488907</v>
      </c>
      <c r="E35" s="51">
        <f t="shared" si="7"/>
        <v>519650</v>
      </c>
      <c r="F35" s="52">
        <f t="shared" si="8"/>
        <v>1199381</v>
      </c>
      <c r="G35" s="52">
        <f t="shared" si="9"/>
        <v>586025</v>
      </c>
      <c r="H35" s="52">
        <f t="shared" si="10"/>
        <v>613356</v>
      </c>
      <c r="I35" s="697">
        <f t="shared" si="5"/>
        <v>488907</v>
      </c>
      <c r="J35" s="53">
        <f t="shared" si="6"/>
        <v>519650</v>
      </c>
      <c r="K35" s="50">
        <f t="shared" si="11"/>
        <v>148018</v>
      </c>
      <c r="L35" s="51">
        <f t="shared" si="12"/>
        <v>142057</v>
      </c>
      <c r="M35" s="87">
        <v>7303</v>
      </c>
      <c r="N35" s="87">
        <v>7071</v>
      </c>
      <c r="O35" s="87">
        <v>7459</v>
      </c>
      <c r="P35" s="87">
        <v>7760</v>
      </c>
      <c r="Q35" s="87">
        <v>7769</v>
      </c>
      <c r="R35" s="87">
        <v>8122</v>
      </c>
      <c r="S35" s="87">
        <v>8230</v>
      </c>
      <c r="T35" s="87">
        <v>8367</v>
      </c>
      <c r="U35" s="87">
        <v>8533</v>
      </c>
      <c r="V35" s="87">
        <v>8629</v>
      </c>
      <c r="W35" s="87">
        <v>8997</v>
      </c>
      <c r="X35" s="87">
        <v>8878</v>
      </c>
      <c r="Y35" s="87">
        <v>8610</v>
      </c>
      <c r="Z35" s="87">
        <v>8608</v>
      </c>
      <c r="AA35" s="87">
        <v>8761</v>
      </c>
      <c r="AB35" s="87">
        <v>8542</v>
      </c>
      <c r="AC35" s="87">
        <v>8132</v>
      </c>
      <c r="AD35" s="87">
        <v>8247</v>
      </c>
      <c r="AE35" s="87">
        <v>8714</v>
      </c>
      <c r="AF35" s="87">
        <v>10032</v>
      </c>
      <c r="AG35" s="87">
        <v>9713</v>
      </c>
      <c r="AH35" s="87">
        <v>9361</v>
      </c>
      <c r="AI35" s="87">
        <v>9307</v>
      </c>
      <c r="AJ35" s="87">
        <v>9203</v>
      </c>
      <c r="AK35" s="87">
        <v>8559</v>
      </c>
      <c r="AL35" s="87">
        <v>8167</v>
      </c>
      <c r="AM35" s="87">
        <v>7888</v>
      </c>
      <c r="AN35" s="87">
        <v>7803</v>
      </c>
      <c r="AO35" s="87">
        <v>8066</v>
      </c>
      <c r="AP35" s="87">
        <v>7804</v>
      </c>
      <c r="AQ35" s="87">
        <v>8340</v>
      </c>
      <c r="AR35" s="87">
        <v>8141</v>
      </c>
      <c r="AS35" s="87">
        <v>8112</v>
      </c>
      <c r="AT35" s="87">
        <v>7894</v>
      </c>
      <c r="AU35" s="87">
        <v>7826</v>
      </c>
      <c r="AV35" s="87">
        <v>7880</v>
      </c>
      <c r="AW35" s="87">
        <v>7719</v>
      </c>
      <c r="AX35" s="87">
        <v>7999</v>
      </c>
      <c r="AY35" s="87">
        <v>7581</v>
      </c>
      <c r="AZ35" s="87">
        <v>7557</v>
      </c>
      <c r="BA35" s="87">
        <v>7469</v>
      </c>
      <c r="BB35" s="87">
        <v>7642</v>
      </c>
      <c r="BC35" s="87">
        <v>7564</v>
      </c>
      <c r="BD35" s="87">
        <v>7118</v>
      </c>
      <c r="BE35" s="87">
        <v>6922</v>
      </c>
      <c r="BF35" s="87">
        <v>6850</v>
      </c>
      <c r="BG35" s="87">
        <v>6886</v>
      </c>
      <c r="BH35" s="87">
        <v>6749</v>
      </c>
      <c r="BI35" s="87">
        <v>6902</v>
      </c>
      <c r="BJ35" s="87">
        <v>7127</v>
      </c>
      <c r="BK35" s="87">
        <v>7155</v>
      </c>
      <c r="BL35" s="87">
        <v>7448</v>
      </c>
      <c r="BM35" s="87">
        <v>7442</v>
      </c>
      <c r="BN35" s="87">
        <v>7542</v>
      </c>
      <c r="BO35" s="87">
        <v>7393</v>
      </c>
      <c r="BP35" s="87">
        <v>7015</v>
      </c>
      <c r="BQ35" s="87">
        <v>6931</v>
      </c>
      <c r="BR35" s="87">
        <v>6863</v>
      </c>
      <c r="BS35" s="87">
        <v>6684</v>
      </c>
      <c r="BT35" s="87">
        <v>6454</v>
      </c>
      <c r="BU35" s="87">
        <v>6344</v>
      </c>
      <c r="BV35" s="87">
        <v>6117</v>
      </c>
      <c r="BW35" s="87">
        <v>5939</v>
      </c>
      <c r="BX35" s="87">
        <v>5716</v>
      </c>
      <c r="BY35" s="87">
        <v>5710</v>
      </c>
      <c r="BZ35" s="87">
        <v>5282</v>
      </c>
      <c r="CA35" s="87">
        <v>4798</v>
      </c>
      <c r="CB35" s="87">
        <v>4752</v>
      </c>
      <c r="CC35" s="87">
        <v>4643</v>
      </c>
      <c r="CD35" s="87">
        <v>4590</v>
      </c>
      <c r="CE35" s="87">
        <v>4283</v>
      </c>
      <c r="CF35" s="87">
        <v>4188</v>
      </c>
      <c r="CG35" s="87">
        <v>4165</v>
      </c>
      <c r="CH35" s="87">
        <v>3995</v>
      </c>
      <c r="CI35" s="87">
        <v>4079</v>
      </c>
      <c r="CJ35" s="87">
        <v>4344</v>
      </c>
      <c r="CK35" s="87">
        <v>3277</v>
      </c>
      <c r="CL35" s="87">
        <v>3335</v>
      </c>
      <c r="CM35" s="87">
        <v>3257</v>
      </c>
      <c r="CN35" s="87">
        <v>2909</v>
      </c>
      <c r="CO35" s="87">
        <v>2570</v>
      </c>
      <c r="CP35" s="87">
        <v>2142</v>
      </c>
      <c r="CQ35" s="87">
        <v>2161</v>
      </c>
      <c r="CR35" s="87">
        <v>2140</v>
      </c>
      <c r="CS35" s="87">
        <v>1881</v>
      </c>
      <c r="CT35" s="87">
        <v>1640</v>
      </c>
      <c r="CU35" s="87">
        <v>1507</v>
      </c>
      <c r="CV35" s="87">
        <v>1323</v>
      </c>
      <c r="CW35" s="87">
        <v>1021</v>
      </c>
      <c r="CX35" s="87">
        <v>944</v>
      </c>
      <c r="CY35" s="87">
        <v>3133</v>
      </c>
      <c r="CZ35" s="88">
        <v>7116</v>
      </c>
      <c r="DA35" s="88">
        <v>7206</v>
      </c>
      <c r="DB35" s="88">
        <v>7384</v>
      </c>
      <c r="DC35" s="88">
        <v>7238</v>
      </c>
      <c r="DD35" s="88">
        <v>7594</v>
      </c>
      <c r="DE35" s="88">
        <v>7878</v>
      </c>
      <c r="DF35" s="88">
        <v>8078</v>
      </c>
      <c r="DG35" s="88">
        <v>7976</v>
      </c>
      <c r="DH35" s="88">
        <v>8160</v>
      </c>
      <c r="DI35" s="88">
        <v>8290</v>
      </c>
      <c r="DJ35" s="88">
        <v>8294</v>
      </c>
      <c r="DK35" s="88">
        <v>8492</v>
      </c>
      <c r="DL35" s="88">
        <v>8215</v>
      </c>
      <c r="DM35" s="88">
        <v>8410</v>
      </c>
      <c r="DN35" s="88">
        <v>8220</v>
      </c>
      <c r="DO35" s="88">
        <v>7815</v>
      </c>
      <c r="DP35" s="88">
        <v>7787</v>
      </c>
      <c r="DQ35" s="88">
        <v>7904</v>
      </c>
      <c r="DR35" s="88">
        <v>8311</v>
      </c>
      <c r="DS35" s="88">
        <v>10550</v>
      </c>
      <c r="DT35" s="88">
        <v>10542</v>
      </c>
      <c r="DU35" s="88">
        <v>9902</v>
      </c>
      <c r="DV35" s="88">
        <v>8807</v>
      </c>
      <c r="DW35" s="88">
        <v>8607</v>
      </c>
      <c r="DX35" s="88">
        <v>8405</v>
      </c>
      <c r="DY35" s="88">
        <v>8301</v>
      </c>
      <c r="DZ35" s="88">
        <v>8302</v>
      </c>
      <c r="EA35" s="88">
        <v>8085</v>
      </c>
      <c r="EB35" s="88">
        <v>8145</v>
      </c>
      <c r="EC35" s="88">
        <v>8092</v>
      </c>
      <c r="ED35" s="88">
        <v>8417</v>
      </c>
      <c r="EE35" s="88">
        <v>8743</v>
      </c>
      <c r="EF35" s="88">
        <v>8897</v>
      </c>
      <c r="EG35" s="88">
        <v>8808</v>
      </c>
      <c r="EH35" s="88">
        <v>8903</v>
      </c>
      <c r="EI35" s="88">
        <v>9071</v>
      </c>
      <c r="EJ35" s="88">
        <v>8671</v>
      </c>
      <c r="EK35" s="88">
        <v>8537</v>
      </c>
      <c r="EL35" s="88">
        <v>8496</v>
      </c>
      <c r="EM35" s="88">
        <v>8603</v>
      </c>
      <c r="EN35" s="88">
        <v>8442</v>
      </c>
      <c r="EO35" s="88">
        <v>8183</v>
      </c>
      <c r="EP35" s="88">
        <v>8563</v>
      </c>
      <c r="EQ35" s="88">
        <v>7753</v>
      </c>
      <c r="ER35" s="88">
        <v>7286</v>
      </c>
      <c r="ES35" s="88">
        <v>7097</v>
      </c>
      <c r="ET35" s="88">
        <v>7171</v>
      </c>
      <c r="EU35" s="88">
        <v>6796</v>
      </c>
      <c r="EV35" s="88">
        <v>6980</v>
      </c>
      <c r="EW35" s="88">
        <v>7106</v>
      </c>
      <c r="EX35" s="88">
        <v>7428</v>
      </c>
      <c r="EY35" s="88">
        <v>7579</v>
      </c>
      <c r="EZ35" s="88">
        <v>7634</v>
      </c>
      <c r="FA35" s="88">
        <v>7566</v>
      </c>
      <c r="FB35" s="88">
        <v>7428</v>
      </c>
      <c r="FC35" s="88">
        <v>7364</v>
      </c>
      <c r="FD35" s="88">
        <v>7195</v>
      </c>
      <c r="FE35" s="88">
        <v>7057</v>
      </c>
      <c r="FF35" s="88">
        <v>6965</v>
      </c>
      <c r="FG35" s="88">
        <v>6710</v>
      </c>
      <c r="FH35" s="88">
        <v>6884</v>
      </c>
      <c r="FI35" s="88">
        <v>6321</v>
      </c>
      <c r="FJ35" s="88">
        <v>6162</v>
      </c>
      <c r="FK35" s="88">
        <v>5829</v>
      </c>
      <c r="FL35" s="88">
        <v>5527</v>
      </c>
      <c r="FM35" s="88">
        <v>5302</v>
      </c>
      <c r="FN35" s="88">
        <v>5024</v>
      </c>
      <c r="FO35" s="88">
        <v>4781</v>
      </c>
      <c r="FP35" s="88">
        <v>4899</v>
      </c>
      <c r="FQ35" s="88">
        <v>4831</v>
      </c>
      <c r="FR35" s="88">
        <v>4687</v>
      </c>
      <c r="FS35" s="88">
        <v>4491</v>
      </c>
      <c r="FT35" s="88">
        <v>4590</v>
      </c>
      <c r="FU35" s="88">
        <v>4525</v>
      </c>
      <c r="FV35" s="88">
        <v>4796</v>
      </c>
      <c r="FW35" s="88">
        <v>5022</v>
      </c>
      <c r="FX35" s="88">
        <v>3951</v>
      </c>
      <c r="FY35" s="88">
        <v>3867</v>
      </c>
      <c r="FZ35" s="88">
        <v>3864</v>
      </c>
      <c r="GA35" s="88">
        <v>3578</v>
      </c>
      <c r="GB35" s="88">
        <v>3218</v>
      </c>
      <c r="GC35" s="88">
        <v>2776</v>
      </c>
      <c r="GD35" s="88">
        <v>2741</v>
      </c>
      <c r="GE35" s="88">
        <v>2700</v>
      </c>
      <c r="GF35" s="88">
        <v>2569</v>
      </c>
      <c r="GG35" s="88">
        <v>2468</v>
      </c>
      <c r="GH35" s="88">
        <v>2290</v>
      </c>
      <c r="GI35" s="88">
        <v>2062</v>
      </c>
      <c r="GJ35" s="88">
        <v>1703</v>
      </c>
      <c r="GK35" s="88">
        <v>1521</v>
      </c>
      <c r="GL35" s="89">
        <v>6822</v>
      </c>
    </row>
    <row r="36" spans="1:194" s="1" customFormat="1" x14ac:dyDescent="0.2">
      <c r="A36" s="90" t="s">
        <v>94</v>
      </c>
      <c r="B36" s="146" t="s">
        <v>121</v>
      </c>
      <c r="C36" s="30" t="str">
        <f t="shared" si="4"/>
        <v xml:space="preserve">England – CCGs - Black Country and West Birmingham </v>
      </c>
      <c r="D36" s="51">
        <f t="shared" si="7"/>
        <v>577338</v>
      </c>
      <c r="E36" s="51">
        <f t="shared" si="7"/>
        <v>600776</v>
      </c>
      <c r="F36" s="52">
        <f t="shared" si="8"/>
        <v>1398835</v>
      </c>
      <c r="G36" s="52">
        <f t="shared" si="9"/>
        <v>690615</v>
      </c>
      <c r="H36" s="52">
        <f t="shared" si="10"/>
        <v>708220</v>
      </c>
      <c r="I36" s="697">
        <f t="shared" si="5"/>
        <v>577338</v>
      </c>
      <c r="J36" s="53">
        <f t="shared" si="6"/>
        <v>600776</v>
      </c>
      <c r="K36" s="50">
        <f t="shared" si="11"/>
        <v>171356</v>
      </c>
      <c r="L36" s="51">
        <f t="shared" si="12"/>
        <v>162057</v>
      </c>
      <c r="M36" s="87">
        <v>8811</v>
      </c>
      <c r="N36" s="87">
        <v>8771</v>
      </c>
      <c r="O36" s="87">
        <v>8812</v>
      </c>
      <c r="P36" s="87">
        <v>9088</v>
      </c>
      <c r="Q36" s="87">
        <v>9201</v>
      </c>
      <c r="R36" s="87">
        <v>9388</v>
      </c>
      <c r="S36" s="87">
        <v>9684</v>
      </c>
      <c r="T36" s="87">
        <v>9463</v>
      </c>
      <c r="U36" s="87">
        <v>9775</v>
      </c>
      <c r="V36" s="87">
        <v>10142</v>
      </c>
      <c r="W36" s="87">
        <v>10109</v>
      </c>
      <c r="X36" s="87">
        <v>10033</v>
      </c>
      <c r="Y36" s="87">
        <v>9873</v>
      </c>
      <c r="Z36" s="87">
        <v>9773</v>
      </c>
      <c r="AA36" s="87">
        <v>10063</v>
      </c>
      <c r="AB36" s="87">
        <v>9238</v>
      </c>
      <c r="AC36" s="87">
        <v>9514</v>
      </c>
      <c r="AD36" s="87">
        <v>9618</v>
      </c>
      <c r="AE36" s="87">
        <v>9458</v>
      </c>
      <c r="AF36" s="87">
        <v>7875</v>
      </c>
      <c r="AG36" s="87">
        <v>8214</v>
      </c>
      <c r="AH36" s="87">
        <v>8421</v>
      </c>
      <c r="AI36" s="87">
        <v>8574</v>
      </c>
      <c r="AJ36" s="87">
        <v>8955</v>
      </c>
      <c r="AK36" s="87">
        <v>8924</v>
      </c>
      <c r="AL36" s="87">
        <v>9279</v>
      </c>
      <c r="AM36" s="87">
        <v>9072</v>
      </c>
      <c r="AN36" s="87">
        <v>9166</v>
      </c>
      <c r="AO36" s="87">
        <v>9081</v>
      </c>
      <c r="AP36" s="87">
        <v>9563</v>
      </c>
      <c r="AQ36" s="87">
        <v>9493</v>
      </c>
      <c r="AR36" s="87">
        <v>9787</v>
      </c>
      <c r="AS36" s="87">
        <v>9673</v>
      </c>
      <c r="AT36" s="87">
        <v>9377</v>
      </c>
      <c r="AU36" s="87">
        <v>9590</v>
      </c>
      <c r="AV36" s="87">
        <v>9466</v>
      </c>
      <c r="AW36" s="87">
        <v>9287</v>
      </c>
      <c r="AX36" s="87">
        <v>9452</v>
      </c>
      <c r="AY36" s="87">
        <v>8993</v>
      </c>
      <c r="AZ36" s="87">
        <v>9199</v>
      </c>
      <c r="BA36" s="87">
        <v>8941</v>
      </c>
      <c r="BB36" s="87">
        <v>9113</v>
      </c>
      <c r="BC36" s="87">
        <v>9384</v>
      </c>
      <c r="BD36" s="87">
        <v>8937</v>
      </c>
      <c r="BE36" s="87">
        <v>8386</v>
      </c>
      <c r="BF36" s="87">
        <v>8025</v>
      </c>
      <c r="BG36" s="87">
        <v>8458</v>
      </c>
      <c r="BH36" s="87">
        <v>8409</v>
      </c>
      <c r="BI36" s="87">
        <v>8669</v>
      </c>
      <c r="BJ36" s="87">
        <v>8878</v>
      </c>
      <c r="BK36" s="87">
        <v>9235</v>
      </c>
      <c r="BL36" s="87">
        <v>9353</v>
      </c>
      <c r="BM36" s="87">
        <v>9437</v>
      </c>
      <c r="BN36" s="87">
        <v>9303</v>
      </c>
      <c r="BO36" s="87">
        <v>9469</v>
      </c>
      <c r="BP36" s="87">
        <v>9336</v>
      </c>
      <c r="BQ36" s="87">
        <v>8821</v>
      </c>
      <c r="BR36" s="87">
        <v>8449</v>
      </c>
      <c r="BS36" s="87">
        <v>8425</v>
      </c>
      <c r="BT36" s="87">
        <v>8274</v>
      </c>
      <c r="BU36" s="87">
        <v>8091</v>
      </c>
      <c r="BV36" s="87">
        <v>7757</v>
      </c>
      <c r="BW36" s="87">
        <v>7215</v>
      </c>
      <c r="BX36" s="87">
        <v>6884</v>
      </c>
      <c r="BY36" s="87">
        <v>6968</v>
      </c>
      <c r="BZ36" s="87">
        <v>6654</v>
      </c>
      <c r="CA36" s="87">
        <v>6108</v>
      </c>
      <c r="CB36" s="87">
        <v>5926</v>
      </c>
      <c r="CC36" s="87">
        <v>5742</v>
      </c>
      <c r="CD36" s="87">
        <v>5777</v>
      </c>
      <c r="CE36" s="87">
        <v>5507</v>
      </c>
      <c r="CF36" s="87">
        <v>5352</v>
      </c>
      <c r="CG36" s="87">
        <v>5150</v>
      </c>
      <c r="CH36" s="87">
        <v>5128</v>
      </c>
      <c r="CI36" s="87">
        <v>5255</v>
      </c>
      <c r="CJ36" s="87">
        <v>5398</v>
      </c>
      <c r="CK36" s="87">
        <v>4188</v>
      </c>
      <c r="CL36" s="87">
        <v>4127</v>
      </c>
      <c r="CM36" s="87">
        <v>4102</v>
      </c>
      <c r="CN36" s="87">
        <v>3842</v>
      </c>
      <c r="CO36" s="87">
        <v>3392</v>
      </c>
      <c r="CP36" s="87">
        <v>2891</v>
      </c>
      <c r="CQ36" s="87">
        <v>2903</v>
      </c>
      <c r="CR36" s="87">
        <v>2579</v>
      </c>
      <c r="CS36" s="87">
        <v>2482</v>
      </c>
      <c r="CT36" s="87">
        <v>2149</v>
      </c>
      <c r="CU36" s="87">
        <v>1865</v>
      </c>
      <c r="CV36" s="87">
        <v>1665</v>
      </c>
      <c r="CW36" s="87">
        <v>1313</v>
      </c>
      <c r="CX36" s="87">
        <v>1109</v>
      </c>
      <c r="CY36" s="87">
        <v>3539</v>
      </c>
      <c r="CZ36" s="88">
        <v>8455</v>
      </c>
      <c r="DA36" s="88">
        <v>8038</v>
      </c>
      <c r="DB36" s="88">
        <v>8593</v>
      </c>
      <c r="DC36" s="88">
        <v>8541</v>
      </c>
      <c r="DD36" s="88">
        <v>8793</v>
      </c>
      <c r="DE36" s="88">
        <v>9056</v>
      </c>
      <c r="DF36" s="88">
        <v>9207</v>
      </c>
      <c r="DG36" s="88">
        <v>9027</v>
      </c>
      <c r="DH36" s="88">
        <v>9173</v>
      </c>
      <c r="DI36" s="88">
        <v>9425</v>
      </c>
      <c r="DJ36" s="88">
        <v>9601</v>
      </c>
      <c r="DK36" s="88">
        <v>9535</v>
      </c>
      <c r="DL36" s="88">
        <v>9164</v>
      </c>
      <c r="DM36" s="88">
        <v>9344</v>
      </c>
      <c r="DN36" s="88">
        <v>9287</v>
      </c>
      <c r="DO36" s="88">
        <v>9089</v>
      </c>
      <c r="DP36" s="88">
        <v>8932</v>
      </c>
      <c r="DQ36" s="88">
        <v>8797</v>
      </c>
      <c r="DR36" s="88">
        <v>8332</v>
      </c>
      <c r="DS36" s="88">
        <v>7226</v>
      </c>
      <c r="DT36" s="88">
        <v>7520</v>
      </c>
      <c r="DU36" s="88">
        <v>7758</v>
      </c>
      <c r="DV36" s="88">
        <v>8107</v>
      </c>
      <c r="DW36" s="88">
        <v>8613</v>
      </c>
      <c r="DX36" s="88">
        <v>8935</v>
      </c>
      <c r="DY36" s="88">
        <v>9156</v>
      </c>
      <c r="DZ36" s="88">
        <v>9135</v>
      </c>
      <c r="EA36" s="88">
        <v>9202</v>
      </c>
      <c r="EB36" s="88">
        <v>9795</v>
      </c>
      <c r="EC36" s="88">
        <v>10007</v>
      </c>
      <c r="ED36" s="88">
        <v>10275</v>
      </c>
      <c r="EE36" s="88">
        <v>10345</v>
      </c>
      <c r="EF36" s="88">
        <v>10237</v>
      </c>
      <c r="EG36" s="88">
        <v>10256</v>
      </c>
      <c r="EH36" s="88">
        <v>10397</v>
      </c>
      <c r="EI36" s="88">
        <v>10497</v>
      </c>
      <c r="EJ36" s="88">
        <v>10109</v>
      </c>
      <c r="EK36" s="88">
        <v>10289</v>
      </c>
      <c r="EL36" s="88">
        <v>9946</v>
      </c>
      <c r="EM36" s="88">
        <v>10118</v>
      </c>
      <c r="EN36" s="88">
        <v>9756</v>
      </c>
      <c r="EO36" s="88">
        <v>9617</v>
      </c>
      <c r="EP36" s="88">
        <v>9916</v>
      </c>
      <c r="EQ36" s="88">
        <v>9145</v>
      </c>
      <c r="ER36" s="88">
        <v>8349</v>
      </c>
      <c r="ES36" s="88">
        <v>8320</v>
      </c>
      <c r="ET36" s="88">
        <v>8275</v>
      </c>
      <c r="EU36" s="88">
        <v>8206</v>
      </c>
      <c r="EV36" s="88">
        <v>8238</v>
      </c>
      <c r="EW36" s="88">
        <v>8736</v>
      </c>
      <c r="EX36" s="88">
        <v>9142</v>
      </c>
      <c r="EY36" s="88">
        <v>9555</v>
      </c>
      <c r="EZ36" s="88">
        <v>9467</v>
      </c>
      <c r="FA36" s="88">
        <v>9131</v>
      </c>
      <c r="FB36" s="88">
        <v>9062</v>
      </c>
      <c r="FC36" s="88">
        <v>9036</v>
      </c>
      <c r="FD36" s="88">
        <v>8747</v>
      </c>
      <c r="FE36" s="88">
        <v>9023</v>
      </c>
      <c r="FF36" s="88">
        <v>8709</v>
      </c>
      <c r="FG36" s="88">
        <v>8402</v>
      </c>
      <c r="FH36" s="88">
        <v>8309</v>
      </c>
      <c r="FI36" s="88">
        <v>7808</v>
      </c>
      <c r="FJ36" s="88">
        <v>7401</v>
      </c>
      <c r="FK36" s="88">
        <v>7082</v>
      </c>
      <c r="FL36" s="88">
        <v>6968</v>
      </c>
      <c r="FM36" s="88">
        <v>6756</v>
      </c>
      <c r="FN36" s="88">
        <v>6519</v>
      </c>
      <c r="FO36" s="88">
        <v>6114</v>
      </c>
      <c r="FP36" s="88">
        <v>6143</v>
      </c>
      <c r="FQ36" s="88">
        <v>5879</v>
      </c>
      <c r="FR36" s="88">
        <v>5913</v>
      </c>
      <c r="FS36" s="88">
        <v>5806</v>
      </c>
      <c r="FT36" s="88">
        <v>5877</v>
      </c>
      <c r="FU36" s="88">
        <v>5656</v>
      </c>
      <c r="FV36" s="88">
        <v>5722</v>
      </c>
      <c r="FW36" s="88">
        <v>5827</v>
      </c>
      <c r="FX36" s="88">
        <v>4704</v>
      </c>
      <c r="FY36" s="88">
        <v>4779</v>
      </c>
      <c r="FZ36" s="88">
        <v>5079</v>
      </c>
      <c r="GA36" s="88">
        <v>4699</v>
      </c>
      <c r="GB36" s="88">
        <v>4104</v>
      </c>
      <c r="GC36" s="88">
        <v>3626</v>
      </c>
      <c r="GD36" s="88">
        <v>3675</v>
      </c>
      <c r="GE36" s="88">
        <v>3520</v>
      </c>
      <c r="GF36" s="88">
        <v>3384</v>
      </c>
      <c r="GG36" s="88">
        <v>2997</v>
      </c>
      <c r="GH36" s="88">
        <v>2861</v>
      </c>
      <c r="GI36" s="88">
        <v>2505</v>
      </c>
      <c r="GJ36" s="88">
        <v>2085</v>
      </c>
      <c r="GK36" s="88">
        <v>1845</v>
      </c>
      <c r="GL36" s="89">
        <v>7433</v>
      </c>
    </row>
    <row r="37" spans="1:194" s="1" customFormat="1" x14ac:dyDescent="0.2">
      <c r="A37" s="90" t="s">
        <v>94</v>
      </c>
      <c r="B37" s="146" t="s">
        <v>122</v>
      </c>
      <c r="C37" s="30" t="str">
        <f t="shared" si="4"/>
        <v xml:space="preserve">England – CCGs - Blackburn with Darwen </v>
      </c>
      <c r="D37" s="51">
        <f t="shared" si="7"/>
        <v>64222</v>
      </c>
      <c r="E37" s="51">
        <f t="shared" si="7"/>
        <v>65690</v>
      </c>
      <c r="F37" s="52">
        <f t="shared" si="8"/>
        <v>155762</v>
      </c>
      <c r="G37" s="52">
        <f t="shared" si="9"/>
        <v>77331</v>
      </c>
      <c r="H37" s="52">
        <f t="shared" si="10"/>
        <v>78431</v>
      </c>
      <c r="I37" s="697">
        <f t="shared" si="5"/>
        <v>64222</v>
      </c>
      <c r="J37" s="53">
        <f t="shared" si="6"/>
        <v>65690</v>
      </c>
      <c r="K37" s="50">
        <f t="shared" si="11"/>
        <v>20273</v>
      </c>
      <c r="L37" s="51">
        <f t="shared" si="12"/>
        <v>19727</v>
      </c>
      <c r="M37" s="87">
        <v>977</v>
      </c>
      <c r="N37" s="87">
        <v>978</v>
      </c>
      <c r="O37" s="87">
        <v>991</v>
      </c>
      <c r="P37" s="87">
        <v>1074</v>
      </c>
      <c r="Q37" s="87">
        <v>984</v>
      </c>
      <c r="R37" s="87">
        <v>1091</v>
      </c>
      <c r="S37" s="87">
        <v>1153</v>
      </c>
      <c r="T37" s="87">
        <v>1114</v>
      </c>
      <c r="U37" s="87">
        <v>1111</v>
      </c>
      <c r="V37" s="87">
        <v>1200</v>
      </c>
      <c r="W37" s="87">
        <v>1208</v>
      </c>
      <c r="X37" s="87">
        <v>1228</v>
      </c>
      <c r="Y37" s="87">
        <v>1238</v>
      </c>
      <c r="Z37" s="87">
        <v>1234</v>
      </c>
      <c r="AA37" s="87">
        <v>1189</v>
      </c>
      <c r="AB37" s="87">
        <v>1130</v>
      </c>
      <c r="AC37" s="87">
        <v>1186</v>
      </c>
      <c r="AD37" s="87">
        <v>1187</v>
      </c>
      <c r="AE37" s="87">
        <v>1119</v>
      </c>
      <c r="AF37" s="87">
        <v>1049</v>
      </c>
      <c r="AG37" s="87">
        <v>994</v>
      </c>
      <c r="AH37" s="87">
        <v>942</v>
      </c>
      <c r="AI37" s="87">
        <v>976</v>
      </c>
      <c r="AJ37" s="87">
        <v>992</v>
      </c>
      <c r="AK37" s="87">
        <v>1008</v>
      </c>
      <c r="AL37" s="87">
        <v>991</v>
      </c>
      <c r="AM37" s="87">
        <v>947</v>
      </c>
      <c r="AN37" s="87">
        <v>1040</v>
      </c>
      <c r="AO37" s="87">
        <v>1027</v>
      </c>
      <c r="AP37" s="87">
        <v>963</v>
      </c>
      <c r="AQ37" s="87">
        <v>1021</v>
      </c>
      <c r="AR37" s="87">
        <v>1102</v>
      </c>
      <c r="AS37" s="87">
        <v>988</v>
      </c>
      <c r="AT37" s="87">
        <v>1010</v>
      </c>
      <c r="AU37" s="87">
        <v>1058</v>
      </c>
      <c r="AV37" s="87">
        <v>1014</v>
      </c>
      <c r="AW37" s="87">
        <v>1017</v>
      </c>
      <c r="AX37" s="87">
        <v>1066</v>
      </c>
      <c r="AY37" s="87">
        <v>1024</v>
      </c>
      <c r="AZ37" s="87">
        <v>1009</v>
      </c>
      <c r="BA37" s="87">
        <v>1078</v>
      </c>
      <c r="BB37" s="87">
        <v>1020</v>
      </c>
      <c r="BC37" s="87">
        <v>1074</v>
      </c>
      <c r="BD37" s="87">
        <v>1009</v>
      </c>
      <c r="BE37" s="87">
        <v>997</v>
      </c>
      <c r="BF37" s="87">
        <v>959</v>
      </c>
      <c r="BG37" s="87">
        <v>940</v>
      </c>
      <c r="BH37" s="87">
        <v>938</v>
      </c>
      <c r="BI37" s="87">
        <v>987</v>
      </c>
      <c r="BJ37" s="87">
        <v>996</v>
      </c>
      <c r="BK37" s="87">
        <v>1057</v>
      </c>
      <c r="BL37" s="87">
        <v>1011</v>
      </c>
      <c r="BM37" s="87">
        <v>1001</v>
      </c>
      <c r="BN37" s="87">
        <v>1067</v>
      </c>
      <c r="BO37" s="87">
        <v>1032</v>
      </c>
      <c r="BP37" s="87">
        <v>973</v>
      </c>
      <c r="BQ37" s="87">
        <v>942</v>
      </c>
      <c r="BR37" s="87">
        <v>977</v>
      </c>
      <c r="BS37" s="87">
        <v>921</v>
      </c>
      <c r="BT37" s="87">
        <v>904</v>
      </c>
      <c r="BU37" s="87">
        <v>904</v>
      </c>
      <c r="BV37" s="87">
        <v>836</v>
      </c>
      <c r="BW37" s="87">
        <v>821</v>
      </c>
      <c r="BX37" s="87">
        <v>819</v>
      </c>
      <c r="BY37" s="87">
        <v>723</v>
      </c>
      <c r="BZ37" s="87">
        <v>738</v>
      </c>
      <c r="CA37" s="87">
        <v>724</v>
      </c>
      <c r="CB37" s="87">
        <v>671</v>
      </c>
      <c r="CC37" s="87">
        <v>615</v>
      </c>
      <c r="CD37" s="87">
        <v>666</v>
      </c>
      <c r="CE37" s="87">
        <v>588</v>
      </c>
      <c r="CF37" s="87">
        <v>577</v>
      </c>
      <c r="CG37" s="87">
        <v>596</v>
      </c>
      <c r="CH37" s="87">
        <v>522</v>
      </c>
      <c r="CI37" s="87">
        <v>608</v>
      </c>
      <c r="CJ37" s="87">
        <v>622</v>
      </c>
      <c r="CK37" s="87">
        <v>408</v>
      </c>
      <c r="CL37" s="87">
        <v>393</v>
      </c>
      <c r="CM37" s="87">
        <v>377</v>
      </c>
      <c r="CN37" s="87">
        <v>336</v>
      </c>
      <c r="CO37" s="87">
        <v>301</v>
      </c>
      <c r="CP37" s="87">
        <v>277</v>
      </c>
      <c r="CQ37" s="87">
        <v>248</v>
      </c>
      <c r="CR37" s="87">
        <v>256</v>
      </c>
      <c r="CS37" s="87">
        <v>227</v>
      </c>
      <c r="CT37" s="87">
        <v>176</v>
      </c>
      <c r="CU37" s="87">
        <v>152</v>
      </c>
      <c r="CV37" s="87">
        <v>150</v>
      </c>
      <c r="CW37" s="87">
        <v>99</v>
      </c>
      <c r="CX37" s="87">
        <v>108</v>
      </c>
      <c r="CY37" s="87">
        <v>280</v>
      </c>
      <c r="CZ37" s="88">
        <v>927</v>
      </c>
      <c r="DA37" s="88">
        <v>982</v>
      </c>
      <c r="DB37" s="88">
        <v>1027</v>
      </c>
      <c r="DC37" s="88">
        <v>1022</v>
      </c>
      <c r="DD37" s="88">
        <v>1040</v>
      </c>
      <c r="DE37" s="88">
        <v>1045</v>
      </c>
      <c r="DF37" s="88">
        <v>1109</v>
      </c>
      <c r="DG37" s="88">
        <v>1124</v>
      </c>
      <c r="DH37" s="88">
        <v>1057</v>
      </c>
      <c r="DI37" s="88">
        <v>1072</v>
      </c>
      <c r="DJ37" s="88">
        <v>1160</v>
      </c>
      <c r="DK37" s="88">
        <v>1176</v>
      </c>
      <c r="DL37" s="88">
        <v>1130</v>
      </c>
      <c r="DM37" s="88">
        <v>1215</v>
      </c>
      <c r="DN37" s="88">
        <v>1218</v>
      </c>
      <c r="DO37" s="88">
        <v>1180</v>
      </c>
      <c r="DP37" s="88">
        <v>1148</v>
      </c>
      <c r="DQ37" s="88">
        <v>1095</v>
      </c>
      <c r="DR37" s="88">
        <v>1059</v>
      </c>
      <c r="DS37" s="88">
        <v>820</v>
      </c>
      <c r="DT37" s="88">
        <v>857</v>
      </c>
      <c r="DU37" s="88">
        <v>847</v>
      </c>
      <c r="DV37" s="88">
        <v>898</v>
      </c>
      <c r="DW37" s="88">
        <v>988</v>
      </c>
      <c r="DX37" s="88">
        <v>1025</v>
      </c>
      <c r="DY37" s="88">
        <v>945</v>
      </c>
      <c r="DZ37" s="88">
        <v>971</v>
      </c>
      <c r="EA37" s="88">
        <v>981</v>
      </c>
      <c r="EB37" s="88">
        <v>1027</v>
      </c>
      <c r="EC37" s="88">
        <v>1040</v>
      </c>
      <c r="ED37" s="88">
        <v>1042</v>
      </c>
      <c r="EE37" s="88">
        <v>1090</v>
      </c>
      <c r="EF37" s="88">
        <v>1057</v>
      </c>
      <c r="EG37" s="88">
        <v>1130</v>
      </c>
      <c r="EH37" s="88">
        <v>1166</v>
      </c>
      <c r="EI37" s="88">
        <v>1128</v>
      </c>
      <c r="EJ37" s="88">
        <v>1159</v>
      </c>
      <c r="EK37" s="88">
        <v>1159</v>
      </c>
      <c r="EL37" s="88">
        <v>1120</v>
      </c>
      <c r="EM37" s="88">
        <v>1130</v>
      </c>
      <c r="EN37" s="88">
        <v>1160</v>
      </c>
      <c r="EO37" s="88">
        <v>1142</v>
      </c>
      <c r="EP37" s="88">
        <v>1120</v>
      </c>
      <c r="EQ37" s="88">
        <v>1041</v>
      </c>
      <c r="ER37" s="88">
        <v>929</v>
      </c>
      <c r="ES37" s="88">
        <v>851</v>
      </c>
      <c r="ET37" s="88">
        <v>929</v>
      </c>
      <c r="EU37" s="88">
        <v>959</v>
      </c>
      <c r="EV37" s="88">
        <v>935</v>
      </c>
      <c r="EW37" s="88">
        <v>1036</v>
      </c>
      <c r="EX37" s="88">
        <v>1030</v>
      </c>
      <c r="EY37" s="88">
        <v>1046</v>
      </c>
      <c r="EZ37" s="88">
        <v>1021</v>
      </c>
      <c r="FA37" s="88">
        <v>1029</v>
      </c>
      <c r="FB37" s="88">
        <v>1016</v>
      </c>
      <c r="FC37" s="88">
        <v>952</v>
      </c>
      <c r="FD37" s="88">
        <v>962</v>
      </c>
      <c r="FE37" s="88">
        <v>947</v>
      </c>
      <c r="FF37" s="88">
        <v>907</v>
      </c>
      <c r="FG37" s="88">
        <v>929</v>
      </c>
      <c r="FH37" s="88">
        <v>877</v>
      </c>
      <c r="FI37" s="88">
        <v>865</v>
      </c>
      <c r="FJ37" s="88">
        <v>832</v>
      </c>
      <c r="FK37" s="88">
        <v>780</v>
      </c>
      <c r="FL37" s="88">
        <v>735</v>
      </c>
      <c r="FM37" s="88">
        <v>715</v>
      </c>
      <c r="FN37" s="88">
        <v>700</v>
      </c>
      <c r="FO37" s="88">
        <v>716</v>
      </c>
      <c r="FP37" s="88">
        <v>628</v>
      </c>
      <c r="FQ37" s="88">
        <v>669</v>
      </c>
      <c r="FR37" s="88">
        <v>622</v>
      </c>
      <c r="FS37" s="88">
        <v>573</v>
      </c>
      <c r="FT37" s="88">
        <v>582</v>
      </c>
      <c r="FU37" s="88">
        <v>635</v>
      </c>
      <c r="FV37" s="88">
        <v>617</v>
      </c>
      <c r="FW37" s="88">
        <v>661</v>
      </c>
      <c r="FX37" s="88">
        <v>486</v>
      </c>
      <c r="FY37" s="88">
        <v>436</v>
      </c>
      <c r="FZ37" s="88">
        <v>433</v>
      </c>
      <c r="GA37" s="88">
        <v>385</v>
      </c>
      <c r="GB37" s="88">
        <v>345</v>
      </c>
      <c r="GC37" s="88">
        <v>293</v>
      </c>
      <c r="GD37" s="88">
        <v>313</v>
      </c>
      <c r="GE37" s="88">
        <v>321</v>
      </c>
      <c r="GF37" s="88">
        <v>298</v>
      </c>
      <c r="GG37" s="88">
        <v>225</v>
      </c>
      <c r="GH37" s="88">
        <v>221</v>
      </c>
      <c r="GI37" s="88">
        <v>186</v>
      </c>
      <c r="GJ37" s="88">
        <v>178</v>
      </c>
      <c r="GK37" s="88">
        <v>152</v>
      </c>
      <c r="GL37" s="89">
        <v>645</v>
      </c>
    </row>
    <row r="38" spans="1:194" s="1" customFormat="1" x14ac:dyDescent="0.2">
      <c r="A38" s="90" t="s">
        <v>94</v>
      </c>
      <c r="B38" s="146" t="s">
        <v>123</v>
      </c>
      <c r="C38" s="30" t="str">
        <f t="shared" si="4"/>
        <v xml:space="preserve">England – CCGs - Blackpool </v>
      </c>
      <c r="D38" s="51">
        <f t="shared" si="7"/>
        <v>60641</v>
      </c>
      <c r="E38" s="51">
        <f t="shared" si="7"/>
        <v>62397</v>
      </c>
      <c r="F38" s="52">
        <f t="shared" si="8"/>
        <v>141574</v>
      </c>
      <c r="G38" s="52">
        <f t="shared" si="9"/>
        <v>70014</v>
      </c>
      <c r="H38" s="52">
        <f t="shared" si="10"/>
        <v>71560</v>
      </c>
      <c r="I38" s="697">
        <f t="shared" si="5"/>
        <v>60641</v>
      </c>
      <c r="J38" s="53">
        <f t="shared" si="6"/>
        <v>62397</v>
      </c>
      <c r="K38" s="50">
        <f t="shared" si="11"/>
        <v>14452</v>
      </c>
      <c r="L38" s="51">
        <f t="shared" si="12"/>
        <v>13777</v>
      </c>
      <c r="M38" s="87">
        <v>741</v>
      </c>
      <c r="N38" s="87">
        <v>682</v>
      </c>
      <c r="O38" s="87">
        <v>721</v>
      </c>
      <c r="P38" s="87">
        <v>808</v>
      </c>
      <c r="Q38" s="87">
        <v>771</v>
      </c>
      <c r="R38" s="87">
        <v>821</v>
      </c>
      <c r="S38" s="87">
        <v>786</v>
      </c>
      <c r="T38" s="87">
        <v>787</v>
      </c>
      <c r="U38" s="87">
        <v>823</v>
      </c>
      <c r="V38" s="87">
        <v>858</v>
      </c>
      <c r="W38" s="87">
        <v>830</v>
      </c>
      <c r="X38" s="87">
        <v>745</v>
      </c>
      <c r="Y38" s="87">
        <v>848</v>
      </c>
      <c r="Z38" s="87">
        <v>844</v>
      </c>
      <c r="AA38" s="87">
        <v>879</v>
      </c>
      <c r="AB38" s="87">
        <v>826</v>
      </c>
      <c r="AC38" s="87">
        <v>836</v>
      </c>
      <c r="AD38" s="87">
        <v>846</v>
      </c>
      <c r="AE38" s="87">
        <v>821</v>
      </c>
      <c r="AF38" s="87">
        <v>664</v>
      </c>
      <c r="AG38" s="87">
        <v>658</v>
      </c>
      <c r="AH38" s="87">
        <v>709</v>
      </c>
      <c r="AI38" s="87">
        <v>728</v>
      </c>
      <c r="AJ38" s="87">
        <v>738</v>
      </c>
      <c r="AK38" s="87">
        <v>773</v>
      </c>
      <c r="AL38" s="87">
        <v>859</v>
      </c>
      <c r="AM38" s="87">
        <v>728</v>
      </c>
      <c r="AN38" s="87">
        <v>747</v>
      </c>
      <c r="AO38" s="87">
        <v>805</v>
      </c>
      <c r="AP38" s="87">
        <v>822</v>
      </c>
      <c r="AQ38" s="87">
        <v>879</v>
      </c>
      <c r="AR38" s="87">
        <v>954</v>
      </c>
      <c r="AS38" s="87">
        <v>945</v>
      </c>
      <c r="AT38" s="87">
        <v>944</v>
      </c>
      <c r="AU38" s="87">
        <v>872</v>
      </c>
      <c r="AV38" s="87">
        <v>930</v>
      </c>
      <c r="AW38" s="87">
        <v>894</v>
      </c>
      <c r="AX38" s="87">
        <v>855</v>
      </c>
      <c r="AY38" s="87">
        <v>806</v>
      </c>
      <c r="AZ38" s="87">
        <v>856</v>
      </c>
      <c r="BA38" s="87">
        <v>788</v>
      </c>
      <c r="BB38" s="87">
        <v>778</v>
      </c>
      <c r="BC38" s="87">
        <v>864</v>
      </c>
      <c r="BD38" s="87">
        <v>788</v>
      </c>
      <c r="BE38" s="87">
        <v>701</v>
      </c>
      <c r="BF38" s="87">
        <v>760</v>
      </c>
      <c r="BG38" s="87">
        <v>772</v>
      </c>
      <c r="BH38" s="87">
        <v>754</v>
      </c>
      <c r="BI38" s="87">
        <v>787</v>
      </c>
      <c r="BJ38" s="87">
        <v>885</v>
      </c>
      <c r="BK38" s="87">
        <v>977</v>
      </c>
      <c r="BL38" s="87">
        <v>1012</v>
      </c>
      <c r="BM38" s="87">
        <v>1049</v>
      </c>
      <c r="BN38" s="87">
        <v>1090</v>
      </c>
      <c r="BO38" s="87">
        <v>1063</v>
      </c>
      <c r="BP38" s="87">
        <v>1150</v>
      </c>
      <c r="BQ38" s="87">
        <v>1140</v>
      </c>
      <c r="BR38" s="87">
        <v>1075</v>
      </c>
      <c r="BS38" s="87">
        <v>1169</v>
      </c>
      <c r="BT38" s="87">
        <v>1095</v>
      </c>
      <c r="BU38" s="87">
        <v>1113</v>
      </c>
      <c r="BV38" s="87">
        <v>1048</v>
      </c>
      <c r="BW38" s="87">
        <v>1016</v>
      </c>
      <c r="BX38" s="87">
        <v>962</v>
      </c>
      <c r="BY38" s="87">
        <v>945</v>
      </c>
      <c r="BZ38" s="87">
        <v>883</v>
      </c>
      <c r="CA38" s="87">
        <v>910</v>
      </c>
      <c r="CB38" s="87">
        <v>777</v>
      </c>
      <c r="CC38" s="87">
        <v>733</v>
      </c>
      <c r="CD38" s="87">
        <v>741</v>
      </c>
      <c r="CE38" s="87">
        <v>691</v>
      </c>
      <c r="CF38" s="87">
        <v>672</v>
      </c>
      <c r="CG38" s="87">
        <v>677</v>
      </c>
      <c r="CH38" s="87">
        <v>734</v>
      </c>
      <c r="CI38" s="87">
        <v>771</v>
      </c>
      <c r="CJ38" s="87">
        <v>824</v>
      </c>
      <c r="CK38" s="87">
        <v>626</v>
      </c>
      <c r="CL38" s="87">
        <v>552</v>
      </c>
      <c r="CM38" s="87">
        <v>544</v>
      </c>
      <c r="CN38" s="87">
        <v>493</v>
      </c>
      <c r="CO38" s="87">
        <v>394</v>
      </c>
      <c r="CP38" s="87">
        <v>363</v>
      </c>
      <c r="CQ38" s="87">
        <v>344</v>
      </c>
      <c r="CR38" s="87">
        <v>366</v>
      </c>
      <c r="CS38" s="87">
        <v>304</v>
      </c>
      <c r="CT38" s="87">
        <v>251</v>
      </c>
      <c r="CU38" s="87">
        <v>239</v>
      </c>
      <c r="CV38" s="87">
        <v>182</v>
      </c>
      <c r="CW38" s="87">
        <v>144</v>
      </c>
      <c r="CX38" s="87">
        <v>140</v>
      </c>
      <c r="CY38" s="87">
        <v>439</v>
      </c>
      <c r="CZ38" s="88">
        <v>689</v>
      </c>
      <c r="DA38" s="88">
        <v>687</v>
      </c>
      <c r="DB38" s="88">
        <v>750</v>
      </c>
      <c r="DC38" s="88">
        <v>738</v>
      </c>
      <c r="DD38" s="88">
        <v>728</v>
      </c>
      <c r="DE38" s="88">
        <v>819</v>
      </c>
      <c r="DF38" s="88">
        <v>750</v>
      </c>
      <c r="DG38" s="88">
        <v>816</v>
      </c>
      <c r="DH38" s="88">
        <v>784</v>
      </c>
      <c r="DI38" s="88">
        <v>774</v>
      </c>
      <c r="DJ38" s="88">
        <v>828</v>
      </c>
      <c r="DK38" s="88">
        <v>800</v>
      </c>
      <c r="DL38" s="88">
        <v>808</v>
      </c>
      <c r="DM38" s="88">
        <v>790</v>
      </c>
      <c r="DN38" s="88">
        <v>748</v>
      </c>
      <c r="DO38" s="88">
        <v>722</v>
      </c>
      <c r="DP38" s="88">
        <v>741</v>
      </c>
      <c r="DQ38" s="88">
        <v>805</v>
      </c>
      <c r="DR38" s="88">
        <v>769</v>
      </c>
      <c r="DS38" s="88">
        <v>490</v>
      </c>
      <c r="DT38" s="88">
        <v>615</v>
      </c>
      <c r="DU38" s="88">
        <v>658</v>
      </c>
      <c r="DV38" s="88">
        <v>746</v>
      </c>
      <c r="DW38" s="88">
        <v>715</v>
      </c>
      <c r="DX38" s="88">
        <v>786</v>
      </c>
      <c r="DY38" s="88">
        <v>858</v>
      </c>
      <c r="DZ38" s="88">
        <v>860</v>
      </c>
      <c r="EA38" s="88">
        <v>855</v>
      </c>
      <c r="EB38" s="88">
        <v>901</v>
      </c>
      <c r="EC38" s="88">
        <v>941</v>
      </c>
      <c r="ED38" s="88">
        <v>958</v>
      </c>
      <c r="EE38" s="88">
        <v>1010</v>
      </c>
      <c r="EF38" s="88">
        <v>987</v>
      </c>
      <c r="EG38" s="88">
        <v>940</v>
      </c>
      <c r="EH38" s="88">
        <v>1022</v>
      </c>
      <c r="EI38" s="88">
        <v>996</v>
      </c>
      <c r="EJ38" s="88">
        <v>979</v>
      </c>
      <c r="EK38" s="88">
        <v>941</v>
      </c>
      <c r="EL38" s="88">
        <v>850</v>
      </c>
      <c r="EM38" s="88">
        <v>872</v>
      </c>
      <c r="EN38" s="88">
        <v>812</v>
      </c>
      <c r="EO38" s="88">
        <v>784</v>
      </c>
      <c r="EP38" s="88">
        <v>844</v>
      </c>
      <c r="EQ38" s="88">
        <v>773</v>
      </c>
      <c r="ER38" s="88">
        <v>728</v>
      </c>
      <c r="ES38" s="88">
        <v>693</v>
      </c>
      <c r="ET38" s="88">
        <v>777</v>
      </c>
      <c r="EU38" s="88">
        <v>798</v>
      </c>
      <c r="EV38" s="88">
        <v>837</v>
      </c>
      <c r="EW38" s="88">
        <v>939</v>
      </c>
      <c r="EX38" s="88">
        <v>949</v>
      </c>
      <c r="EY38" s="88">
        <v>1010</v>
      </c>
      <c r="EZ38" s="88">
        <v>982</v>
      </c>
      <c r="FA38" s="88">
        <v>1125</v>
      </c>
      <c r="FB38" s="88">
        <v>1058</v>
      </c>
      <c r="FC38" s="88">
        <v>1048</v>
      </c>
      <c r="FD38" s="88">
        <v>1106</v>
      </c>
      <c r="FE38" s="88">
        <v>1071</v>
      </c>
      <c r="FF38" s="88">
        <v>1112</v>
      </c>
      <c r="FG38" s="88">
        <v>1096</v>
      </c>
      <c r="FH38" s="88">
        <v>1084</v>
      </c>
      <c r="FI38" s="88">
        <v>994</v>
      </c>
      <c r="FJ38" s="88">
        <v>896</v>
      </c>
      <c r="FK38" s="88">
        <v>948</v>
      </c>
      <c r="FL38" s="88">
        <v>899</v>
      </c>
      <c r="FM38" s="88">
        <v>833</v>
      </c>
      <c r="FN38" s="88">
        <v>858</v>
      </c>
      <c r="FO38" s="88">
        <v>758</v>
      </c>
      <c r="FP38" s="88">
        <v>751</v>
      </c>
      <c r="FQ38" s="88">
        <v>692</v>
      </c>
      <c r="FR38" s="88">
        <v>721</v>
      </c>
      <c r="FS38" s="88">
        <v>714</v>
      </c>
      <c r="FT38" s="88">
        <v>716</v>
      </c>
      <c r="FU38" s="88">
        <v>776</v>
      </c>
      <c r="FV38" s="88">
        <v>808</v>
      </c>
      <c r="FW38" s="88">
        <v>857</v>
      </c>
      <c r="FX38" s="88">
        <v>674</v>
      </c>
      <c r="FY38" s="88">
        <v>632</v>
      </c>
      <c r="FZ38" s="88">
        <v>596</v>
      </c>
      <c r="GA38" s="88">
        <v>604</v>
      </c>
      <c r="GB38" s="88">
        <v>492</v>
      </c>
      <c r="GC38" s="88">
        <v>494</v>
      </c>
      <c r="GD38" s="88">
        <v>465</v>
      </c>
      <c r="GE38" s="88">
        <v>443</v>
      </c>
      <c r="GF38" s="88">
        <v>375</v>
      </c>
      <c r="GG38" s="88">
        <v>420</v>
      </c>
      <c r="GH38" s="88">
        <v>361</v>
      </c>
      <c r="GI38" s="88">
        <v>319</v>
      </c>
      <c r="GJ38" s="88">
        <v>251</v>
      </c>
      <c r="GK38" s="88">
        <v>180</v>
      </c>
      <c r="GL38" s="89">
        <v>881</v>
      </c>
    </row>
    <row r="39" spans="1:194" s="1" customFormat="1" x14ac:dyDescent="0.2">
      <c r="A39" s="90" t="s">
        <v>94</v>
      </c>
      <c r="B39" s="146" t="s">
        <v>124</v>
      </c>
      <c r="C39" s="30" t="str">
        <f t="shared" si="4"/>
        <v xml:space="preserve">England – CCGs - Bolton </v>
      </c>
      <c r="D39" s="51">
        <f t="shared" si="7"/>
        <v>123561</v>
      </c>
      <c r="E39" s="51">
        <f t="shared" si="7"/>
        <v>127822</v>
      </c>
      <c r="F39" s="52">
        <f t="shared" si="8"/>
        <v>298903</v>
      </c>
      <c r="G39" s="52">
        <f t="shared" si="9"/>
        <v>147723</v>
      </c>
      <c r="H39" s="52">
        <f t="shared" si="10"/>
        <v>151180</v>
      </c>
      <c r="I39" s="697">
        <f t="shared" si="5"/>
        <v>123561</v>
      </c>
      <c r="J39" s="53">
        <f t="shared" si="6"/>
        <v>127822</v>
      </c>
      <c r="K39" s="50">
        <f t="shared" si="11"/>
        <v>37165</v>
      </c>
      <c r="L39" s="51">
        <f t="shared" si="12"/>
        <v>35293</v>
      </c>
      <c r="M39" s="87">
        <v>1854</v>
      </c>
      <c r="N39" s="87">
        <v>1831</v>
      </c>
      <c r="O39" s="87">
        <v>1935</v>
      </c>
      <c r="P39" s="87">
        <v>1883</v>
      </c>
      <c r="Q39" s="87">
        <v>1835</v>
      </c>
      <c r="R39" s="87">
        <v>1996</v>
      </c>
      <c r="S39" s="87">
        <v>2048</v>
      </c>
      <c r="T39" s="87">
        <v>2080</v>
      </c>
      <c r="U39" s="87">
        <v>2115</v>
      </c>
      <c r="V39" s="87">
        <v>2189</v>
      </c>
      <c r="W39" s="87">
        <v>2215</v>
      </c>
      <c r="X39" s="87">
        <v>2181</v>
      </c>
      <c r="Y39" s="87">
        <v>2214</v>
      </c>
      <c r="Z39" s="87">
        <v>2254</v>
      </c>
      <c r="AA39" s="87">
        <v>2199</v>
      </c>
      <c r="AB39" s="87">
        <v>2079</v>
      </c>
      <c r="AC39" s="87">
        <v>2210</v>
      </c>
      <c r="AD39" s="87">
        <v>2047</v>
      </c>
      <c r="AE39" s="87">
        <v>2031</v>
      </c>
      <c r="AF39" s="87">
        <v>1577</v>
      </c>
      <c r="AG39" s="87">
        <v>1703</v>
      </c>
      <c r="AH39" s="87">
        <v>1667</v>
      </c>
      <c r="AI39" s="87">
        <v>1743</v>
      </c>
      <c r="AJ39" s="87">
        <v>1771</v>
      </c>
      <c r="AK39" s="87">
        <v>1864</v>
      </c>
      <c r="AL39" s="87">
        <v>1845</v>
      </c>
      <c r="AM39" s="87">
        <v>1781</v>
      </c>
      <c r="AN39" s="87">
        <v>1683</v>
      </c>
      <c r="AO39" s="87">
        <v>1807</v>
      </c>
      <c r="AP39" s="87">
        <v>1763</v>
      </c>
      <c r="AQ39" s="87">
        <v>1847</v>
      </c>
      <c r="AR39" s="87">
        <v>1817</v>
      </c>
      <c r="AS39" s="87">
        <v>1909</v>
      </c>
      <c r="AT39" s="87">
        <v>1985</v>
      </c>
      <c r="AU39" s="87">
        <v>1934</v>
      </c>
      <c r="AV39" s="87">
        <v>1821</v>
      </c>
      <c r="AW39" s="87">
        <v>2017</v>
      </c>
      <c r="AX39" s="87">
        <v>2064</v>
      </c>
      <c r="AY39" s="87">
        <v>1942</v>
      </c>
      <c r="AZ39" s="87">
        <v>1939</v>
      </c>
      <c r="BA39" s="87">
        <v>1826</v>
      </c>
      <c r="BB39" s="87">
        <v>1905</v>
      </c>
      <c r="BC39" s="87">
        <v>1986</v>
      </c>
      <c r="BD39" s="87">
        <v>1840</v>
      </c>
      <c r="BE39" s="87">
        <v>1759</v>
      </c>
      <c r="BF39" s="87">
        <v>1753</v>
      </c>
      <c r="BG39" s="87">
        <v>1740</v>
      </c>
      <c r="BH39" s="87">
        <v>1773</v>
      </c>
      <c r="BI39" s="87">
        <v>1820</v>
      </c>
      <c r="BJ39" s="87">
        <v>1928</v>
      </c>
      <c r="BK39" s="87">
        <v>2023</v>
      </c>
      <c r="BL39" s="87">
        <v>2014</v>
      </c>
      <c r="BM39" s="87">
        <v>1997</v>
      </c>
      <c r="BN39" s="87">
        <v>2046</v>
      </c>
      <c r="BO39" s="87">
        <v>1902</v>
      </c>
      <c r="BP39" s="87">
        <v>2002</v>
      </c>
      <c r="BQ39" s="87">
        <v>2015</v>
      </c>
      <c r="BR39" s="87">
        <v>1992</v>
      </c>
      <c r="BS39" s="87">
        <v>1863</v>
      </c>
      <c r="BT39" s="87">
        <v>1778</v>
      </c>
      <c r="BU39" s="87">
        <v>1775</v>
      </c>
      <c r="BV39" s="87">
        <v>1746</v>
      </c>
      <c r="BW39" s="87">
        <v>1664</v>
      </c>
      <c r="BX39" s="87">
        <v>1538</v>
      </c>
      <c r="BY39" s="87">
        <v>1601</v>
      </c>
      <c r="BZ39" s="87">
        <v>1441</v>
      </c>
      <c r="CA39" s="87">
        <v>1369</v>
      </c>
      <c r="CB39" s="87">
        <v>1344</v>
      </c>
      <c r="CC39" s="87">
        <v>1341</v>
      </c>
      <c r="CD39" s="87">
        <v>1343</v>
      </c>
      <c r="CE39" s="87">
        <v>1317</v>
      </c>
      <c r="CF39" s="87">
        <v>1215</v>
      </c>
      <c r="CG39" s="87">
        <v>1298</v>
      </c>
      <c r="CH39" s="87">
        <v>1292</v>
      </c>
      <c r="CI39" s="87">
        <v>1331</v>
      </c>
      <c r="CJ39" s="87">
        <v>1403</v>
      </c>
      <c r="CK39" s="87">
        <v>1016</v>
      </c>
      <c r="CL39" s="87">
        <v>957</v>
      </c>
      <c r="CM39" s="87">
        <v>951</v>
      </c>
      <c r="CN39" s="87">
        <v>869</v>
      </c>
      <c r="CO39" s="87">
        <v>746</v>
      </c>
      <c r="CP39" s="87">
        <v>651</v>
      </c>
      <c r="CQ39" s="87">
        <v>562</v>
      </c>
      <c r="CR39" s="87">
        <v>579</v>
      </c>
      <c r="CS39" s="87">
        <v>551</v>
      </c>
      <c r="CT39" s="87">
        <v>430</v>
      </c>
      <c r="CU39" s="87">
        <v>310</v>
      </c>
      <c r="CV39" s="87">
        <v>312</v>
      </c>
      <c r="CW39" s="87">
        <v>233</v>
      </c>
      <c r="CX39" s="87">
        <v>211</v>
      </c>
      <c r="CY39" s="87">
        <v>690</v>
      </c>
      <c r="CZ39" s="88">
        <v>1777</v>
      </c>
      <c r="DA39" s="88">
        <v>1729</v>
      </c>
      <c r="DB39" s="88">
        <v>1908</v>
      </c>
      <c r="DC39" s="88">
        <v>1839</v>
      </c>
      <c r="DD39" s="88">
        <v>1857</v>
      </c>
      <c r="DE39" s="88">
        <v>1967</v>
      </c>
      <c r="DF39" s="88">
        <v>1981</v>
      </c>
      <c r="DG39" s="88">
        <v>1933</v>
      </c>
      <c r="DH39" s="88">
        <v>2033</v>
      </c>
      <c r="DI39" s="88">
        <v>2068</v>
      </c>
      <c r="DJ39" s="88">
        <v>2104</v>
      </c>
      <c r="DK39" s="88">
        <v>2162</v>
      </c>
      <c r="DL39" s="88">
        <v>2091</v>
      </c>
      <c r="DM39" s="88">
        <v>2054</v>
      </c>
      <c r="DN39" s="88">
        <v>2025</v>
      </c>
      <c r="DO39" s="88">
        <v>2017</v>
      </c>
      <c r="DP39" s="88">
        <v>1848</v>
      </c>
      <c r="DQ39" s="88">
        <v>1900</v>
      </c>
      <c r="DR39" s="88">
        <v>1813</v>
      </c>
      <c r="DS39" s="88">
        <v>1347</v>
      </c>
      <c r="DT39" s="88">
        <v>1457</v>
      </c>
      <c r="DU39" s="88">
        <v>1454</v>
      </c>
      <c r="DV39" s="88">
        <v>1584</v>
      </c>
      <c r="DW39" s="88">
        <v>1769</v>
      </c>
      <c r="DX39" s="88">
        <v>1627</v>
      </c>
      <c r="DY39" s="88">
        <v>1826</v>
      </c>
      <c r="DZ39" s="88">
        <v>1723</v>
      </c>
      <c r="EA39" s="88">
        <v>1861</v>
      </c>
      <c r="EB39" s="88">
        <v>1854</v>
      </c>
      <c r="EC39" s="88">
        <v>1964</v>
      </c>
      <c r="ED39" s="88">
        <v>1993</v>
      </c>
      <c r="EE39" s="88">
        <v>2210</v>
      </c>
      <c r="EF39" s="88">
        <v>2184</v>
      </c>
      <c r="EG39" s="88">
        <v>2082</v>
      </c>
      <c r="EH39" s="88">
        <v>2261</v>
      </c>
      <c r="EI39" s="88">
        <v>2228</v>
      </c>
      <c r="EJ39" s="88">
        <v>2154</v>
      </c>
      <c r="EK39" s="88">
        <v>2115</v>
      </c>
      <c r="EL39" s="88">
        <v>2036</v>
      </c>
      <c r="EM39" s="88">
        <v>2038</v>
      </c>
      <c r="EN39" s="88">
        <v>2031</v>
      </c>
      <c r="EO39" s="88">
        <v>2025</v>
      </c>
      <c r="EP39" s="88">
        <v>2049</v>
      </c>
      <c r="EQ39" s="88">
        <v>1810</v>
      </c>
      <c r="ER39" s="88">
        <v>1802</v>
      </c>
      <c r="ES39" s="88">
        <v>1661</v>
      </c>
      <c r="ET39" s="88">
        <v>1754</v>
      </c>
      <c r="EU39" s="88">
        <v>1774</v>
      </c>
      <c r="EV39" s="88">
        <v>1801</v>
      </c>
      <c r="EW39" s="88">
        <v>1881</v>
      </c>
      <c r="EX39" s="88">
        <v>1997</v>
      </c>
      <c r="EY39" s="88">
        <v>2048</v>
      </c>
      <c r="EZ39" s="88">
        <v>1932</v>
      </c>
      <c r="FA39" s="88">
        <v>1954</v>
      </c>
      <c r="FB39" s="88">
        <v>2023</v>
      </c>
      <c r="FC39" s="88">
        <v>2020</v>
      </c>
      <c r="FD39" s="88">
        <v>2013</v>
      </c>
      <c r="FE39" s="88">
        <v>2034</v>
      </c>
      <c r="FF39" s="88">
        <v>1956</v>
      </c>
      <c r="FG39" s="88">
        <v>1759</v>
      </c>
      <c r="FH39" s="88">
        <v>1857</v>
      </c>
      <c r="FI39" s="88">
        <v>1690</v>
      </c>
      <c r="FJ39" s="88">
        <v>1678</v>
      </c>
      <c r="FK39" s="88">
        <v>1577</v>
      </c>
      <c r="FL39" s="88">
        <v>1528</v>
      </c>
      <c r="FM39" s="88">
        <v>1576</v>
      </c>
      <c r="FN39" s="88">
        <v>1404</v>
      </c>
      <c r="FO39" s="88">
        <v>1416</v>
      </c>
      <c r="FP39" s="88">
        <v>1397</v>
      </c>
      <c r="FQ39" s="88">
        <v>1351</v>
      </c>
      <c r="FR39" s="88">
        <v>1312</v>
      </c>
      <c r="FS39" s="88">
        <v>1311</v>
      </c>
      <c r="FT39" s="88">
        <v>1387</v>
      </c>
      <c r="FU39" s="88">
        <v>1413</v>
      </c>
      <c r="FV39" s="88">
        <v>1491</v>
      </c>
      <c r="FW39" s="88">
        <v>1632</v>
      </c>
      <c r="FX39" s="88">
        <v>1166</v>
      </c>
      <c r="FY39" s="88">
        <v>1110</v>
      </c>
      <c r="FZ39" s="88">
        <v>1058</v>
      </c>
      <c r="GA39" s="88">
        <v>1030</v>
      </c>
      <c r="GB39" s="88">
        <v>924</v>
      </c>
      <c r="GC39" s="88">
        <v>795</v>
      </c>
      <c r="GD39" s="88">
        <v>757</v>
      </c>
      <c r="GE39" s="88">
        <v>754</v>
      </c>
      <c r="GF39" s="88">
        <v>663</v>
      </c>
      <c r="GG39" s="88">
        <v>589</v>
      </c>
      <c r="GH39" s="88">
        <v>517</v>
      </c>
      <c r="GI39" s="88">
        <v>491</v>
      </c>
      <c r="GJ39" s="88">
        <v>402</v>
      </c>
      <c r="GK39" s="88">
        <v>339</v>
      </c>
      <c r="GL39" s="89">
        <v>1368</v>
      </c>
    </row>
    <row r="40" spans="1:194" s="1" customFormat="1" x14ac:dyDescent="0.2">
      <c r="A40" s="90" t="s">
        <v>94</v>
      </c>
      <c r="B40" s="146" t="s">
        <v>125</v>
      </c>
      <c r="C40" s="30" t="str">
        <f t="shared" si="4"/>
        <v xml:space="preserve">England – CCGs - Bradford District and Craven </v>
      </c>
      <c r="D40" s="51">
        <f t="shared" si="7"/>
        <v>247205</v>
      </c>
      <c r="E40" s="51">
        <f t="shared" si="7"/>
        <v>259859</v>
      </c>
      <c r="F40" s="52">
        <f t="shared" si="8"/>
        <v>604251</v>
      </c>
      <c r="G40" s="52">
        <f t="shared" si="9"/>
        <v>296243</v>
      </c>
      <c r="H40" s="52">
        <f t="shared" si="10"/>
        <v>308008</v>
      </c>
      <c r="I40" s="697">
        <f t="shared" si="5"/>
        <v>247205</v>
      </c>
      <c r="J40" s="53">
        <f t="shared" si="6"/>
        <v>259859</v>
      </c>
      <c r="K40" s="50">
        <f t="shared" si="11"/>
        <v>76051</v>
      </c>
      <c r="L40" s="51">
        <f t="shared" si="12"/>
        <v>73792</v>
      </c>
      <c r="M40" s="87">
        <v>3762</v>
      </c>
      <c r="N40" s="87">
        <v>3596</v>
      </c>
      <c r="O40" s="87">
        <v>3832</v>
      </c>
      <c r="P40" s="87">
        <v>3993</v>
      </c>
      <c r="Q40" s="87">
        <v>3888</v>
      </c>
      <c r="R40" s="87">
        <v>4097</v>
      </c>
      <c r="S40" s="87">
        <v>4273</v>
      </c>
      <c r="T40" s="87">
        <v>4186</v>
      </c>
      <c r="U40" s="87">
        <v>4287</v>
      </c>
      <c r="V40" s="87">
        <v>4255</v>
      </c>
      <c r="W40" s="87">
        <v>4452</v>
      </c>
      <c r="X40" s="87">
        <v>4417</v>
      </c>
      <c r="Y40" s="87">
        <v>4647</v>
      </c>
      <c r="Z40" s="87">
        <v>4631</v>
      </c>
      <c r="AA40" s="87">
        <v>4600</v>
      </c>
      <c r="AB40" s="87">
        <v>4366</v>
      </c>
      <c r="AC40" s="87">
        <v>4300</v>
      </c>
      <c r="AD40" s="87">
        <v>4469</v>
      </c>
      <c r="AE40" s="87">
        <v>4303</v>
      </c>
      <c r="AF40" s="87">
        <v>3786</v>
      </c>
      <c r="AG40" s="87">
        <v>3545</v>
      </c>
      <c r="AH40" s="87">
        <v>3482</v>
      </c>
      <c r="AI40" s="87">
        <v>3554</v>
      </c>
      <c r="AJ40" s="87">
        <v>3797</v>
      </c>
      <c r="AK40" s="87">
        <v>3669</v>
      </c>
      <c r="AL40" s="87">
        <v>3673</v>
      </c>
      <c r="AM40" s="87">
        <v>3567</v>
      </c>
      <c r="AN40" s="87">
        <v>3598</v>
      </c>
      <c r="AO40" s="87">
        <v>3746</v>
      </c>
      <c r="AP40" s="87">
        <v>3745</v>
      </c>
      <c r="AQ40" s="87">
        <v>3829</v>
      </c>
      <c r="AR40" s="87">
        <v>3841</v>
      </c>
      <c r="AS40" s="87">
        <v>3927</v>
      </c>
      <c r="AT40" s="87">
        <v>3932</v>
      </c>
      <c r="AU40" s="87">
        <v>3957</v>
      </c>
      <c r="AV40" s="87">
        <v>3916</v>
      </c>
      <c r="AW40" s="87">
        <v>3987</v>
      </c>
      <c r="AX40" s="87">
        <v>3874</v>
      </c>
      <c r="AY40" s="87">
        <v>3982</v>
      </c>
      <c r="AZ40" s="87">
        <v>3959</v>
      </c>
      <c r="BA40" s="87">
        <v>3911</v>
      </c>
      <c r="BB40" s="87">
        <v>4015</v>
      </c>
      <c r="BC40" s="87">
        <v>4148</v>
      </c>
      <c r="BD40" s="87">
        <v>3809</v>
      </c>
      <c r="BE40" s="87">
        <v>3520</v>
      </c>
      <c r="BF40" s="87">
        <v>3598</v>
      </c>
      <c r="BG40" s="87">
        <v>3420</v>
      </c>
      <c r="BH40" s="87">
        <v>3572</v>
      </c>
      <c r="BI40" s="87">
        <v>3589</v>
      </c>
      <c r="BJ40" s="87">
        <v>3698</v>
      </c>
      <c r="BK40" s="87">
        <v>3926</v>
      </c>
      <c r="BL40" s="87">
        <v>3936</v>
      </c>
      <c r="BM40" s="87">
        <v>3741</v>
      </c>
      <c r="BN40" s="87">
        <v>3771</v>
      </c>
      <c r="BO40" s="87">
        <v>3775</v>
      </c>
      <c r="BP40" s="87">
        <v>3773</v>
      </c>
      <c r="BQ40" s="87">
        <v>3557</v>
      </c>
      <c r="BR40" s="87">
        <v>3649</v>
      </c>
      <c r="BS40" s="87">
        <v>3601</v>
      </c>
      <c r="BT40" s="87">
        <v>3503</v>
      </c>
      <c r="BU40" s="87">
        <v>3550</v>
      </c>
      <c r="BV40" s="87">
        <v>3361</v>
      </c>
      <c r="BW40" s="87">
        <v>3352</v>
      </c>
      <c r="BX40" s="87">
        <v>3161</v>
      </c>
      <c r="BY40" s="87">
        <v>3029</v>
      </c>
      <c r="BZ40" s="87">
        <v>3036</v>
      </c>
      <c r="CA40" s="87">
        <v>2900</v>
      </c>
      <c r="CB40" s="87">
        <v>2724</v>
      </c>
      <c r="CC40" s="87">
        <v>2779</v>
      </c>
      <c r="CD40" s="87">
        <v>2712</v>
      </c>
      <c r="CE40" s="87">
        <v>2491</v>
      </c>
      <c r="CF40" s="87">
        <v>2398</v>
      </c>
      <c r="CG40" s="87">
        <v>2332</v>
      </c>
      <c r="CH40" s="87">
        <v>2372</v>
      </c>
      <c r="CI40" s="87">
        <v>2402</v>
      </c>
      <c r="CJ40" s="87">
        <v>2611</v>
      </c>
      <c r="CK40" s="87">
        <v>1730</v>
      </c>
      <c r="CL40" s="87">
        <v>1588</v>
      </c>
      <c r="CM40" s="87">
        <v>1620</v>
      </c>
      <c r="CN40" s="87">
        <v>1482</v>
      </c>
      <c r="CO40" s="87">
        <v>1279</v>
      </c>
      <c r="CP40" s="87">
        <v>1111</v>
      </c>
      <c r="CQ40" s="87">
        <v>1102</v>
      </c>
      <c r="CR40" s="87">
        <v>1060</v>
      </c>
      <c r="CS40" s="87">
        <v>983</v>
      </c>
      <c r="CT40" s="87">
        <v>928</v>
      </c>
      <c r="CU40" s="87">
        <v>733</v>
      </c>
      <c r="CV40" s="87">
        <v>665</v>
      </c>
      <c r="CW40" s="87">
        <v>528</v>
      </c>
      <c r="CX40" s="87">
        <v>461</v>
      </c>
      <c r="CY40" s="87">
        <v>1531</v>
      </c>
      <c r="CZ40" s="88">
        <v>3495</v>
      </c>
      <c r="DA40" s="88">
        <v>3490</v>
      </c>
      <c r="DB40" s="88">
        <v>3858</v>
      </c>
      <c r="DC40" s="88">
        <v>4038</v>
      </c>
      <c r="DD40" s="88">
        <v>3838</v>
      </c>
      <c r="DE40" s="88">
        <v>4036</v>
      </c>
      <c r="DF40" s="88">
        <v>4142</v>
      </c>
      <c r="DG40" s="88">
        <v>4249</v>
      </c>
      <c r="DH40" s="88">
        <v>4215</v>
      </c>
      <c r="DI40" s="88">
        <v>4202</v>
      </c>
      <c r="DJ40" s="88">
        <v>4249</v>
      </c>
      <c r="DK40" s="88">
        <v>4337</v>
      </c>
      <c r="DL40" s="88">
        <v>4313</v>
      </c>
      <c r="DM40" s="88">
        <v>4321</v>
      </c>
      <c r="DN40" s="88">
        <v>4318</v>
      </c>
      <c r="DO40" s="88">
        <v>4325</v>
      </c>
      <c r="DP40" s="88">
        <v>4237</v>
      </c>
      <c r="DQ40" s="88">
        <v>4129</v>
      </c>
      <c r="DR40" s="88">
        <v>4073</v>
      </c>
      <c r="DS40" s="88">
        <v>3390</v>
      </c>
      <c r="DT40" s="88">
        <v>3236</v>
      </c>
      <c r="DU40" s="88">
        <v>3420</v>
      </c>
      <c r="DV40" s="88">
        <v>3552</v>
      </c>
      <c r="DW40" s="88">
        <v>3738</v>
      </c>
      <c r="DX40" s="88">
        <v>3579</v>
      </c>
      <c r="DY40" s="88">
        <v>3622</v>
      </c>
      <c r="DZ40" s="88">
        <v>3498</v>
      </c>
      <c r="EA40" s="88">
        <v>3707</v>
      </c>
      <c r="EB40" s="88">
        <v>3945</v>
      </c>
      <c r="EC40" s="88">
        <v>4034</v>
      </c>
      <c r="ED40" s="88">
        <v>4055</v>
      </c>
      <c r="EE40" s="88">
        <v>4123</v>
      </c>
      <c r="EF40" s="88">
        <v>4187</v>
      </c>
      <c r="EG40" s="88">
        <v>4442</v>
      </c>
      <c r="EH40" s="88">
        <v>4541</v>
      </c>
      <c r="EI40" s="88">
        <v>4483</v>
      </c>
      <c r="EJ40" s="88">
        <v>4330</v>
      </c>
      <c r="EK40" s="88">
        <v>4312</v>
      </c>
      <c r="EL40" s="88">
        <v>4276</v>
      </c>
      <c r="EM40" s="88">
        <v>4184</v>
      </c>
      <c r="EN40" s="88">
        <v>4351</v>
      </c>
      <c r="EO40" s="88">
        <v>4319</v>
      </c>
      <c r="EP40" s="88">
        <v>4179</v>
      </c>
      <c r="EQ40" s="88">
        <v>3969</v>
      </c>
      <c r="ER40" s="88">
        <v>3729</v>
      </c>
      <c r="ES40" s="88">
        <v>3626</v>
      </c>
      <c r="ET40" s="88">
        <v>3599</v>
      </c>
      <c r="EU40" s="88">
        <v>3563</v>
      </c>
      <c r="EV40" s="88">
        <v>3707</v>
      </c>
      <c r="EW40" s="88">
        <v>3772</v>
      </c>
      <c r="EX40" s="88">
        <v>3854</v>
      </c>
      <c r="EY40" s="88">
        <v>3969</v>
      </c>
      <c r="EZ40" s="88">
        <v>3845</v>
      </c>
      <c r="FA40" s="88">
        <v>3831</v>
      </c>
      <c r="FB40" s="88">
        <v>3698</v>
      </c>
      <c r="FC40" s="88">
        <v>3828</v>
      </c>
      <c r="FD40" s="88">
        <v>3705</v>
      </c>
      <c r="FE40" s="88">
        <v>3693</v>
      </c>
      <c r="FF40" s="88">
        <v>3689</v>
      </c>
      <c r="FG40" s="88">
        <v>3731</v>
      </c>
      <c r="FH40" s="88">
        <v>3603</v>
      </c>
      <c r="FI40" s="88">
        <v>3534</v>
      </c>
      <c r="FJ40" s="88">
        <v>3426</v>
      </c>
      <c r="FK40" s="88">
        <v>3195</v>
      </c>
      <c r="FL40" s="88">
        <v>3279</v>
      </c>
      <c r="FM40" s="88">
        <v>3045</v>
      </c>
      <c r="FN40" s="88">
        <v>2949</v>
      </c>
      <c r="FO40" s="88">
        <v>2810</v>
      </c>
      <c r="FP40" s="88">
        <v>2808</v>
      </c>
      <c r="FQ40" s="88">
        <v>2711</v>
      </c>
      <c r="FR40" s="88">
        <v>2595</v>
      </c>
      <c r="FS40" s="88">
        <v>2540</v>
      </c>
      <c r="FT40" s="88">
        <v>2641</v>
      </c>
      <c r="FU40" s="88">
        <v>2538</v>
      </c>
      <c r="FV40" s="88">
        <v>2780</v>
      </c>
      <c r="FW40" s="88">
        <v>2914</v>
      </c>
      <c r="FX40" s="88">
        <v>2045</v>
      </c>
      <c r="FY40" s="88">
        <v>1988</v>
      </c>
      <c r="FZ40" s="88">
        <v>1887</v>
      </c>
      <c r="GA40" s="88">
        <v>1741</v>
      </c>
      <c r="GB40" s="88">
        <v>1589</v>
      </c>
      <c r="GC40" s="88">
        <v>1413</v>
      </c>
      <c r="GD40" s="88">
        <v>1549</v>
      </c>
      <c r="GE40" s="88">
        <v>1390</v>
      </c>
      <c r="GF40" s="88">
        <v>1366</v>
      </c>
      <c r="GG40" s="88">
        <v>1280</v>
      </c>
      <c r="GH40" s="88">
        <v>1184</v>
      </c>
      <c r="GI40" s="88">
        <v>1074</v>
      </c>
      <c r="GJ40" s="88">
        <v>959</v>
      </c>
      <c r="GK40" s="88">
        <v>813</v>
      </c>
      <c r="GL40" s="89">
        <v>3186</v>
      </c>
    </row>
    <row r="41" spans="1:194" s="1" customFormat="1" x14ac:dyDescent="0.2">
      <c r="A41" s="90" t="s">
        <v>94</v>
      </c>
      <c r="B41" s="146" t="s">
        <v>126</v>
      </c>
      <c r="C41" s="30" t="str">
        <f t="shared" si="4"/>
        <v xml:space="preserve">England – CCGs - Brighton and Hove </v>
      </c>
      <c r="D41" s="51">
        <f t="shared" si="7"/>
        <v>120795</v>
      </c>
      <c r="E41" s="51">
        <f t="shared" si="7"/>
        <v>127442</v>
      </c>
      <c r="F41" s="52">
        <f t="shared" si="8"/>
        <v>277965</v>
      </c>
      <c r="G41" s="52">
        <f t="shared" si="9"/>
        <v>136030</v>
      </c>
      <c r="H41" s="52">
        <f t="shared" si="10"/>
        <v>141935</v>
      </c>
      <c r="I41" s="697">
        <f t="shared" si="5"/>
        <v>120795</v>
      </c>
      <c r="J41" s="53">
        <f t="shared" si="6"/>
        <v>127442</v>
      </c>
      <c r="K41" s="50">
        <f t="shared" si="11"/>
        <v>23842</v>
      </c>
      <c r="L41" s="51">
        <f t="shared" si="12"/>
        <v>23012</v>
      </c>
      <c r="M41" s="87">
        <v>1139</v>
      </c>
      <c r="N41" s="87">
        <v>1091</v>
      </c>
      <c r="O41" s="87">
        <v>1185</v>
      </c>
      <c r="P41" s="87">
        <v>1182</v>
      </c>
      <c r="Q41" s="87">
        <v>1269</v>
      </c>
      <c r="R41" s="87">
        <v>1292</v>
      </c>
      <c r="S41" s="87">
        <v>1297</v>
      </c>
      <c r="T41" s="87">
        <v>1352</v>
      </c>
      <c r="U41" s="87">
        <v>1305</v>
      </c>
      <c r="V41" s="87">
        <v>1368</v>
      </c>
      <c r="W41" s="87">
        <v>1364</v>
      </c>
      <c r="X41" s="87">
        <v>1391</v>
      </c>
      <c r="Y41" s="87">
        <v>1462</v>
      </c>
      <c r="Z41" s="87">
        <v>1400</v>
      </c>
      <c r="AA41" s="87">
        <v>1547</v>
      </c>
      <c r="AB41" s="87">
        <v>1448</v>
      </c>
      <c r="AC41" s="87">
        <v>1376</v>
      </c>
      <c r="AD41" s="87">
        <v>1374</v>
      </c>
      <c r="AE41" s="87">
        <v>1745</v>
      </c>
      <c r="AF41" s="87">
        <v>2873</v>
      </c>
      <c r="AG41" s="87">
        <v>2624</v>
      </c>
      <c r="AH41" s="87">
        <v>3027</v>
      </c>
      <c r="AI41" s="87">
        <v>2752</v>
      </c>
      <c r="AJ41" s="87">
        <v>2567</v>
      </c>
      <c r="AK41" s="87">
        <v>2129</v>
      </c>
      <c r="AL41" s="87">
        <v>2122</v>
      </c>
      <c r="AM41" s="87">
        <v>2039</v>
      </c>
      <c r="AN41" s="87">
        <v>1921</v>
      </c>
      <c r="AO41" s="87">
        <v>2090</v>
      </c>
      <c r="AP41" s="87">
        <v>2059</v>
      </c>
      <c r="AQ41" s="87">
        <v>2068</v>
      </c>
      <c r="AR41" s="87">
        <v>2098</v>
      </c>
      <c r="AS41" s="87">
        <v>2036</v>
      </c>
      <c r="AT41" s="87">
        <v>1946</v>
      </c>
      <c r="AU41" s="87">
        <v>1981</v>
      </c>
      <c r="AV41" s="87">
        <v>2003</v>
      </c>
      <c r="AW41" s="87">
        <v>1921</v>
      </c>
      <c r="AX41" s="87">
        <v>1853</v>
      </c>
      <c r="AY41" s="87">
        <v>2020</v>
      </c>
      <c r="AZ41" s="87">
        <v>1874</v>
      </c>
      <c r="BA41" s="87">
        <v>1881</v>
      </c>
      <c r="BB41" s="87">
        <v>1897</v>
      </c>
      <c r="BC41" s="87">
        <v>1869</v>
      </c>
      <c r="BD41" s="87">
        <v>1912</v>
      </c>
      <c r="BE41" s="87">
        <v>1836</v>
      </c>
      <c r="BF41" s="87">
        <v>1838</v>
      </c>
      <c r="BG41" s="87">
        <v>1774</v>
      </c>
      <c r="BH41" s="87">
        <v>1752</v>
      </c>
      <c r="BI41" s="87">
        <v>2048</v>
      </c>
      <c r="BJ41" s="87">
        <v>2120</v>
      </c>
      <c r="BK41" s="87">
        <v>2216</v>
      </c>
      <c r="BL41" s="87">
        <v>2138</v>
      </c>
      <c r="BM41" s="87">
        <v>1968</v>
      </c>
      <c r="BN41" s="87">
        <v>2077</v>
      </c>
      <c r="BO41" s="87">
        <v>2123</v>
      </c>
      <c r="BP41" s="87">
        <v>2035</v>
      </c>
      <c r="BQ41" s="87">
        <v>2082</v>
      </c>
      <c r="BR41" s="87">
        <v>2068</v>
      </c>
      <c r="BS41" s="87">
        <v>1852</v>
      </c>
      <c r="BT41" s="87">
        <v>1693</v>
      </c>
      <c r="BU41" s="87">
        <v>1590</v>
      </c>
      <c r="BV41" s="87">
        <v>1502</v>
      </c>
      <c r="BW41" s="87">
        <v>1486</v>
      </c>
      <c r="BX41" s="87">
        <v>1403</v>
      </c>
      <c r="BY41" s="87">
        <v>1227</v>
      </c>
      <c r="BZ41" s="87">
        <v>1152</v>
      </c>
      <c r="CA41" s="87">
        <v>1130</v>
      </c>
      <c r="CB41" s="87">
        <v>1124</v>
      </c>
      <c r="CC41" s="87">
        <v>1071</v>
      </c>
      <c r="CD41" s="87">
        <v>978</v>
      </c>
      <c r="CE41" s="87">
        <v>939</v>
      </c>
      <c r="CF41" s="87">
        <v>993</v>
      </c>
      <c r="CG41" s="87">
        <v>866</v>
      </c>
      <c r="CH41" s="87">
        <v>946</v>
      </c>
      <c r="CI41" s="87">
        <v>984</v>
      </c>
      <c r="CJ41" s="87">
        <v>1049</v>
      </c>
      <c r="CK41" s="87">
        <v>763</v>
      </c>
      <c r="CL41" s="87">
        <v>656</v>
      </c>
      <c r="CM41" s="87">
        <v>693</v>
      </c>
      <c r="CN41" s="87">
        <v>548</v>
      </c>
      <c r="CO41" s="87">
        <v>467</v>
      </c>
      <c r="CP41" s="87">
        <v>436</v>
      </c>
      <c r="CQ41" s="87">
        <v>472</v>
      </c>
      <c r="CR41" s="87">
        <v>374</v>
      </c>
      <c r="CS41" s="87">
        <v>382</v>
      </c>
      <c r="CT41" s="87">
        <v>347</v>
      </c>
      <c r="CU41" s="87">
        <v>293</v>
      </c>
      <c r="CV41" s="87">
        <v>259</v>
      </c>
      <c r="CW41" s="87">
        <v>226</v>
      </c>
      <c r="CX41" s="87">
        <v>197</v>
      </c>
      <c r="CY41" s="87">
        <v>708</v>
      </c>
      <c r="CZ41" s="88">
        <v>1114</v>
      </c>
      <c r="DA41" s="88">
        <v>1053</v>
      </c>
      <c r="DB41" s="88">
        <v>1146</v>
      </c>
      <c r="DC41" s="88">
        <v>1141</v>
      </c>
      <c r="DD41" s="88">
        <v>1132</v>
      </c>
      <c r="DE41" s="88">
        <v>1143</v>
      </c>
      <c r="DF41" s="88">
        <v>1248</v>
      </c>
      <c r="DG41" s="88">
        <v>1314</v>
      </c>
      <c r="DH41" s="88">
        <v>1223</v>
      </c>
      <c r="DI41" s="88">
        <v>1289</v>
      </c>
      <c r="DJ41" s="88">
        <v>1346</v>
      </c>
      <c r="DK41" s="88">
        <v>1344</v>
      </c>
      <c r="DL41" s="88">
        <v>1457</v>
      </c>
      <c r="DM41" s="88">
        <v>1403</v>
      </c>
      <c r="DN41" s="88">
        <v>1492</v>
      </c>
      <c r="DO41" s="88">
        <v>1403</v>
      </c>
      <c r="DP41" s="88">
        <v>1382</v>
      </c>
      <c r="DQ41" s="88">
        <v>1382</v>
      </c>
      <c r="DR41" s="88">
        <v>1789</v>
      </c>
      <c r="DS41" s="88">
        <v>3541</v>
      </c>
      <c r="DT41" s="88">
        <v>3386</v>
      </c>
      <c r="DU41" s="88">
        <v>3688</v>
      </c>
      <c r="DV41" s="88">
        <v>3076</v>
      </c>
      <c r="DW41" s="88">
        <v>2458</v>
      </c>
      <c r="DX41" s="88">
        <v>2404</v>
      </c>
      <c r="DY41" s="88">
        <v>2295</v>
      </c>
      <c r="DZ41" s="88">
        <v>2079</v>
      </c>
      <c r="EA41" s="88">
        <v>1982</v>
      </c>
      <c r="EB41" s="88">
        <v>2087</v>
      </c>
      <c r="EC41" s="88">
        <v>2033</v>
      </c>
      <c r="ED41" s="88">
        <v>2143</v>
      </c>
      <c r="EE41" s="88">
        <v>2310</v>
      </c>
      <c r="EF41" s="88">
        <v>2134</v>
      </c>
      <c r="EG41" s="88">
        <v>1997</v>
      </c>
      <c r="EH41" s="88">
        <v>2016</v>
      </c>
      <c r="EI41" s="88">
        <v>1971</v>
      </c>
      <c r="EJ41" s="88">
        <v>1989</v>
      </c>
      <c r="EK41" s="88">
        <v>1890</v>
      </c>
      <c r="EL41" s="88">
        <v>1981</v>
      </c>
      <c r="EM41" s="88">
        <v>1898</v>
      </c>
      <c r="EN41" s="88">
        <v>1945</v>
      </c>
      <c r="EO41" s="88">
        <v>2012</v>
      </c>
      <c r="EP41" s="88">
        <v>2053</v>
      </c>
      <c r="EQ41" s="88">
        <v>1931</v>
      </c>
      <c r="ER41" s="88">
        <v>1859</v>
      </c>
      <c r="ES41" s="88">
        <v>1934</v>
      </c>
      <c r="ET41" s="88">
        <v>1878</v>
      </c>
      <c r="EU41" s="88">
        <v>1889</v>
      </c>
      <c r="EV41" s="88">
        <v>1925</v>
      </c>
      <c r="EW41" s="88">
        <v>2078</v>
      </c>
      <c r="EX41" s="88">
        <v>2194</v>
      </c>
      <c r="EY41" s="88">
        <v>2071</v>
      </c>
      <c r="EZ41" s="88">
        <v>2001</v>
      </c>
      <c r="FA41" s="88">
        <v>2259</v>
      </c>
      <c r="FB41" s="88">
        <v>2004</v>
      </c>
      <c r="FC41" s="88">
        <v>1965</v>
      </c>
      <c r="FD41" s="88">
        <v>1953</v>
      </c>
      <c r="FE41" s="88">
        <v>1867</v>
      </c>
      <c r="FF41" s="88">
        <v>1797</v>
      </c>
      <c r="FG41" s="88">
        <v>1665</v>
      </c>
      <c r="FH41" s="88">
        <v>1577</v>
      </c>
      <c r="FI41" s="88">
        <v>1507</v>
      </c>
      <c r="FJ41" s="88">
        <v>1395</v>
      </c>
      <c r="FK41" s="88">
        <v>1298</v>
      </c>
      <c r="FL41" s="88">
        <v>1254</v>
      </c>
      <c r="FM41" s="88">
        <v>1163</v>
      </c>
      <c r="FN41" s="88">
        <v>1145</v>
      </c>
      <c r="FO41" s="88">
        <v>1152</v>
      </c>
      <c r="FP41" s="88">
        <v>1084</v>
      </c>
      <c r="FQ41" s="88">
        <v>1050</v>
      </c>
      <c r="FR41" s="88">
        <v>1035</v>
      </c>
      <c r="FS41" s="88">
        <v>996</v>
      </c>
      <c r="FT41" s="88">
        <v>973</v>
      </c>
      <c r="FU41" s="88">
        <v>1047</v>
      </c>
      <c r="FV41" s="88">
        <v>1056</v>
      </c>
      <c r="FW41" s="88">
        <v>1052</v>
      </c>
      <c r="FX41" s="88">
        <v>867</v>
      </c>
      <c r="FY41" s="88">
        <v>819</v>
      </c>
      <c r="FZ41" s="88">
        <v>782</v>
      </c>
      <c r="GA41" s="88">
        <v>782</v>
      </c>
      <c r="GB41" s="88">
        <v>638</v>
      </c>
      <c r="GC41" s="88">
        <v>577</v>
      </c>
      <c r="GD41" s="88">
        <v>591</v>
      </c>
      <c r="GE41" s="88">
        <v>548</v>
      </c>
      <c r="GF41" s="88">
        <v>522</v>
      </c>
      <c r="GG41" s="88">
        <v>493</v>
      </c>
      <c r="GH41" s="88">
        <v>486</v>
      </c>
      <c r="GI41" s="88">
        <v>397</v>
      </c>
      <c r="GJ41" s="88">
        <v>373</v>
      </c>
      <c r="GK41" s="88">
        <v>388</v>
      </c>
      <c r="GL41" s="89">
        <v>1449</v>
      </c>
    </row>
    <row r="42" spans="1:194" s="1" customFormat="1" x14ac:dyDescent="0.2">
      <c r="A42" s="90" t="s">
        <v>94</v>
      </c>
      <c r="B42" s="146" t="s">
        <v>127</v>
      </c>
      <c r="C42" s="30" t="str">
        <f t="shared" si="4"/>
        <v xml:space="preserve">England – CCGs - Bristol, North Somerset and South Gloucestershire </v>
      </c>
      <c r="D42" s="51">
        <f t="shared" si="7"/>
        <v>423876</v>
      </c>
      <c r="E42" s="51">
        <f t="shared" si="7"/>
        <v>438642</v>
      </c>
      <c r="F42" s="52">
        <f t="shared" si="8"/>
        <v>992934</v>
      </c>
      <c r="G42" s="52">
        <f t="shared" si="9"/>
        <v>490777</v>
      </c>
      <c r="H42" s="52">
        <f t="shared" si="10"/>
        <v>502157</v>
      </c>
      <c r="I42" s="697">
        <f t="shared" si="5"/>
        <v>423876</v>
      </c>
      <c r="J42" s="53">
        <f t="shared" si="6"/>
        <v>438642</v>
      </c>
      <c r="K42" s="50">
        <f t="shared" si="11"/>
        <v>99995</v>
      </c>
      <c r="L42" s="51">
        <f t="shared" si="12"/>
        <v>95118</v>
      </c>
      <c r="M42" s="87">
        <v>5316</v>
      </c>
      <c r="N42" s="87">
        <v>5165</v>
      </c>
      <c r="O42" s="87">
        <v>5220</v>
      </c>
      <c r="P42" s="87">
        <v>5512</v>
      </c>
      <c r="Q42" s="87">
        <v>5510</v>
      </c>
      <c r="R42" s="87">
        <v>5562</v>
      </c>
      <c r="S42" s="87">
        <v>5664</v>
      </c>
      <c r="T42" s="87">
        <v>5725</v>
      </c>
      <c r="U42" s="87">
        <v>5631</v>
      </c>
      <c r="V42" s="87">
        <v>5839</v>
      </c>
      <c r="W42" s="87">
        <v>5934</v>
      </c>
      <c r="X42" s="87">
        <v>5823</v>
      </c>
      <c r="Y42" s="87">
        <v>6021</v>
      </c>
      <c r="Z42" s="87">
        <v>5562</v>
      </c>
      <c r="AA42" s="87">
        <v>5788</v>
      </c>
      <c r="AB42" s="87">
        <v>5326</v>
      </c>
      <c r="AC42" s="87">
        <v>5250</v>
      </c>
      <c r="AD42" s="87">
        <v>5147</v>
      </c>
      <c r="AE42" s="87">
        <v>5680</v>
      </c>
      <c r="AF42" s="87">
        <v>7959</v>
      </c>
      <c r="AG42" s="87">
        <v>8156</v>
      </c>
      <c r="AH42" s="87">
        <v>8275</v>
      </c>
      <c r="AI42" s="87">
        <v>8139</v>
      </c>
      <c r="AJ42" s="87">
        <v>8028</v>
      </c>
      <c r="AK42" s="87">
        <v>7688</v>
      </c>
      <c r="AL42" s="87">
        <v>7782</v>
      </c>
      <c r="AM42" s="87">
        <v>7470</v>
      </c>
      <c r="AN42" s="87">
        <v>7475</v>
      </c>
      <c r="AO42" s="87">
        <v>7739</v>
      </c>
      <c r="AP42" s="87">
        <v>7647</v>
      </c>
      <c r="AQ42" s="87">
        <v>7747</v>
      </c>
      <c r="AR42" s="87">
        <v>7830</v>
      </c>
      <c r="AS42" s="87">
        <v>7523</v>
      </c>
      <c r="AT42" s="87">
        <v>7711</v>
      </c>
      <c r="AU42" s="87">
        <v>7554</v>
      </c>
      <c r="AV42" s="87">
        <v>7305</v>
      </c>
      <c r="AW42" s="87">
        <v>7405</v>
      </c>
      <c r="AX42" s="87">
        <v>7233</v>
      </c>
      <c r="AY42" s="87">
        <v>6875</v>
      </c>
      <c r="AZ42" s="87">
        <v>6877</v>
      </c>
      <c r="BA42" s="87">
        <v>6708</v>
      </c>
      <c r="BB42" s="87">
        <v>6549</v>
      </c>
      <c r="BC42" s="87">
        <v>6625</v>
      </c>
      <c r="BD42" s="87">
        <v>6288</v>
      </c>
      <c r="BE42" s="87">
        <v>5758</v>
      </c>
      <c r="BF42" s="87">
        <v>5716</v>
      </c>
      <c r="BG42" s="87">
        <v>5769</v>
      </c>
      <c r="BH42" s="87">
        <v>5678</v>
      </c>
      <c r="BI42" s="87">
        <v>5829</v>
      </c>
      <c r="BJ42" s="87">
        <v>5901</v>
      </c>
      <c r="BK42" s="87">
        <v>5881</v>
      </c>
      <c r="BL42" s="87">
        <v>6314</v>
      </c>
      <c r="BM42" s="87">
        <v>5998</v>
      </c>
      <c r="BN42" s="87">
        <v>6138</v>
      </c>
      <c r="BO42" s="87">
        <v>6069</v>
      </c>
      <c r="BP42" s="87">
        <v>6178</v>
      </c>
      <c r="BQ42" s="87">
        <v>6132</v>
      </c>
      <c r="BR42" s="87">
        <v>6152</v>
      </c>
      <c r="BS42" s="87">
        <v>5932</v>
      </c>
      <c r="BT42" s="87">
        <v>5840</v>
      </c>
      <c r="BU42" s="87">
        <v>5644</v>
      </c>
      <c r="BV42" s="87">
        <v>5360</v>
      </c>
      <c r="BW42" s="87">
        <v>4929</v>
      </c>
      <c r="BX42" s="87">
        <v>4889</v>
      </c>
      <c r="BY42" s="87">
        <v>4739</v>
      </c>
      <c r="BZ42" s="87">
        <v>4502</v>
      </c>
      <c r="CA42" s="87">
        <v>4263</v>
      </c>
      <c r="CB42" s="87">
        <v>4140</v>
      </c>
      <c r="CC42" s="87">
        <v>4137</v>
      </c>
      <c r="CD42" s="87">
        <v>3996</v>
      </c>
      <c r="CE42" s="87">
        <v>3804</v>
      </c>
      <c r="CF42" s="87">
        <v>3974</v>
      </c>
      <c r="CG42" s="87">
        <v>3976</v>
      </c>
      <c r="CH42" s="87">
        <v>3950</v>
      </c>
      <c r="CI42" s="87">
        <v>4088</v>
      </c>
      <c r="CJ42" s="87">
        <v>4500</v>
      </c>
      <c r="CK42" s="87">
        <v>3331</v>
      </c>
      <c r="CL42" s="87">
        <v>3326</v>
      </c>
      <c r="CM42" s="87">
        <v>3258</v>
      </c>
      <c r="CN42" s="87">
        <v>2872</v>
      </c>
      <c r="CO42" s="87">
        <v>2455</v>
      </c>
      <c r="CP42" s="87">
        <v>2132</v>
      </c>
      <c r="CQ42" s="87">
        <v>2089</v>
      </c>
      <c r="CR42" s="87">
        <v>2035</v>
      </c>
      <c r="CS42" s="87">
        <v>1780</v>
      </c>
      <c r="CT42" s="87">
        <v>1583</v>
      </c>
      <c r="CU42" s="87">
        <v>1379</v>
      </c>
      <c r="CV42" s="87">
        <v>1215</v>
      </c>
      <c r="CW42" s="87">
        <v>1029</v>
      </c>
      <c r="CX42" s="87">
        <v>881</v>
      </c>
      <c r="CY42" s="87">
        <v>2973</v>
      </c>
      <c r="CZ42" s="88">
        <v>4890</v>
      </c>
      <c r="DA42" s="88">
        <v>5071</v>
      </c>
      <c r="DB42" s="88">
        <v>4963</v>
      </c>
      <c r="DC42" s="88">
        <v>5144</v>
      </c>
      <c r="DD42" s="88">
        <v>4993</v>
      </c>
      <c r="DE42" s="88">
        <v>5266</v>
      </c>
      <c r="DF42" s="88">
        <v>5470</v>
      </c>
      <c r="DG42" s="88">
        <v>5416</v>
      </c>
      <c r="DH42" s="88">
        <v>5452</v>
      </c>
      <c r="DI42" s="88">
        <v>5560</v>
      </c>
      <c r="DJ42" s="88">
        <v>5675</v>
      </c>
      <c r="DK42" s="88">
        <v>5615</v>
      </c>
      <c r="DL42" s="88">
        <v>5478</v>
      </c>
      <c r="DM42" s="88">
        <v>5390</v>
      </c>
      <c r="DN42" s="88">
        <v>5414</v>
      </c>
      <c r="DO42" s="88">
        <v>5234</v>
      </c>
      <c r="DP42" s="88">
        <v>5033</v>
      </c>
      <c r="DQ42" s="88">
        <v>5054</v>
      </c>
      <c r="DR42" s="88">
        <v>5426</v>
      </c>
      <c r="DS42" s="88">
        <v>7980</v>
      </c>
      <c r="DT42" s="88">
        <v>8278</v>
      </c>
      <c r="DU42" s="88">
        <v>8062</v>
      </c>
      <c r="DV42" s="88">
        <v>7864</v>
      </c>
      <c r="DW42" s="88">
        <v>7813</v>
      </c>
      <c r="DX42" s="88">
        <v>7429</v>
      </c>
      <c r="DY42" s="88">
        <v>7567</v>
      </c>
      <c r="DZ42" s="88">
        <v>7233</v>
      </c>
      <c r="EA42" s="88">
        <v>7732</v>
      </c>
      <c r="EB42" s="88">
        <v>7724</v>
      </c>
      <c r="EC42" s="88">
        <v>7694</v>
      </c>
      <c r="ED42" s="88">
        <v>7830</v>
      </c>
      <c r="EE42" s="88">
        <v>7801</v>
      </c>
      <c r="EF42" s="88">
        <v>7842</v>
      </c>
      <c r="EG42" s="88">
        <v>7765</v>
      </c>
      <c r="EH42" s="88">
        <v>7885</v>
      </c>
      <c r="EI42" s="88">
        <v>7593</v>
      </c>
      <c r="EJ42" s="88">
        <v>7483</v>
      </c>
      <c r="EK42" s="88">
        <v>7380</v>
      </c>
      <c r="EL42" s="88">
        <v>7106</v>
      </c>
      <c r="EM42" s="88">
        <v>6814</v>
      </c>
      <c r="EN42" s="88">
        <v>6684</v>
      </c>
      <c r="EO42" s="88">
        <v>6755</v>
      </c>
      <c r="EP42" s="88">
        <v>6825</v>
      </c>
      <c r="EQ42" s="88">
        <v>6335</v>
      </c>
      <c r="ER42" s="88">
        <v>5889</v>
      </c>
      <c r="ES42" s="88">
        <v>5791</v>
      </c>
      <c r="ET42" s="88">
        <v>5765</v>
      </c>
      <c r="EU42" s="88">
        <v>5913</v>
      </c>
      <c r="EV42" s="88">
        <v>5749</v>
      </c>
      <c r="EW42" s="88">
        <v>5803</v>
      </c>
      <c r="EX42" s="88">
        <v>5977</v>
      </c>
      <c r="EY42" s="88">
        <v>6295</v>
      </c>
      <c r="EZ42" s="88">
        <v>6104</v>
      </c>
      <c r="FA42" s="88">
        <v>6204</v>
      </c>
      <c r="FB42" s="88">
        <v>5930</v>
      </c>
      <c r="FC42" s="88">
        <v>6193</v>
      </c>
      <c r="FD42" s="88">
        <v>6345</v>
      </c>
      <c r="FE42" s="88">
        <v>6161</v>
      </c>
      <c r="FF42" s="88">
        <v>6145</v>
      </c>
      <c r="FG42" s="88">
        <v>5915</v>
      </c>
      <c r="FH42" s="88">
        <v>5629</v>
      </c>
      <c r="FI42" s="88">
        <v>5394</v>
      </c>
      <c r="FJ42" s="88">
        <v>5247</v>
      </c>
      <c r="FK42" s="88">
        <v>4974</v>
      </c>
      <c r="FL42" s="88">
        <v>5050</v>
      </c>
      <c r="FM42" s="88">
        <v>4550</v>
      </c>
      <c r="FN42" s="88">
        <v>4557</v>
      </c>
      <c r="FO42" s="88">
        <v>4337</v>
      </c>
      <c r="FP42" s="88">
        <v>4448</v>
      </c>
      <c r="FQ42" s="88">
        <v>4353</v>
      </c>
      <c r="FR42" s="88">
        <v>4121</v>
      </c>
      <c r="FS42" s="88">
        <v>4196</v>
      </c>
      <c r="FT42" s="88">
        <v>4297</v>
      </c>
      <c r="FU42" s="88">
        <v>4441</v>
      </c>
      <c r="FV42" s="88">
        <v>4734</v>
      </c>
      <c r="FW42" s="88">
        <v>4966</v>
      </c>
      <c r="FX42" s="88">
        <v>3797</v>
      </c>
      <c r="FY42" s="88">
        <v>3799</v>
      </c>
      <c r="FZ42" s="88">
        <v>3699</v>
      </c>
      <c r="GA42" s="88">
        <v>3408</v>
      </c>
      <c r="GB42" s="88">
        <v>3022</v>
      </c>
      <c r="GC42" s="88">
        <v>2593</v>
      </c>
      <c r="GD42" s="88">
        <v>2599</v>
      </c>
      <c r="GE42" s="88">
        <v>2561</v>
      </c>
      <c r="GF42" s="88">
        <v>2326</v>
      </c>
      <c r="GG42" s="88">
        <v>2203</v>
      </c>
      <c r="GH42" s="88">
        <v>1950</v>
      </c>
      <c r="GI42" s="88">
        <v>1840</v>
      </c>
      <c r="GJ42" s="88">
        <v>1542</v>
      </c>
      <c r="GK42" s="88">
        <v>1438</v>
      </c>
      <c r="GL42" s="89">
        <v>5889</v>
      </c>
    </row>
    <row r="43" spans="1:194" s="1" customFormat="1" x14ac:dyDescent="0.2">
      <c r="A43" s="90" t="s">
        <v>94</v>
      </c>
      <c r="B43" s="146" t="s">
        <v>128</v>
      </c>
      <c r="C43" s="30" t="str">
        <f t="shared" si="4"/>
        <v xml:space="preserve">England – CCGs - Buckinghamshire </v>
      </c>
      <c r="D43" s="51">
        <f t="shared" si="7"/>
        <v>233470</v>
      </c>
      <c r="E43" s="51">
        <f t="shared" si="7"/>
        <v>247487</v>
      </c>
      <c r="F43" s="52">
        <f t="shared" si="8"/>
        <v>563488</v>
      </c>
      <c r="G43" s="52">
        <f t="shared" si="9"/>
        <v>275644</v>
      </c>
      <c r="H43" s="52">
        <f t="shared" si="10"/>
        <v>287844</v>
      </c>
      <c r="I43" s="697">
        <f t="shared" si="5"/>
        <v>233470</v>
      </c>
      <c r="J43" s="53">
        <f t="shared" si="6"/>
        <v>247487</v>
      </c>
      <c r="K43" s="50">
        <f t="shared" si="11"/>
        <v>64623</v>
      </c>
      <c r="L43" s="51">
        <f t="shared" si="12"/>
        <v>61944</v>
      </c>
      <c r="M43" s="87">
        <v>2950</v>
      </c>
      <c r="N43" s="87">
        <v>3144</v>
      </c>
      <c r="O43" s="87">
        <v>3265</v>
      </c>
      <c r="P43" s="87">
        <v>3366</v>
      </c>
      <c r="Q43" s="87">
        <v>3567</v>
      </c>
      <c r="R43" s="87">
        <v>3437</v>
      </c>
      <c r="S43" s="87">
        <v>3594</v>
      </c>
      <c r="T43" s="87">
        <v>3616</v>
      </c>
      <c r="U43" s="87">
        <v>3611</v>
      </c>
      <c r="V43" s="87">
        <v>3716</v>
      </c>
      <c r="W43" s="87">
        <v>3917</v>
      </c>
      <c r="X43" s="87">
        <v>3991</v>
      </c>
      <c r="Y43" s="87">
        <v>3943</v>
      </c>
      <c r="Z43" s="87">
        <v>3799</v>
      </c>
      <c r="AA43" s="87">
        <v>3770</v>
      </c>
      <c r="AB43" s="87">
        <v>3726</v>
      </c>
      <c r="AC43" s="87">
        <v>3576</v>
      </c>
      <c r="AD43" s="87">
        <v>3635</v>
      </c>
      <c r="AE43" s="87">
        <v>3431</v>
      </c>
      <c r="AF43" s="87">
        <v>2404</v>
      </c>
      <c r="AG43" s="87">
        <v>2310</v>
      </c>
      <c r="AH43" s="87">
        <v>2442</v>
      </c>
      <c r="AI43" s="87">
        <v>2533</v>
      </c>
      <c r="AJ43" s="87">
        <v>2903</v>
      </c>
      <c r="AK43" s="87">
        <v>3030</v>
      </c>
      <c r="AL43" s="87">
        <v>2938</v>
      </c>
      <c r="AM43" s="87">
        <v>2794</v>
      </c>
      <c r="AN43" s="87">
        <v>2813</v>
      </c>
      <c r="AO43" s="87">
        <v>3057</v>
      </c>
      <c r="AP43" s="87">
        <v>2963</v>
      </c>
      <c r="AQ43" s="87">
        <v>3166</v>
      </c>
      <c r="AR43" s="87">
        <v>3331</v>
      </c>
      <c r="AS43" s="87">
        <v>3279</v>
      </c>
      <c r="AT43" s="87">
        <v>3439</v>
      </c>
      <c r="AU43" s="87">
        <v>3623</v>
      </c>
      <c r="AV43" s="87">
        <v>3491</v>
      </c>
      <c r="AW43" s="87">
        <v>3489</v>
      </c>
      <c r="AX43" s="87">
        <v>3436</v>
      </c>
      <c r="AY43" s="87">
        <v>3527</v>
      </c>
      <c r="AZ43" s="87">
        <v>3623</v>
      </c>
      <c r="BA43" s="87">
        <v>3821</v>
      </c>
      <c r="BB43" s="87">
        <v>3854</v>
      </c>
      <c r="BC43" s="87">
        <v>3993</v>
      </c>
      <c r="BD43" s="87">
        <v>3866</v>
      </c>
      <c r="BE43" s="87">
        <v>3758</v>
      </c>
      <c r="BF43" s="87">
        <v>3635</v>
      </c>
      <c r="BG43" s="87">
        <v>3703</v>
      </c>
      <c r="BH43" s="87">
        <v>3685</v>
      </c>
      <c r="BI43" s="87">
        <v>3797</v>
      </c>
      <c r="BJ43" s="87">
        <v>3831</v>
      </c>
      <c r="BK43" s="87">
        <v>4040</v>
      </c>
      <c r="BL43" s="87">
        <v>3967</v>
      </c>
      <c r="BM43" s="87">
        <v>3801</v>
      </c>
      <c r="BN43" s="87">
        <v>3869</v>
      </c>
      <c r="BO43" s="87">
        <v>3894</v>
      </c>
      <c r="BP43" s="87">
        <v>4092</v>
      </c>
      <c r="BQ43" s="87">
        <v>4003</v>
      </c>
      <c r="BR43" s="87">
        <v>4026</v>
      </c>
      <c r="BS43" s="87">
        <v>3990</v>
      </c>
      <c r="BT43" s="87">
        <v>3741</v>
      </c>
      <c r="BU43" s="87">
        <v>3639</v>
      </c>
      <c r="BV43" s="87">
        <v>3470</v>
      </c>
      <c r="BW43" s="87">
        <v>3370</v>
      </c>
      <c r="BX43" s="87">
        <v>3209</v>
      </c>
      <c r="BY43" s="87">
        <v>3106</v>
      </c>
      <c r="BZ43" s="87">
        <v>2905</v>
      </c>
      <c r="CA43" s="87">
        <v>2822</v>
      </c>
      <c r="CB43" s="87">
        <v>2718</v>
      </c>
      <c r="CC43" s="87">
        <v>2543</v>
      </c>
      <c r="CD43" s="87">
        <v>2506</v>
      </c>
      <c r="CE43" s="87">
        <v>2437</v>
      </c>
      <c r="CF43" s="87">
        <v>2275</v>
      </c>
      <c r="CG43" s="87">
        <v>2369</v>
      </c>
      <c r="CH43" s="87">
        <v>2470</v>
      </c>
      <c r="CI43" s="87">
        <v>2528</v>
      </c>
      <c r="CJ43" s="87">
        <v>2831</v>
      </c>
      <c r="CK43" s="87">
        <v>2036</v>
      </c>
      <c r="CL43" s="87">
        <v>1999</v>
      </c>
      <c r="CM43" s="87">
        <v>1957</v>
      </c>
      <c r="CN43" s="87">
        <v>1747</v>
      </c>
      <c r="CO43" s="87">
        <v>1592</v>
      </c>
      <c r="CP43" s="87">
        <v>1309</v>
      </c>
      <c r="CQ43" s="87">
        <v>1313</v>
      </c>
      <c r="CR43" s="87">
        <v>1252</v>
      </c>
      <c r="CS43" s="87">
        <v>1209</v>
      </c>
      <c r="CT43" s="87">
        <v>1090</v>
      </c>
      <c r="CU43" s="87">
        <v>976</v>
      </c>
      <c r="CV43" s="87">
        <v>780</v>
      </c>
      <c r="CW43" s="87">
        <v>654</v>
      </c>
      <c r="CX43" s="87">
        <v>621</v>
      </c>
      <c r="CY43" s="87">
        <v>1900</v>
      </c>
      <c r="CZ43" s="88">
        <v>2929</v>
      </c>
      <c r="DA43" s="88">
        <v>2966</v>
      </c>
      <c r="DB43" s="88">
        <v>2997</v>
      </c>
      <c r="DC43" s="88">
        <v>3212</v>
      </c>
      <c r="DD43" s="88">
        <v>3219</v>
      </c>
      <c r="DE43" s="88">
        <v>3374</v>
      </c>
      <c r="DF43" s="88">
        <v>3456</v>
      </c>
      <c r="DG43" s="88">
        <v>3551</v>
      </c>
      <c r="DH43" s="88">
        <v>3437</v>
      </c>
      <c r="DI43" s="88">
        <v>3531</v>
      </c>
      <c r="DJ43" s="88">
        <v>3852</v>
      </c>
      <c r="DK43" s="88">
        <v>3833</v>
      </c>
      <c r="DL43" s="88">
        <v>3724</v>
      </c>
      <c r="DM43" s="88">
        <v>3685</v>
      </c>
      <c r="DN43" s="88">
        <v>3722</v>
      </c>
      <c r="DO43" s="88">
        <v>3554</v>
      </c>
      <c r="DP43" s="88">
        <v>3461</v>
      </c>
      <c r="DQ43" s="88">
        <v>3441</v>
      </c>
      <c r="DR43" s="88">
        <v>3195</v>
      </c>
      <c r="DS43" s="88">
        <v>1877</v>
      </c>
      <c r="DT43" s="88">
        <v>1852</v>
      </c>
      <c r="DU43" s="88">
        <v>2091</v>
      </c>
      <c r="DV43" s="88">
        <v>2430</v>
      </c>
      <c r="DW43" s="88">
        <v>2779</v>
      </c>
      <c r="DX43" s="88">
        <v>2758</v>
      </c>
      <c r="DY43" s="88">
        <v>2867</v>
      </c>
      <c r="DZ43" s="88">
        <v>2913</v>
      </c>
      <c r="EA43" s="88">
        <v>2982</v>
      </c>
      <c r="EB43" s="88">
        <v>3036</v>
      </c>
      <c r="EC43" s="88">
        <v>3243</v>
      </c>
      <c r="ED43" s="88">
        <v>3460</v>
      </c>
      <c r="EE43" s="88">
        <v>3661</v>
      </c>
      <c r="EF43" s="88">
        <v>3715</v>
      </c>
      <c r="EG43" s="88">
        <v>3713</v>
      </c>
      <c r="EH43" s="88">
        <v>3860</v>
      </c>
      <c r="EI43" s="88">
        <v>3796</v>
      </c>
      <c r="EJ43" s="88">
        <v>3847</v>
      </c>
      <c r="EK43" s="88">
        <v>3961</v>
      </c>
      <c r="EL43" s="88">
        <v>3936</v>
      </c>
      <c r="EM43" s="88">
        <v>4064</v>
      </c>
      <c r="EN43" s="88">
        <v>4029</v>
      </c>
      <c r="EO43" s="88">
        <v>4298</v>
      </c>
      <c r="EP43" s="88">
        <v>4093</v>
      </c>
      <c r="EQ43" s="88">
        <v>4114</v>
      </c>
      <c r="ER43" s="88">
        <v>3884</v>
      </c>
      <c r="ES43" s="88">
        <v>3791</v>
      </c>
      <c r="ET43" s="88">
        <v>3806</v>
      </c>
      <c r="EU43" s="88">
        <v>3779</v>
      </c>
      <c r="EV43" s="88">
        <v>3775</v>
      </c>
      <c r="EW43" s="88">
        <v>4149</v>
      </c>
      <c r="EX43" s="88">
        <v>4117</v>
      </c>
      <c r="EY43" s="88">
        <v>4224</v>
      </c>
      <c r="EZ43" s="88">
        <v>3986</v>
      </c>
      <c r="FA43" s="88">
        <v>4092</v>
      </c>
      <c r="FB43" s="88">
        <v>4186</v>
      </c>
      <c r="FC43" s="88">
        <v>4289</v>
      </c>
      <c r="FD43" s="88">
        <v>4077</v>
      </c>
      <c r="FE43" s="88">
        <v>4056</v>
      </c>
      <c r="FF43" s="88">
        <v>4023</v>
      </c>
      <c r="FG43" s="88">
        <v>3952</v>
      </c>
      <c r="FH43" s="88">
        <v>3671</v>
      </c>
      <c r="FI43" s="88">
        <v>3589</v>
      </c>
      <c r="FJ43" s="88">
        <v>3378</v>
      </c>
      <c r="FK43" s="88">
        <v>3354</v>
      </c>
      <c r="FL43" s="88">
        <v>3114</v>
      </c>
      <c r="FM43" s="88">
        <v>3069</v>
      </c>
      <c r="FN43" s="88">
        <v>2865</v>
      </c>
      <c r="FO43" s="88">
        <v>2741</v>
      </c>
      <c r="FP43" s="88">
        <v>2712</v>
      </c>
      <c r="FQ43" s="88">
        <v>2748</v>
      </c>
      <c r="FR43" s="88">
        <v>2568</v>
      </c>
      <c r="FS43" s="88">
        <v>2687</v>
      </c>
      <c r="FT43" s="88">
        <v>2700</v>
      </c>
      <c r="FU43" s="88">
        <v>2780</v>
      </c>
      <c r="FV43" s="88">
        <v>2856</v>
      </c>
      <c r="FW43" s="88">
        <v>3174</v>
      </c>
      <c r="FX43" s="88">
        <v>2428</v>
      </c>
      <c r="FY43" s="88">
        <v>2263</v>
      </c>
      <c r="FZ43" s="88">
        <v>2352</v>
      </c>
      <c r="GA43" s="88">
        <v>2190</v>
      </c>
      <c r="GB43" s="88">
        <v>1858</v>
      </c>
      <c r="GC43" s="88">
        <v>1576</v>
      </c>
      <c r="GD43" s="88">
        <v>1766</v>
      </c>
      <c r="GE43" s="88">
        <v>1605</v>
      </c>
      <c r="GF43" s="88">
        <v>1549</v>
      </c>
      <c r="GG43" s="88">
        <v>1343</v>
      </c>
      <c r="GH43" s="88">
        <v>1254</v>
      </c>
      <c r="GI43" s="88">
        <v>1208</v>
      </c>
      <c r="GJ43" s="88">
        <v>979</v>
      </c>
      <c r="GK43" s="88">
        <v>865</v>
      </c>
      <c r="GL43" s="89">
        <v>3902</v>
      </c>
    </row>
    <row r="44" spans="1:194" s="1" customFormat="1" x14ac:dyDescent="0.2">
      <c r="A44" s="90" t="s">
        <v>94</v>
      </c>
      <c r="B44" s="146" t="s">
        <v>129</v>
      </c>
      <c r="C44" s="30" t="str">
        <f t="shared" si="4"/>
        <v xml:space="preserve">England – CCGs - Bury </v>
      </c>
      <c r="D44" s="51">
        <f t="shared" si="7"/>
        <v>81000</v>
      </c>
      <c r="E44" s="51">
        <f t="shared" si="7"/>
        <v>85029</v>
      </c>
      <c r="F44" s="52">
        <f t="shared" si="8"/>
        <v>194606</v>
      </c>
      <c r="G44" s="52">
        <f t="shared" si="9"/>
        <v>95665</v>
      </c>
      <c r="H44" s="52">
        <f t="shared" si="10"/>
        <v>98941</v>
      </c>
      <c r="I44" s="697">
        <f t="shared" si="5"/>
        <v>81000</v>
      </c>
      <c r="J44" s="53">
        <f t="shared" si="6"/>
        <v>85029</v>
      </c>
      <c r="K44" s="50">
        <f t="shared" si="11"/>
        <v>22616</v>
      </c>
      <c r="L44" s="51">
        <f t="shared" si="12"/>
        <v>21290</v>
      </c>
      <c r="M44" s="87">
        <v>1039</v>
      </c>
      <c r="N44" s="87">
        <v>1103</v>
      </c>
      <c r="O44" s="87">
        <v>1179</v>
      </c>
      <c r="P44" s="87">
        <v>1207</v>
      </c>
      <c r="Q44" s="87">
        <v>1148</v>
      </c>
      <c r="R44" s="87">
        <v>1173</v>
      </c>
      <c r="S44" s="87">
        <v>1275</v>
      </c>
      <c r="T44" s="87">
        <v>1260</v>
      </c>
      <c r="U44" s="87">
        <v>1284</v>
      </c>
      <c r="V44" s="87">
        <v>1276</v>
      </c>
      <c r="W44" s="87">
        <v>1367</v>
      </c>
      <c r="X44" s="87">
        <v>1354</v>
      </c>
      <c r="Y44" s="87">
        <v>1318</v>
      </c>
      <c r="Z44" s="87">
        <v>1367</v>
      </c>
      <c r="AA44" s="87">
        <v>1356</v>
      </c>
      <c r="AB44" s="87">
        <v>1239</v>
      </c>
      <c r="AC44" s="87">
        <v>1333</v>
      </c>
      <c r="AD44" s="87">
        <v>1338</v>
      </c>
      <c r="AE44" s="87">
        <v>1224</v>
      </c>
      <c r="AF44" s="87">
        <v>961</v>
      </c>
      <c r="AG44" s="87">
        <v>929</v>
      </c>
      <c r="AH44" s="87">
        <v>923</v>
      </c>
      <c r="AI44" s="87">
        <v>974</v>
      </c>
      <c r="AJ44" s="87">
        <v>1081</v>
      </c>
      <c r="AK44" s="87">
        <v>1060</v>
      </c>
      <c r="AL44" s="87">
        <v>1082</v>
      </c>
      <c r="AM44" s="87">
        <v>1038</v>
      </c>
      <c r="AN44" s="87">
        <v>1097</v>
      </c>
      <c r="AO44" s="87">
        <v>1163</v>
      </c>
      <c r="AP44" s="87">
        <v>1249</v>
      </c>
      <c r="AQ44" s="87">
        <v>1272</v>
      </c>
      <c r="AR44" s="87">
        <v>1270</v>
      </c>
      <c r="AS44" s="87">
        <v>1330</v>
      </c>
      <c r="AT44" s="87">
        <v>1304</v>
      </c>
      <c r="AU44" s="87">
        <v>1309</v>
      </c>
      <c r="AV44" s="87">
        <v>1326</v>
      </c>
      <c r="AW44" s="87">
        <v>1294</v>
      </c>
      <c r="AX44" s="87">
        <v>1288</v>
      </c>
      <c r="AY44" s="87">
        <v>1277</v>
      </c>
      <c r="AZ44" s="87">
        <v>1196</v>
      </c>
      <c r="BA44" s="87">
        <v>1353</v>
      </c>
      <c r="BB44" s="87">
        <v>1311</v>
      </c>
      <c r="BC44" s="87">
        <v>1223</v>
      </c>
      <c r="BD44" s="87">
        <v>1223</v>
      </c>
      <c r="BE44" s="87">
        <v>1115</v>
      </c>
      <c r="BF44" s="87">
        <v>1062</v>
      </c>
      <c r="BG44" s="87">
        <v>1137</v>
      </c>
      <c r="BH44" s="87">
        <v>1210</v>
      </c>
      <c r="BI44" s="87">
        <v>1187</v>
      </c>
      <c r="BJ44" s="87">
        <v>1254</v>
      </c>
      <c r="BK44" s="87">
        <v>1283</v>
      </c>
      <c r="BL44" s="87">
        <v>1355</v>
      </c>
      <c r="BM44" s="87">
        <v>1228</v>
      </c>
      <c r="BN44" s="87">
        <v>1339</v>
      </c>
      <c r="BO44" s="87">
        <v>1271</v>
      </c>
      <c r="BP44" s="87">
        <v>1334</v>
      </c>
      <c r="BQ44" s="87">
        <v>1365</v>
      </c>
      <c r="BR44" s="87">
        <v>1338</v>
      </c>
      <c r="BS44" s="87">
        <v>1358</v>
      </c>
      <c r="BT44" s="87">
        <v>1306</v>
      </c>
      <c r="BU44" s="87">
        <v>1287</v>
      </c>
      <c r="BV44" s="87">
        <v>1132</v>
      </c>
      <c r="BW44" s="87">
        <v>1174</v>
      </c>
      <c r="BX44" s="87">
        <v>1118</v>
      </c>
      <c r="BY44" s="87">
        <v>1065</v>
      </c>
      <c r="BZ44" s="87">
        <v>1005</v>
      </c>
      <c r="CA44" s="87">
        <v>956</v>
      </c>
      <c r="CB44" s="87">
        <v>875</v>
      </c>
      <c r="CC44" s="87">
        <v>864</v>
      </c>
      <c r="CD44" s="87">
        <v>899</v>
      </c>
      <c r="CE44" s="87">
        <v>840</v>
      </c>
      <c r="CF44" s="87">
        <v>891</v>
      </c>
      <c r="CG44" s="87">
        <v>891</v>
      </c>
      <c r="CH44" s="87">
        <v>891</v>
      </c>
      <c r="CI44" s="87">
        <v>895</v>
      </c>
      <c r="CJ44" s="87">
        <v>1025</v>
      </c>
      <c r="CK44" s="87">
        <v>734</v>
      </c>
      <c r="CL44" s="87">
        <v>650</v>
      </c>
      <c r="CM44" s="87">
        <v>657</v>
      </c>
      <c r="CN44" s="87">
        <v>557</v>
      </c>
      <c r="CO44" s="87">
        <v>499</v>
      </c>
      <c r="CP44" s="87">
        <v>411</v>
      </c>
      <c r="CQ44" s="87">
        <v>460</v>
      </c>
      <c r="CR44" s="87">
        <v>420</v>
      </c>
      <c r="CS44" s="87">
        <v>342</v>
      </c>
      <c r="CT44" s="87">
        <v>314</v>
      </c>
      <c r="CU44" s="87">
        <v>248</v>
      </c>
      <c r="CV44" s="87">
        <v>226</v>
      </c>
      <c r="CW44" s="87">
        <v>189</v>
      </c>
      <c r="CX44" s="87">
        <v>167</v>
      </c>
      <c r="CY44" s="87">
        <v>468</v>
      </c>
      <c r="CZ44" s="88">
        <v>1042</v>
      </c>
      <c r="DA44" s="88">
        <v>1056</v>
      </c>
      <c r="DB44" s="88">
        <v>1042</v>
      </c>
      <c r="DC44" s="88">
        <v>1124</v>
      </c>
      <c r="DD44" s="88">
        <v>1141</v>
      </c>
      <c r="DE44" s="88">
        <v>1126</v>
      </c>
      <c r="DF44" s="88">
        <v>1200</v>
      </c>
      <c r="DG44" s="88">
        <v>1177</v>
      </c>
      <c r="DH44" s="88">
        <v>1186</v>
      </c>
      <c r="DI44" s="88">
        <v>1266</v>
      </c>
      <c r="DJ44" s="88">
        <v>1271</v>
      </c>
      <c r="DK44" s="88">
        <v>1281</v>
      </c>
      <c r="DL44" s="88">
        <v>1303</v>
      </c>
      <c r="DM44" s="88">
        <v>1217</v>
      </c>
      <c r="DN44" s="88">
        <v>1339</v>
      </c>
      <c r="DO44" s="88">
        <v>1234</v>
      </c>
      <c r="DP44" s="88">
        <v>1157</v>
      </c>
      <c r="DQ44" s="88">
        <v>1128</v>
      </c>
      <c r="DR44" s="88">
        <v>1085</v>
      </c>
      <c r="DS44" s="88">
        <v>775</v>
      </c>
      <c r="DT44" s="88">
        <v>830</v>
      </c>
      <c r="DU44" s="88">
        <v>815</v>
      </c>
      <c r="DV44" s="88">
        <v>884</v>
      </c>
      <c r="DW44" s="88">
        <v>1053</v>
      </c>
      <c r="DX44" s="88">
        <v>1036</v>
      </c>
      <c r="DY44" s="88">
        <v>1095</v>
      </c>
      <c r="DZ44" s="88">
        <v>1021</v>
      </c>
      <c r="EA44" s="88">
        <v>1179</v>
      </c>
      <c r="EB44" s="88">
        <v>1244</v>
      </c>
      <c r="EC44" s="88">
        <v>1286</v>
      </c>
      <c r="ED44" s="88">
        <v>1362</v>
      </c>
      <c r="EE44" s="88">
        <v>1358</v>
      </c>
      <c r="EF44" s="88">
        <v>1373</v>
      </c>
      <c r="EG44" s="88">
        <v>1396</v>
      </c>
      <c r="EH44" s="88">
        <v>1438</v>
      </c>
      <c r="EI44" s="88">
        <v>1540</v>
      </c>
      <c r="EJ44" s="88">
        <v>1389</v>
      </c>
      <c r="EK44" s="88">
        <v>1447</v>
      </c>
      <c r="EL44" s="88">
        <v>1324</v>
      </c>
      <c r="EM44" s="88">
        <v>1403</v>
      </c>
      <c r="EN44" s="88">
        <v>1393</v>
      </c>
      <c r="EO44" s="88">
        <v>1305</v>
      </c>
      <c r="EP44" s="88">
        <v>1286</v>
      </c>
      <c r="EQ44" s="88">
        <v>1286</v>
      </c>
      <c r="ER44" s="88">
        <v>1202</v>
      </c>
      <c r="ES44" s="88">
        <v>1132</v>
      </c>
      <c r="ET44" s="88">
        <v>1192</v>
      </c>
      <c r="EU44" s="88">
        <v>1239</v>
      </c>
      <c r="EV44" s="88">
        <v>1223</v>
      </c>
      <c r="EW44" s="88">
        <v>1273</v>
      </c>
      <c r="EX44" s="88">
        <v>1347</v>
      </c>
      <c r="EY44" s="88">
        <v>1336</v>
      </c>
      <c r="EZ44" s="88">
        <v>1353</v>
      </c>
      <c r="FA44" s="88">
        <v>1350</v>
      </c>
      <c r="FB44" s="88">
        <v>1357</v>
      </c>
      <c r="FC44" s="88">
        <v>1405</v>
      </c>
      <c r="FD44" s="88">
        <v>1349</v>
      </c>
      <c r="FE44" s="88">
        <v>1365</v>
      </c>
      <c r="FF44" s="88">
        <v>1362</v>
      </c>
      <c r="FG44" s="88">
        <v>1301</v>
      </c>
      <c r="FH44" s="88">
        <v>1281</v>
      </c>
      <c r="FI44" s="88">
        <v>1220</v>
      </c>
      <c r="FJ44" s="88">
        <v>1178</v>
      </c>
      <c r="FK44" s="88">
        <v>1138</v>
      </c>
      <c r="FL44" s="88">
        <v>1061</v>
      </c>
      <c r="FM44" s="88">
        <v>951</v>
      </c>
      <c r="FN44" s="88">
        <v>963</v>
      </c>
      <c r="FO44" s="88">
        <v>944</v>
      </c>
      <c r="FP44" s="88">
        <v>965</v>
      </c>
      <c r="FQ44" s="88">
        <v>980</v>
      </c>
      <c r="FR44" s="88">
        <v>954</v>
      </c>
      <c r="FS44" s="88">
        <v>875</v>
      </c>
      <c r="FT44" s="88">
        <v>924</v>
      </c>
      <c r="FU44" s="88">
        <v>1032</v>
      </c>
      <c r="FV44" s="88">
        <v>1037</v>
      </c>
      <c r="FW44" s="88">
        <v>1164</v>
      </c>
      <c r="FX44" s="88">
        <v>800</v>
      </c>
      <c r="FY44" s="88">
        <v>801</v>
      </c>
      <c r="FZ44" s="88">
        <v>838</v>
      </c>
      <c r="GA44" s="88">
        <v>692</v>
      </c>
      <c r="GB44" s="88">
        <v>586</v>
      </c>
      <c r="GC44" s="88">
        <v>563</v>
      </c>
      <c r="GD44" s="88">
        <v>522</v>
      </c>
      <c r="GE44" s="88">
        <v>525</v>
      </c>
      <c r="GF44" s="88">
        <v>482</v>
      </c>
      <c r="GG44" s="88">
        <v>427</v>
      </c>
      <c r="GH44" s="88">
        <v>396</v>
      </c>
      <c r="GI44" s="88">
        <v>370</v>
      </c>
      <c r="GJ44" s="88">
        <v>307</v>
      </c>
      <c r="GK44" s="88">
        <v>241</v>
      </c>
      <c r="GL44" s="89">
        <v>1045</v>
      </c>
    </row>
    <row r="45" spans="1:194" s="1" customFormat="1" x14ac:dyDescent="0.2">
      <c r="A45" s="90" t="s">
        <v>94</v>
      </c>
      <c r="B45" s="146" t="s">
        <v>130</v>
      </c>
      <c r="C45" s="30" t="str">
        <f t="shared" si="4"/>
        <v xml:space="preserve">England – CCGs - Calderdale </v>
      </c>
      <c r="D45" s="51">
        <f t="shared" si="7"/>
        <v>86580</v>
      </c>
      <c r="E45" s="51">
        <f t="shared" si="7"/>
        <v>91980</v>
      </c>
      <c r="F45" s="52">
        <f t="shared" si="8"/>
        <v>207699</v>
      </c>
      <c r="G45" s="52">
        <f t="shared" si="9"/>
        <v>101550</v>
      </c>
      <c r="H45" s="52">
        <f t="shared" si="10"/>
        <v>106149</v>
      </c>
      <c r="I45" s="697">
        <f t="shared" si="5"/>
        <v>86580</v>
      </c>
      <c r="J45" s="53">
        <f t="shared" si="6"/>
        <v>91980</v>
      </c>
      <c r="K45" s="50">
        <f t="shared" si="11"/>
        <v>23092</v>
      </c>
      <c r="L45" s="51">
        <f t="shared" si="12"/>
        <v>22023</v>
      </c>
      <c r="M45" s="87">
        <v>1064</v>
      </c>
      <c r="N45" s="87">
        <v>1123</v>
      </c>
      <c r="O45" s="87">
        <v>1195</v>
      </c>
      <c r="P45" s="87">
        <v>1142</v>
      </c>
      <c r="Q45" s="87">
        <v>1216</v>
      </c>
      <c r="R45" s="87">
        <v>1205</v>
      </c>
      <c r="S45" s="87">
        <v>1272</v>
      </c>
      <c r="T45" s="87">
        <v>1315</v>
      </c>
      <c r="U45" s="87">
        <v>1329</v>
      </c>
      <c r="V45" s="87">
        <v>1391</v>
      </c>
      <c r="W45" s="87">
        <v>1333</v>
      </c>
      <c r="X45" s="87">
        <v>1385</v>
      </c>
      <c r="Y45" s="87">
        <v>1373</v>
      </c>
      <c r="Z45" s="87">
        <v>1361</v>
      </c>
      <c r="AA45" s="87">
        <v>1397</v>
      </c>
      <c r="AB45" s="87">
        <v>1327</v>
      </c>
      <c r="AC45" s="87">
        <v>1293</v>
      </c>
      <c r="AD45" s="87">
        <v>1371</v>
      </c>
      <c r="AE45" s="87">
        <v>1294</v>
      </c>
      <c r="AF45" s="87">
        <v>972</v>
      </c>
      <c r="AG45" s="87">
        <v>886</v>
      </c>
      <c r="AH45" s="87">
        <v>973</v>
      </c>
      <c r="AI45" s="87">
        <v>1040</v>
      </c>
      <c r="AJ45" s="87">
        <v>1146</v>
      </c>
      <c r="AK45" s="87">
        <v>1165</v>
      </c>
      <c r="AL45" s="87">
        <v>1138</v>
      </c>
      <c r="AM45" s="87">
        <v>1125</v>
      </c>
      <c r="AN45" s="87">
        <v>1150</v>
      </c>
      <c r="AO45" s="87">
        <v>1216</v>
      </c>
      <c r="AP45" s="87">
        <v>1229</v>
      </c>
      <c r="AQ45" s="87">
        <v>1213</v>
      </c>
      <c r="AR45" s="87">
        <v>1208</v>
      </c>
      <c r="AS45" s="87">
        <v>1225</v>
      </c>
      <c r="AT45" s="87">
        <v>1191</v>
      </c>
      <c r="AU45" s="87">
        <v>1272</v>
      </c>
      <c r="AV45" s="87">
        <v>1247</v>
      </c>
      <c r="AW45" s="87">
        <v>1223</v>
      </c>
      <c r="AX45" s="87">
        <v>1302</v>
      </c>
      <c r="AY45" s="87">
        <v>1237</v>
      </c>
      <c r="AZ45" s="87">
        <v>1277</v>
      </c>
      <c r="BA45" s="87">
        <v>1234</v>
      </c>
      <c r="BB45" s="87">
        <v>1264</v>
      </c>
      <c r="BC45" s="87">
        <v>1344</v>
      </c>
      <c r="BD45" s="87">
        <v>1314</v>
      </c>
      <c r="BE45" s="87">
        <v>1198</v>
      </c>
      <c r="BF45" s="87">
        <v>1160</v>
      </c>
      <c r="BG45" s="87">
        <v>1249</v>
      </c>
      <c r="BH45" s="87">
        <v>1183</v>
      </c>
      <c r="BI45" s="87">
        <v>1267</v>
      </c>
      <c r="BJ45" s="87">
        <v>1487</v>
      </c>
      <c r="BK45" s="87">
        <v>1512</v>
      </c>
      <c r="BL45" s="87">
        <v>1567</v>
      </c>
      <c r="BM45" s="87">
        <v>1483</v>
      </c>
      <c r="BN45" s="87">
        <v>1560</v>
      </c>
      <c r="BO45" s="87">
        <v>1520</v>
      </c>
      <c r="BP45" s="87">
        <v>1472</v>
      </c>
      <c r="BQ45" s="87">
        <v>1574</v>
      </c>
      <c r="BR45" s="87">
        <v>1530</v>
      </c>
      <c r="BS45" s="87">
        <v>1493</v>
      </c>
      <c r="BT45" s="87">
        <v>1434</v>
      </c>
      <c r="BU45" s="87">
        <v>1388</v>
      </c>
      <c r="BV45" s="87">
        <v>1333</v>
      </c>
      <c r="BW45" s="87">
        <v>1215</v>
      </c>
      <c r="BX45" s="87">
        <v>1263</v>
      </c>
      <c r="BY45" s="87">
        <v>1216</v>
      </c>
      <c r="BZ45" s="87">
        <v>1199</v>
      </c>
      <c r="CA45" s="87">
        <v>1167</v>
      </c>
      <c r="CB45" s="87">
        <v>1009</v>
      </c>
      <c r="CC45" s="87">
        <v>1076</v>
      </c>
      <c r="CD45" s="87">
        <v>1019</v>
      </c>
      <c r="CE45" s="87">
        <v>973</v>
      </c>
      <c r="CF45" s="87">
        <v>994</v>
      </c>
      <c r="CG45" s="87">
        <v>984</v>
      </c>
      <c r="CH45" s="87">
        <v>1000</v>
      </c>
      <c r="CI45" s="87">
        <v>1076</v>
      </c>
      <c r="CJ45" s="87">
        <v>1091</v>
      </c>
      <c r="CK45" s="87">
        <v>779</v>
      </c>
      <c r="CL45" s="87">
        <v>759</v>
      </c>
      <c r="CM45" s="87">
        <v>761</v>
      </c>
      <c r="CN45" s="87">
        <v>652</v>
      </c>
      <c r="CO45" s="87">
        <v>528</v>
      </c>
      <c r="CP45" s="87">
        <v>489</v>
      </c>
      <c r="CQ45" s="87">
        <v>436</v>
      </c>
      <c r="CR45" s="87">
        <v>396</v>
      </c>
      <c r="CS45" s="87">
        <v>404</v>
      </c>
      <c r="CT45" s="87">
        <v>324</v>
      </c>
      <c r="CU45" s="87">
        <v>290</v>
      </c>
      <c r="CV45" s="87">
        <v>222</v>
      </c>
      <c r="CW45" s="87">
        <v>191</v>
      </c>
      <c r="CX45" s="87">
        <v>158</v>
      </c>
      <c r="CY45" s="87">
        <v>492</v>
      </c>
      <c r="CZ45" s="88">
        <v>996</v>
      </c>
      <c r="DA45" s="88">
        <v>995</v>
      </c>
      <c r="DB45" s="88">
        <v>1093</v>
      </c>
      <c r="DC45" s="88">
        <v>1084</v>
      </c>
      <c r="DD45" s="88">
        <v>1195</v>
      </c>
      <c r="DE45" s="88">
        <v>1213</v>
      </c>
      <c r="DF45" s="88">
        <v>1217</v>
      </c>
      <c r="DG45" s="88">
        <v>1230</v>
      </c>
      <c r="DH45" s="88">
        <v>1173</v>
      </c>
      <c r="DI45" s="88">
        <v>1328</v>
      </c>
      <c r="DJ45" s="88">
        <v>1345</v>
      </c>
      <c r="DK45" s="88">
        <v>1300</v>
      </c>
      <c r="DL45" s="88">
        <v>1356</v>
      </c>
      <c r="DM45" s="88">
        <v>1366</v>
      </c>
      <c r="DN45" s="88">
        <v>1309</v>
      </c>
      <c r="DO45" s="88">
        <v>1263</v>
      </c>
      <c r="DP45" s="88">
        <v>1291</v>
      </c>
      <c r="DQ45" s="88">
        <v>1269</v>
      </c>
      <c r="DR45" s="88">
        <v>1165</v>
      </c>
      <c r="DS45" s="88">
        <v>805</v>
      </c>
      <c r="DT45" s="88">
        <v>799</v>
      </c>
      <c r="DU45" s="88">
        <v>829</v>
      </c>
      <c r="DV45" s="88">
        <v>994</v>
      </c>
      <c r="DW45" s="88">
        <v>1034</v>
      </c>
      <c r="DX45" s="88">
        <v>1149</v>
      </c>
      <c r="DY45" s="88">
        <v>1151</v>
      </c>
      <c r="DZ45" s="88">
        <v>1140</v>
      </c>
      <c r="EA45" s="88">
        <v>1190</v>
      </c>
      <c r="EB45" s="88">
        <v>1243</v>
      </c>
      <c r="EC45" s="88">
        <v>1304</v>
      </c>
      <c r="ED45" s="88">
        <v>1358</v>
      </c>
      <c r="EE45" s="88">
        <v>1344</v>
      </c>
      <c r="EF45" s="88">
        <v>1365</v>
      </c>
      <c r="EG45" s="88">
        <v>1375</v>
      </c>
      <c r="EH45" s="88">
        <v>1416</v>
      </c>
      <c r="EI45" s="88">
        <v>1459</v>
      </c>
      <c r="EJ45" s="88">
        <v>1337</v>
      </c>
      <c r="EK45" s="88">
        <v>1430</v>
      </c>
      <c r="EL45" s="88">
        <v>1378</v>
      </c>
      <c r="EM45" s="88">
        <v>1361</v>
      </c>
      <c r="EN45" s="88">
        <v>1359</v>
      </c>
      <c r="EO45" s="88">
        <v>1360</v>
      </c>
      <c r="EP45" s="88">
        <v>1412</v>
      </c>
      <c r="EQ45" s="88">
        <v>1331</v>
      </c>
      <c r="ER45" s="88">
        <v>1190</v>
      </c>
      <c r="ES45" s="88">
        <v>1206</v>
      </c>
      <c r="ET45" s="88">
        <v>1287</v>
      </c>
      <c r="EU45" s="88">
        <v>1314</v>
      </c>
      <c r="EV45" s="88">
        <v>1461</v>
      </c>
      <c r="EW45" s="88">
        <v>1456</v>
      </c>
      <c r="EX45" s="88">
        <v>1492</v>
      </c>
      <c r="EY45" s="88">
        <v>1632</v>
      </c>
      <c r="EZ45" s="88">
        <v>1632</v>
      </c>
      <c r="FA45" s="88">
        <v>1558</v>
      </c>
      <c r="FB45" s="88">
        <v>1608</v>
      </c>
      <c r="FC45" s="88">
        <v>1620</v>
      </c>
      <c r="FD45" s="88">
        <v>1519</v>
      </c>
      <c r="FE45" s="88">
        <v>1497</v>
      </c>
      <c r="FF45" s="88">
        <v>1584</v>
      </c>
      <c r="FG45" s="88">
        <v>1493</v>
      </c>
      <c r="FH45" s="88">
        <v>1509</v>
      </c>
      <c r="FI45" s="88">
        <v>1408</v>
      </c>
      <c r="FJ45" s="88">
        <v>1331</v>
      </c>
      <c r="FK45" s="88">
        <v>1301</v>
      </c>
      <c r="FL45" s="88">
        <v>1312</v>
      </c>
      <c r="FM45" s="88">
        <v>1260</v>
      </c>
      <c r="FN45" s="88">
        <v>1207</v>
      </c>
      <c r="FO45" s="88">
        <v>1120</v>
      </c>
      <c r="FP45" s="88">
        <v>1068</v>
      </c>
      <c r="FQ45" s="88">
        <v>1037</v>
      </c>
      <c r="FR45" s="88">
        <v>1021</v>
      </c>
      <c r="FS45" s="88">
        <v>1083</v>
      </c>
      <c r="FT45" s="88">
        <v>1093</v>
      </c>
      <c r="FU45" s="88">
        <v>1110</v>
      </c>
      <c r="FV45" s="88">
        <v>1127</v>
      </c>
      <c r="FW45" s="88">
        <v>1241</v>
      </c>
      <c r="FX45" s="88">
        <v>887</v>
      </c>
      <c r="FY45" s="88">
        <v>878</v>
      </c>
      <c r="FZ45" s="88">
        <v>818</v>
      </c>
      <c r="GA45" s="88">
        <v>761</v>
      </c>
      <c r="GB45" s="88">
        <v>670</v>
      </c>
      <c r="GC45" s="88">
        <v>565</v>
      </c>
      <c r="GD45" s="88">
        <v>545</v>
      </c>
      <c r="GE45" s="88">
        <v>543</v>
      </c>
      <c r="GF45" s="88">
        <v>522</v>
      </c>
      <c r="GG45" s="88">
        <v>455</v>
      </c>
      <c r="GH45" s="88">
        <v>410</v>
      </c>
      <c r="GI45" s="88">
        <v>366</v>
      </c>
      <c r="GJ45" s="88">
        <v>319</v>
      </c>
      <c r="GK45" s="88">
        <v>286</v>
      </c>
      <c r="GL45" s="89">
        <v>1236</v>
      </c>
    </row>
    <row r="46" spans="1:194" s="1" customFormat="1" x14ac:dyDescent="0.2">
      <c r="A46" s="90" t="s">
        <v>94</v>
      </c>
      <c r="B46" s="146" t="s">
        <v>131</v>
      </c>
      <c r="C46" s="30" t="str">
        <f t="shared" si="4"/>
        <v xml:space="preserve">England – CCGs - Cambridgeshire and Peterborough </v>
      </c>
      <c r="D46" s="51">
        <f t="shared" si="7"/>
        <v>398916</v>
      </c>
      <c r="E46" s="51">
        <f t="shared" si="7"/>
        <v>413772</v>
      </c>
      <c r="F46" s="52">
        <f t="shared" si="8"/>
        <v>944517</v>
      </c>
      <c r="G46" s="52">
        <f t="shared" si="9"/>
        <v>466419</v>
      </c>
      <c r="H46" s="52">
        <f t="shared" si="10"/>
        <v>478098</v>
      </c>
      <c r="I46" s="697">
        <f t="shared" si="5"/>
        <v>398916</v>
      </c>
      <c r="J46" s="53">
        <f t="shared" si="6"/>
        <v>413772</v>
      </c>
      <c r="K46" s="50">
        <f t="shared" si="11"/>
        <v>102340</v>
      </c>
      <c r="L46" s="51">
        <f t="shared" si="12"/>
        <v>97016</v>
      </c>
      <c r="M46" s="87">
        <v>4911</v>
      </c>
      <c r="N46" s="87">
        <v>5066</v>
      </c>
      <c r="O46" s="87">
        <v>5310</v>
      </c>
      <c r="P46" s="87">
        <v>5330</v>
      </c>
      <c r="Q46" s="87">
        <v>5585</v>
      </c>
      <c r="R46" s="87">
        <v>5374</v>
      </c>
      <c r="S46" s="87">
        <v>5907</v>
      </c>
      <c r="T46" s="87">
        <v>5683</v>
      </c>
      <c r="U46" s="87">
        <v>5958</v>
      </c>
      <c r="V46" s="87">
        <v>6007</v>
      </c>
      <c r="W46" s="87">
        <v>6223</v>
      </c>
      <c r="X46" s="87">
        <v>6149</v>
      </c>
      <c r="Y46" s="87">
        <v>6057</v>
      </c>
      <c r="Z46" s="87">
        <v>5917</v>
      </c>
      <c r="AA46" s="87">
        <v>6073</v>
      </c>
      <c r="AB46" s="87">
        <v>5741</v>
      </c>
      <c r="AC46" s="87">
        <v>5504</v>
      </c>
      <c r="AD46" s="87">
        <v>5545</v>
      </c>
      <c r="AE46" s="87">
        <v>5525</v>
      </c>
      <c r="AF46" s="87">
        <v>5738</v>
      </c>
      <c r="AG46" s="87">
        <v>5793</v>
      </c>
      <c r="AH46" s="87">
        <v>5452</v>
      </c>
      <c r="AI46" s="87">
        <v>5799</v>
      </c>
      <c r="AJ46" s="87">
        <v>6371</v>
      </c>
      <c r="AK46" s="87">
        <v>6333</v>
      </c>
      <c r="AL46" s="87">
        <v>6120</v>
      </c>
      <c r="AM46" s="87">
        <v>6235</v>
      </c>
      <c r="AN46" s="87">
        <v>6244</v>
      </c>
      <c r="AO46" s="87">
        <v>6338</v>
      </c>
      <c r="AP46" s="87">
        <v>6307</v>
      </c>
      <c r="AQ46" s="87">
        <v>6429</v>
      </c>
      <c r="AR46" s="87">
        <v>6705</v>
      </c>
      <c r="AS46" s="87">
        <v>6557</v>
      </c>
      <c r="AT46" s="87">
        <v>6621</v>
      </c>
      <c r="AU46" s="87">
        <v>6588</v>
      </c>
      <c r="AV46" s="87">
        <v>6506</v>
      </c>
      <c r="AW46" s="87">
        <v>6654</v>
      </c>
      <c r="AX46" s="87">
        <v>6548</v>
      </c>
      <c r="AY46" s="87">
        <v>6236</v>
      </c>
      <c r="AZ46" s="87">
        <v>6334</v>
      </c>
      <c r="BA46" s="87">
        <v>6332</v>
      </c>
      <c r="BB46" s="87">
        <v>6598</v>
      </c>
      <c r="BC46" s="87">
        <v>6197</v>
      </c>
      <c r="BD46" s="87">
        <v>6443</v>
      </c>
      <c r="BE46" s="87">
        <v>5877</v>
      </c>
      <c r="BF46" s="87">
        <v>5681</v>
      </c>
      <c r="BG46" s="87">
        <v>5882</v>
      </c>
      <c r="BH46" s="87">
        <v>5891</v>
      </c>
      <c r="BI46" s="87">
        <v>5896</v>
      </c>
      <c r="BJ46" s="87">
        <v>6154</v>
      </c>
      <c r="BK46" s="87">
        <v>6228</v>
      </c>
      <c r="BL46" s="87">
        <v>6285</v>
      </c>
      <c r="BM46" s="87">
        <v>6123</v>
      </c>
      <c r="BN46" s="87">
        <v>6250</v>
      </c>
      <c r="BO46" s="87">
        <v>6184</v>
      </c>
      <c r="BP46" s="87">
        <v>5991</v>
      </c>
      <c r="BQ46" s="87">
        <v>6108</v>
      </c>
      <c r="BR46" s="87">
        <v>6013</v>
      </c>
      <c r="BS46" s="87">
        <v>5947</v>
      </c>
      <c r="BT46" s="87">
        <v>5860</v>
      </c>
      <c r="BU46" s="87">
        <v>5616</v>
      </c>
      <c r="BV46" s="87">
        <v>5391</v>
      </c>
      <c r="BW46" s="87">
        <v>5134</v>
      </c>
      <c r="BX46" s="87">
        <v>4960</v>
      </c>
      <c r="BY46" s="87">
        <v>5029</v>
      </c>
      <c r="BZ46" s="87">
        <v>4653</v>
      </c>
      <c r="CA46" s="87">
        <v>4412</v>
      </c>
      <c r="CB46" s="87">
        <v>4191</v>
      </c>
      <c r="CC46" s="87">
        <v>4109</v>
      </c>
      <c r="CD46" s="87">
        <v>4007</v>
      </c>
      <c r="CE46" s="87">
        <v>3954</v>
      </c>
      <c r="CF46" s="87">
        <v>3996</v>
      </c>
      <c r="CG46" s="87">
        <v>4005</v>
      </c>
      <c r="CH46" s="87">
        <v>4144</v>
      </c>
      <c r="CI46" s="87">
        <v>4244</v>
      </c>
      <c r="CJ46" s="87">
        <v>4517</v>
      </c>
      <c r="CK46" s="87">
        <v>3608</v>
      </c>
      <c r="CL46" s="87">
        <v>3336</v>
      </c>
      <c r="CM46" s="87">
        <v>3164</v>
      </c>
      <c r="CN46" s="87">
        <v>2872</v>
      </c>
      <c r="CO46" s="87">
        <v>2463</v>
      </c>
      <c r="CP46" s="87">
        <v>2103</v>
      </c>
      <c r="CQ46" s="87">
        <v>2033</v>
      </c>
      <c r="CR46" s="87">
        <v>1901</v>
      </c>
      <c r="CS46" s="87">
        <v>1802</v>
      </c>
      <c r="CT46" s="87">
        <v>1642</v>
      </c>
      <c r="CU46" s="87">
        <v>1365</v>
      </c>
      <c r="CV46" s="87">
        <v>1226</v>
      </c>
      <c r="CW46" s="87">
        <v>1042</v>
      </c>
      <c r="CX46" s="87">
        <v>843</v>
      </c>
      <c r="CY46" s="87">
        <v>2944</v>
      </c>
      <c r="CZ46" s="88">
        <v>4816</v>
      </c>
      <c r="DA46" s="88">
        <v>4803</v>
      </c>
      <c r="DB46" s="88">
        <v>5016</v>
      </c>
      <c r="DC46" s="88">
        <v>5059</v>
      </c>
      <c r="DD46" s="88">
        <v>5205</v>
      </c>
      <c r="DE46" s="88">
        <v>5315</v>
      </c>
      <c r="DF46" s="88">
        <v>5654</v>
      </c>
      <c r="DG46" s="88">
        <v>5553</v>
      </c>
      <c r="DH46" s="88">
        <v>5499</v>
      </c>
      <c r="DI46" s="88">
        <v>5853</v>
      </c>
      <c r="DJ46" s="88">
        <v>5850</v>
      </c>
      <c r="DK46" s="88">
        <v>5703</v>
      </c>
      <c r="DL46" s="88">
        <v>5619</v>
      </c>
      <c r="DM46" s="88">
        <v>5769</v>
      </c>
      <c r="DN46" s="88">
        <v>5648</v>
      </c>
      <c r="DO46" s="88">
        <v>5400</v>
      </c>
      <c r="DP46" s="88">
        <v>5107</v>
      </c>
      <c r="DQ46" s="88">
        <v>5147</v>
      </c>
      <c r="DR46" s="88">
        <v>5202</v>
      </c>
      <c r="DS46" s="88">
        <v>5532</v>
      </c>
      <c r="DT46" s="88">
        <v>5576</v>
      </c>
      <c r="DU46" s="88">
        <v>5183</v>
      </c>
      <c r="DV46" s="88">
        <v>5350</v>
      </c>
      <c r="DW46" s="88">
        <v>5683</v>
      </c>
      <c r="DX46" s="88">
        <v>5835</v>
      </c>
      <c r="DY46" s="88">
        <v>5663</v>
      </c>
      <c r="DZ46" s="88">
        <v>5930</v>
      </c>
      <c r="EA46" s="88">
        <v>6061</v>
      </c>
      <c r="EB46" s="88">
        <v>6464</v>
      </c>
      <c r="EC46" s="88">
        <v>6316</v>
      </c>
      <c r="ED46" s="88">
        <v>6771</v>
      </c>
      <c r="EE46" s="88">
        <v>6894</v>
      </c>
      <c r="EF46" s="88">
        <v>6961</v>
      </c>
      <c r="EG46" s="88">
        <v>7030</v>
      </c>
      <c r="EH46" s="88">
        <v>7116</v>
      </c>
      <c r="EI46" s="88">
        <v>6848</v>
      </c>
      <c r="EJ46" s="88">
        <v>6830</v>
      </c>
      <c r="EK46" s="88">
        <v>7051</v>
      </c>
      <c r="EL46" s="88">
        <v>6625</v>
      </c>
      <c r="EM46" s="88">
        <v>6696</v>
      </c>
      <c r="EN46" s="88">
        <v>6625</v>
      </c>
      <c r="EO46" s="88">
        <v>6755</v>
      </c>
      <c r="EP46" s="88">
        <v>6666</v>
      </c>
      <c r="EQ46" s="88">
        <v>6348</v>
      </c>
      <c r="ER46" s="88">
        <v>5929</v>
      </c>
      <c r="ES46" s="88">
        <v>5904</v>
      </c>
      <c r="ET46" s="88">
        <v>5953</v>
      </c>
      <c r="EU46" s="88">
        <v>5893</v>
      </c>
      <c r="EV46" s="88">
        <v>6094</v>
      </c>
      <c r="EW46" s="88">
        <v>6240</v>
      </c>
      <c r="EX46" s="88">
        <v>6457</v>
      </c>
      <c r="EY46" s="88">
        <v>6634</v>
      </c>
      <c r="EZ46" s="88">
        <v>6292</v>
      </c>
      <c r="FA46" s="88">
        <v>6326</v>
      </c>
      <c r="FB46" s="88">
        <v>6248</v>
      </c>
      <c r="FC46" s="88">
        <v>6530</v>
      </c>
      <c r="FD46" s="88">
        <v>6326</v>
      </c>
      <c r="FE46" s="88">
        <v>6285</v>
      </c>
      <c r="FF46" s="88">
        <v>6105</v>
      </c>
      <c r="FG46" s="88">
        <v>5958</v>
      </c>
      <c r="FH46" s="88">
        <v>5738</v>
      </c>
      <c r="FI46" s="88">
        <v>5538</v>
      </c>
      <c r="FJ46" s="88">
        <v>5191</v>
      </c>
      <c r="FK46" s="88">
        <v>5069</v>
      </c>
      <c r="FL46" s="88">
        <v>4907</v>
      </c>
      <c r="FM46" s="88">
        <v>4767</v>
      </c>
      <c r="FN46" s="88">
        <v>4637</v>
      </c>
      <c r="FO46" s="88">
        <v>4514</v>
      </c>
      <c r="FP46" s="88">
        <v>4731</v>
      </c>
      <c r="FQ46" s="88">
        <v>4488</v>
      </c>
      <c r="FR46" s="88">
        <v>4462</v>
      </c>
      <c r="FS46" s="88">
        <v>4324</v>
      </c>
      <c r="FT46" s="88">
        <v>4291</v>
      </c>
      <c r="FU46" s="88">
        <v>4482</v>
      </c>
      <c r="FV46" s="88">
        <v>4612</v>
      </c>
      <c r="FW46" s="88">
        <v>5302</v>
      </c>
      <c r="FX46" s="88">
        <v>3802</v>
      </c>
      <c r="FY46" s="88">
        <v>3655</v>
      </c>
      <c r="FZ46" s="88">
        <v>3517</v>
      </c>
      <c r="GA46" s="88">
        <v>3289</v>
      </c>
      <c r="GB46" s="88">
        <v>2788</v>
      </c>
      <c r="GC46" s="88">
        <v>2469</v>
      </c>
      <c r="GD46" s="88">
        <v>2559</v>
      </c>
      <c r="GE46" s="88">
        <v>2543</v>
      </c>
      <c r="GF46" s="88">
        <v>2270</v>
      </c>
      <c r="GG46" s="88">
        <v>2058</v>
      </c>
      <c r="GH46" s="88">
        <v>1878</v>
      </c>
      <c r="GI46" s="88">
        <v>1640</v>
      </c>
      <c r="GJ46" s="88">
        <v>1417</v>
      </c>
      <c r="GK46" s="88">
        <v>1304</v>
      </c>
      <c r="GL46" s="89">
        <v>5655</v>
      </c>
    </row>
    <row r="47" spans="1:194" s="1" customFormat="1" x14ac:dyDescent="0.2">
      <c r="A47" s="90" t="s">
        <v>94</v>
      </c>
      <c r="B47" s="146" t="s">
        <v>132</v>
      </c>
      <c r="C47" s="30" t="str">
        <f t="shared" si="4"/>
        <v xml:space="preserve">England – CCGs - Cannock Chase </v>
      </c>
      <c r="D47" s="51">
        <f t="shared" si="7"/>
        <v>58426</v>
      </c>
      <c r="E47" s="51">
        <f t="shared" si="7"/>
        <v>60997</v>
      </c>
      <c r="F47" s="52">
        <f t="shared" si="8"/>
        <v>137726</v>
      </c>
      <c r="G47" s="52">
        <f t="shared" si="9"/>
        <v>67795</v>
      </c>
      <c r="H47" s="52">
        <f t="shared" si="10"/>
        <v>69931</v>
      </c>
      <c r="I47" s="697">
        <f t="shared" si="5"/>
        <v>58426</v>
      </c>
      <c r="J47" s="53">
        <f t="shared" si="6"/>
        <v>60997</v>
      </c>
      <c r="K47" s="50">
        <f t="shared" si="11"/>
        <v>13981</v>
      </c>
      <c r="L47" s="51">
        <f t="shared" si="12"/>
        <v>13461</v>
      </c>
      <c r="M47" s="87">
        <v>698</v>
      </c>
      <c r="N47" s="87">
        <v>707</v>
      </c>
      <c r="O47" s="87">
        <v>784</v>
      </c>
      <c r="P47" s="87">
        <v>768</v>
      </c>
      <c r="Q47" s="87">
        <v>814</v>
      </c>
      <c r="R47" s="87">
        <v>763</v>
      </c>
      <c r="S47" s="87">
        <v>807</v>
      </c>
      <c r="T47" s="87">
        <v>757</v>
      </c>
      <c r="U47" s="87">
        <v>797</v>
      </c>
      <c r="V47" s="87">
        <v>839</v>
      </c>
      <c r="W47" s="87">
        <v>826</v>
      </c>
      <c r="X47" s="87">
        <v>809</v>
      </c>
      <c r="Y47" s="87">
        <v>810</v>
      </c>
      <c r="Z47" s="87">
        <v>756</v>
      </c>
      <c r="AA47" s="87">
        <v>775</v>
      </c>
      <c r="AB47" s="87">
        <v>748</v>
      </c>
      <c r="AC47" s="87">
        <v>784</v>
      </c>
      <c r="AD47" s="87">
        <v>739</v>
      </c>
      <c r="AE47" s="87">
        <v>764</v>
      </c>
      <c r="AF47" s="87">
        <v>576</v>
      </c>
      <c r="AG47" s="87">
        <v>608</v>
      </c>
      <c r="AH47" s="87">
        <v>596</v>
      </c>
      <c r="AI47" s="87">
        <v>661</v>
      </c>
      <c r="AJ47" s="87">
        <v>785</v>
      </c>
      <c r="AK47" s="87">
        <v>787</v>
      </c>
      <c r="AL47" s="87">
        <v>848</v>
      </c>
      <c r="AM47" s="87">
        <v>822</v>
      </c>
      <c r="AN47" s="87">
        <v>805</v>
      </c>
      <c r="AO47" s="87">
        <v>856</v>
      </c>
      <c r="AP47" s="87">
        <v>886</v>
      </c>
      <c r="AQ47" s="87">
        <v>947</v>
      </c>
      <c r="AR47" s="87">
        <v>978</v>
      </c>
      <c r="AS47" s="87">
        <v>926</v>
      </c>
      <c r="AT47" s="87">
        <v>921</v>
      </c>
      <c r="AU47" s="87">
        <v>957</v>
      </c>
      <c r="AV47" s="87">
        <v>904</v>
      </c>
      <c r="AW47" s="87">
        <v>918</v>
      </c>
      <c r="AX47" s="87">
        <v>887</v>
      </c>
      <c r="AY47" s="87">
        <v>881</v>
      </c>
      <c r="AZ47" s="87">
        <v>840</v>
      </c>
      <c r="BA47" s="87">
        <v>815</v>
      </c>
      <c r="BB47" s="87">
        <v>847</v>
      </c>
      <c r="BC47" s="87">
        <v>806</v>
      </c>
      <c r="BD47" s="87">
        <v>824</v>
      </c>
      <c r="BE47" s="87">
        <v>678</v>
      </c>
      <c r="BF47" s="87">
        <v>678</v>
      </c>
      <c r="BG47" s="87">
        <v>738</v>
      </c>
      <c r="BH47" s="87">
        <v>764</v>
      </c>
      <c r="BI47" s="87">
        <v>809</v>
      </c>
      <c r="BJ47" s="87">
        <v>949</v>
      </c>
      <c r="BK47" s="87">
        <v>983</v>
      </c>
      <c r="BL47" s="87">
        <v>965</v>
      </c>
      <c r="BM47" s="87">
        <v>1040</v>
      </c>
      <c r="BN47" s="87">
        <v>1113</v>
      </c>
      <c r="BO47" s="87">
        <v>1087</v>
      </c>
      <c r="BP47" s="87">
        <v>1056</v>
      </c>
      <c r="BQ47" s="87">
        <v>1047</v>
      </c>
      <c r="BR47" s="87">
        <v>1038</v>
      </c>
      <c r="BS47" s="87">
        <v>1068</v>
      </c>
      <c r="BT47" s="87">
        <v>1007</v>
      </c>
      <c r="BU47" s="87">
        <v>982</v>
      </c>
      <c r="BV47" s="87">
        <v>908</v>
      </c>
      <c r="BW47" s="87">
        <v>838</v>
      </c>
      <c r="BX47" s="87">
        <v>934</v>
      </c>
      <c r="BY47" s="87">
        <v>811</v>
      </c>
      <c r="BZ47" s="87">
        <v>762</v>
      </c>
      <c r="CA47" s="87">
        <v>736</v>
      </c>
      <c r="CB47" s="87">
        <v>665</v>
      </c>
      <c r="CC47" s="87">
        <v>777</v>
      </c>
      <c r="CD47" s="87">
        <v>669</v>
      </c>
      <c r="CE47" s="87">
        <v>632</v>
      </c>
      <c r="CF47" s="87">
        <v>653</v>
      </c>
      <c r="CG47" s="87">
        <v>677</v>
      </c>
      <c r="CH47" s="87">
        <v>694</v>
      </c>
      <c r="CI47" s="87">
        <v>717</v>
      </c>
      <c r="CJ47" s="87">
        <v>740</v>
      </c>
      <c r="CK47" s="87">
        <v>580</v>
      </c>
      <c r="CL47" s="87">
        <v>605</v>
      </c>
      <c r="CM47" s="87">
        <v>539</v>
      </c>
      <c r="CN47" s="87">
        <v>512</v>
      </c>
      <c r="CO47" s="87">
        <v>417</v>
      </c>
      <c r="CP47" s="87">
        <v>356</v>
      </c>
      <c r="CQ47" s="87">
        <v>354</v>
      </c>
      <c r="CR47" s="87">
        <v>320</v>
      </c>
      <c r="CS47" s="87">
        <v>260</v>
      </c>
      <c r="CT47" s="87">
        <v>239</v>
      </c>
      <c r="CU47" s="87">
        <v>202</v>
      </c>
      <c r="CV47" s="87">
        <v>174</v>
      </c>
      <c r="CW47" s="87">
        <v>139</v>
      </c>
      <c r="CX47" s="87">
        <v>107</v>
      </c>
      <c r="CY47" s="87">
        <v>350</v>
      </c>
      <c r="CZ47" s="88">
        <v>641</v>
      </c>
      <c r="DA47" s="88">
        <v>735</v>
      </c>
      <c r="DB47" s="88">
        <v>722</v>
      </c>
      <c r="DC47" s="88">
        <v>732</v>
      </c>
      <c r="DD47" s="88">
        <v>775</v>
      </c>
      <c r="DE47" s="88">
        <v>730</v>
      </c>
      <c r="DF47" s="88">
        <v>714</v>
      </c>
      <c r="DG47" s="88">
        <v>752</v>
      </c>
      <c r="DH47" s="88">
        <v>740</v>
      </c>
      <c r="DI47" s="88">
        <v>839</v>
      </c>
      <c r="DJ47" s="88">
        <v>764</v>
      </c>
      <c r="DK47" s="88">
        <v>790</v>
      </c>
      <c r="DL47" s="88">
        <v>725</v>
      </c>
      <c r="DM47" s="88">
        <v>742</v>
      </c>
      <c r="DN47" s="88">
        <v>772</v>
      </c>
      <c r="DO47" s="88">
        <v>795</v>
      </c>
      <c r="DP47" s="88">
        <v>787</v>
      </c>
      <c r="DQ47" s="88">
        <v>706</v>
      </c>
      <c r="DR47" s="88">
        <v>642</v>
      </c>
      <c r="DS47" s="88">
        <v>478</v>
      </c>
      <c r="DT47" s="88">
        <v>494</v>
      </c>
      <c r="DU47" s="88">
        <v>573</v>
      </c>
      <c r="DV47" s="88">
        <v>635</v>
      </c>
      <c r="DW47" s="88">
        <v>761</v>
      </c>
      <c r="DX47" s="88">
        <v>798</v>
      </c>
      <c r="DY47" s="88">
        <v>904</v>
      </c>
      <c r="DZ47" s="88">
        <v>881</v>
      </c>
      <c r="EA47" s="88">
        <v>835</v>
      </c>
      <c r="EB47" s="88">
        <v>947</v>
      </c>
      <c r="EC47" s="88">
        <v>959</v>
      </c>
      <c r="ED47" s="88">
        <v>1048</v>
      </c>
      <c r="EE47" s="88">
        <v>976</v>
      </c>
      <c r="EF47" s="88">
        <v>917</v>
      </c>
      <c r="EG47" s="88">
        <v>946</v>
      </c>
      <c r="EH47" s="88">
        <v>978</v>
      </c>
      <c r="EI47" s="88">
        <v>943</v>
      </c>
      <c r="EJ47" s="88">
        <v>927</v>
      </c>
      <c r="EK47" s="88">
        <v>887</v>
      </c>
      <c r="EL47" s="88">
        <v>876</v>
      </c>
      <c r="EM47" s="88">
        <v>862</v>
      </c>
      <c r="EN47" s="88">
        <v>872</v>
      </c>
      <c r="EO47" s="88">
        <v>899</v>
      </c>
      <c r="EP47" s="88">
        <v>828</v>
      </c>
      <c r="EQ47" s="88">
        <v>802</v>
      </c>
      <c r="ER47" s="88">
        <v>703</v>
      </c>
      <c r="ES47" s="88">
        <v>674</v>
      </c>
      <c r="ET47" s="88">
        <v>731</v>
      </c>
      <c r="EU47" s="88">
        <v>778</v>
      </c>
      <c r="EV47" s="88">
        <v>892</v>
      </c>
      <c r="EW47" s="88">
        <v>939</v>
      </c>
      <c r="EX47" s="88">
        <v>986</v>
      </c>
      <c r="EY47" s="88">
        <v>1049</v>
      </c>
      <c r="EZ47" s="88">
        <v>1054</v>
      </c>
      <c r="FA47" s="88">
        <v>1075</v>
      </c>
      <c r="FB47" s="88">
        <v>1089</v>
      </c>
      <c r="FC47" s="88">
        <v>992</v>
      </c>
      <c r="FD47" s="88">
        <v>1060</v>
      </c>
      <c r="FE47" s="88">
        <v>1066</v>
      </c>
      <c r="FF47" s="88">
        <v>1026</v>
      </c>
      <c r="FG47" s="88">
        <v>1011</v>
      </c>
      <c r="FH47" s="88">
        <v>1058</v>
      </c>
      <c r="FI47" s="88">
        <v>963</v>
      </c>
      <c r="FJ47" s="88">
        <v>821</v>
      </c>
      <c r="FK47" s="88">
        <v>864</v>
      </c>
      <c r="FL47" s="88">
        <v>824</v>
      </c>
      <c r="FM47" s="88">
        <v>789</v>
      </c>
      <c r="FN47" s="88">
        <v>790</v>
      </c>
      <c r="FO47" s="88">
        <v>756</v>
      </c>
      <c r="FP47" s="88">
        <v>730</v>
      </c>
      <c r="FQ47" s="88">
        <v>761</v>
      </c>
      <c r="FR47" s="88">
        <v>694</v>
      </c>
      <c r="FS47" s="88">
        <v>710</v>
      </c>
      <c r="FT47" s="88">
        <v>792</v>
      </c>
      <c r="FU47" s="88">
        <v>696</v>
      </c>
      <c r="FV47" s="88">
        <v>818</v>
      </c>
      <c r="FW47" s="88">
        <v>867</v>
      </c>
      <c r="FX47" s="88">
        <v>652</v>
      </c>
      <c r="FY47" s="88">
        <v>636</v>
      </c>
      <c r="FZ47" s="88">
        <v>619</v>
      </c>
      <c r="GA47" s="88">
        <v>574</v>
      </c>
      <c r="GB47" s="88">
        <v>558</v>
      </c>
      <c r="GC47" s="88">
        <v>443</v>
      </c>
      <c r="GD47" s="88">
        <v>419</v>
      </c>
      <c r="GE47" s="88">
        <v>452</v>
      </c>
      <c r="GF47" s="88">
        <v>371</v>
      </c>
      <c r="GG47" s="88">
        <v>343</v>
      </c>
      <c r="GH47" s="88">
        <v>283</v>
      </c>
      <c r="GI47" s="88">
        <v>226</v>
      </c>
      <c r="GJ47" s="88">
        <v>220</v>
      </c>
      <c r="GK47" s="88">
        <v>195</v>
      </c>
      <c r="GL47" s="89">
        <v>753</v>
      </c>
    </row>
    <row r="48" spans="1:194" s="1" customFormat="1" x14ac:dyDescent="0.2">
      <c r="A48" s="90" t="s">
        <v>94</v>
      </c>
      <c r="B48" s="146" t="s">
        <v>133</v>
      </c>
      <c r="C48" s="30" t="str">
        <f t="shared" si="4"/>
        <v xml:space="preserve">England – CCGs - Castle Point and Rochford </v>
      </c>
      <c r="D48" s="51">
        <f t="shared" si="7"/>
        <v>74290</v>
      </c>
      <c r="E48" s="51">
        <f t="shared" si="7"/>
        <v>80321</v>
      </c>
      <c r="F48" s="52">
        <f t="shared" si="8"/>
        <v>176947</v>
      </c>
      <c r="G48" s="52">
        <f t="shared" si="9"/>
        <v>85739</v>
      </c>
      <c r="H48" s="52">
        <f t="shared" si="10"/>
        <v>91208</v>
      </c>
      <c r="I48" s="697">
        <f t="shared" si="5"/>
        <v>74290</v>
      </c>
      <c r="J48" s="53">
        <f t="shared" si="6"/>
        <v>80321</v>
      </c>
      <c r="K48" s="50">
        <f t="shared" si="11"/>
        <v>17670</v>
      </c>
      <c r="L48" s="51">
        <f t="shared" si="12"/>
        <v>16853</v>
      </c>
      <c r="M48" s="87">
        <v>864</v>
      </c>
      <c r="N48" s="87">
        <v>810</v>
      </c>
      <c r="O48" s="87">
        <v>892</v>
      </c>
      <c r="P48" s="87">
        <v>889</v>
      </c>
      <c r="Q48" s="87">
        <v>946</v>
      </c>
      <c r="R48" s="87">
        <v>972</v>
      </c>
      <c r="S48" s="87">
        <v>1002</v>
      </c>
      <c r="T48" s="87">
        <v>947</v>
      </c>
      <c r="U48" s="87">
        <v>951</v>
      </c>
      <c r="V48" s="87">
        <v>1042</v>
      </c>
      <c r="W48" s="87">
        <v>1040</v>
      </c>
      <c r="X48" s="87">
        <v>1094</v>
      </c>
      <c r="Y48" s="87">
        <v>1011</v>
      </c>
      <c r="Z48" s="87">
        <v>1082</v>
      </c>
      <c r="AA48" s="87">
        <v>1080</v>
      </c>
      <c r="AB48" s="87">
        <v>1068</v>
      </c>
      <c r="AC48" s="87">
        <v>1028</v>
      </c>
      <c r="AD48" s="87">
        <v>952</v>
      </c>
      <c r="AE48" s="87">
        <v>1029</v>
      </c>
      <c r="AF48" s="87">
        <v>773</v>
      </c>
      <c r="AG48" s="87">
        <v>709</v>
      </c>
      <c r="AH48" s="87">
        <v>838</v>
      </c>
      <c r="AI48" s="87">
        <v>886</v>
      </c>
      <c r="AJ48" s="87">
        <v>976</v>
      </c>
      <c r="AK48" s="87">
        <v>1016</v>
      </c>
      <c r="AL48" s="87">
        <v>1025</v>
      </c>
      <c r="AM48" s="87">
        <v>939</v>
      </c>
      <c r="AN48" s="87">
        <v>909</v>
      </c>
      <c r="AO48" s="87">
        <v>960</v>
      </c>
      <c r="AP48" s="87">
        <v>955</v>
      </c>
      <c r="AQ48" s="87">
        <v>935</v>
      </c>
      <c r="AR48" s="87">
        <v>931</v>
      </c>
      <c r="AS48" s="87">
        <v>967</v>
      </c>
      <c r="AT48" s="87">
        <v>1018</v>
      </c>
      <c r="AU48" s="87">
        <v>945</v>
      </c>
      <c r="AV48" s="87">
        <v>954</v>
      </c>
      <c r="AW48" s="87">
        <v>1017</v>
      </c>
      <c r="AX48" s="87">
        <v>1045</v>
      </c>
      <c r="AY48" s="87">
        <v>922</v>
      </c>
      <c r="AZ48" s="87">
        <v>926</v>
      </c>
      <c r="BA48" s="87">
        <v>969</v>
      </c>
      <c r="BB48" s="87">
        <v>994</v>
      </c>
      <c r="BC48" s="87">
        <v>1020</v>
      </c>
      <c r="BD48" s="87">
        <v>1004</v>
      </c>
      <c r="BE48" s="87">
        <v>900</v>
      </c>
      <c r="BF48" s="87">
        <v>947</v>
      </c>
      <c r="BG48" s="87">
        <v>953</v>
      </c>
      <c r="BH48" s="87">
        <v>1014</v>
      </c>
      <c r="BI48" s="87">
        <v>1080</v>
      </c>
      <c r="BJ48" s="87">
        <v>1050</v>
      </c>
      <c r="BK48" s="87">
        <v>1116</v>
      </c>
      <c r="BL48" s="87">
        <v>1270</v>
      </c>
      <c r="BM48" s="87">
        <v>1197</v>
      </c>
      <c r="BN48" s="87">
        <v>1288</v>
      </c>
      <c r="BO48" s="87">
        <v>1231</v>
      </c>
      <c r="BP48" s="87">
        <v>1338</v>
      </c>
      <c r="BQ48" s="87">
        <v>1307</v>
      </c>
      <c r="BR48" s="87">
        <v>1293</v>
      </c>
      <c r="BS48" s="87">
        <v>1197</v>
      </c>
      <c r="BT48" s="87">
        <v>1212</v>
      </c>
      <c r="BU48" s="87">
        <v>1217</v>
      </c>
      <c r="BV48" s="87">
        <v>1200</v>
      </c>
      <c r="BW48" s="87">
        <v>1070</v>
      </c>
      <c r="BX48" s="87">
        <v>1135</v>
      </c>
      <c r="BY48" s="87">
        <v>1060</v>
      </c>
      <c r="BZ48" s="87">
        <v>1045</v>
      </c>
      <c r="CA48" s="87">
        <v>947</v>
      </c>
      <c r="CB48" s="87">
        <v>900</v>
      </c>
      <c r="CC48" s="87">
        <v>926</v>
      </c>
      <c r="CD48" s="87">
        <v>965</v>
      </c>
      <c r="CE48" s="87">
        <v>871</v>
      </c>
      <c r="CF48" s="87">
        <v>888</v>
      </c>
      <c r="CG48" s="87">
        <v>950</v>
      </c>
      <c r="CH48" s="87">
        <v>1064</v>
      </c>
      <c r="CI48" s="87">
        <v>1165</v>
      </c>
      <c r="CJ48" s="87">
        <v>1328</v>
      </c>
      <c r="CK48" s="87">
        <v>938</v>
      </c>
      <c r="CL48" s="87">
        <v>861</v>
      </c>
      <c r="CM48" s="87">
        <v>826</v>
      </c>
      <c r="CN48" s="87">
        <v>785</v>
      </c>
      <c r="CO48" s="87">
        <v>628</v>
      </c>
      <c r="CP48" s="87">
        <v>530</v>
      </c>
      <c r="CQ48" s="87">
        <v>545</v>
      </c>
      <c r="CR48" s="87">
        <v>480</v>
      </c>
      <c r="CS48" s="87">
        <v>480</v>
      </c>
      <c r="CT48" s="87">
        <v>414</v>
      </c>
      <c r="CU48" s="87">
        <v>383</v>
      </c>
      <c r="CV48" s="87">
        <v>289</v>
      </c>
      <c r="CW48" s="87">
        <v>252</v>
      </c>
      <c r="CX48" s="87">
        <v>234</v>
      </c>
      <c r="CY48" s="87">
        <v>638</v>
      </c>
      <c r="CZ48" s="88">
        <v>800</v>
      </c>
      <c r="DA48" s="88">
        <v>815</v>
      </c>
      <c r="DB48" s="88">
        <v>899</v>
      </c>
      <c r="DC48" s="88">
        <v>879</v>
      </c>
      <c r="DD48" s="88">
        <v>868</v>
      </c>
      <c r="DE48" s="88">
        <v>886</v>
      </c>
      <c r="DF48" s="88">
        <v>882</v>
      </c>
      <c r="DG48" s="88">
        <v>944</v>
      </c>
      <c r="DH48" s="88">
        <v>980</v>
      </c>
      <c r="DI48" s="88">
        <v>925</v>
      </c>
      <c r="DJ48" s="88">
        <v>943</v>
      </c>
      <c r="DK48" s="88">
        <v>1066</v>
      </c>
      <c r="DL48" s="88">
        <v>1043</v>
      </c>
      <c r="DM48" s="88">
        <v>1058</v>
      </c>
      <c r="DN48" s="88">
        <v>999</v>
      </c>
      <c r="DO48" s="88">
        <v>963</v>
      </c>
      <c r="DP48" s="88">
        <v>960</v>
      </c>
      <c r="DQ48" s="88">
        <v>943</v>
      </c>
      <c r="DR48" s="88">
        <v>938</v>
      </c>
      <c r="DS48" s="88">
        <v>654</v>
      </c>
      <c r="DT48" s="88">
        <v>655</v>
      </c>
      <c r="DU48" s="88">
        <v>743</v>
      </c>
      <c r="DV48" s="88">
        <v>856</v>
      </c>
      <c r="DW48" s="88">
        <v>910</v>
      </c>
      <c r="DX48" s="88">
        <v>928</v>
      </c>
      <c r="DY48" s="88">
        <v>937</v>
      </c>
      <c r="DZ48" s="88">
        <v>907</v>
      </c>
      <c r="EA48" s="88">
        <v>906</v>
      </c>
      <c r="EB48" s="88">
        <v>925</v>
      </c>
      <c r="EC48" s="88">
        <v>933</v>
      </c>
      <c r="ED48" s="88">
        <v>1044</v>
      </c>
      <c r="EE48" s="88">
        <v>1040</v>
      </c>
      <c r="EF48" s="88">
        <v>1017</v>
      </c>
      <c r="EG48" s="88">
        <v>1102</v>
      </c>
      <c r="EH48" s="88">
        <v>1039</v>
      </c>
      <c r="EI48" s="88">
        <v>1088</v>
      </c>
      <c r="EJ48" s="88">
        <v>1030</v>
      </c>
      <c r="EK48" s="88">
        <v>1048</v>
      </c>
      <c r="EL48" s="88">
        <v>1094</v>
      </c>
      <c r="EM48" s="88">
        <v>1022</v>
      </c>
      <c r="EN48" s="88">
        <v>1059</v>
      </c>
      <c r="EO48" s="88">
        <v>1114</v>
      </c>
      <c r="EP48" s="88">
        <v>1137</v>
      </c>
      <c r="EQ48" s="88">
        <v>1079</v>
      </c>
      <c r="ER48" s="88">
        <v>926</v>
      </c>
      <c r="ES48" s="88">
        <v>985</v>
      </c>
      <c r="ET48" s="88">
        <v>1076</v>
      </c>
      <c r="EU48" s="88">
        <v>1074</v>
      </c>
      <c r="EV48" s="88">
        <v>1090</v>
      </c>
      <c r="EW48" s="88">
        <v>1121</v>
      </c>
      <c r="EX48" s="88">
        <v>1217</v>
      </c>
      <c r="EY48" s="88">
        <v>1300</v>
      </c>
      <c r="EZ48" s="88">
        <v>1318</v>
      </c>
      <c r="FA48" s="88">
        <v>1369</v>
      </c>
      <c r="FB48" s="88">
        <v>1313</v>
      </c>
      <c r="FC48" s="88">
        <v>1345</v>
      </c>
      <c r="FD48" s="88">
        <v>1334</v>
      </c>
      <c r="FE48" s="88">
        <v>1356</v>
      </c>
      <c r="FF48" s="88">
        <v>1286</v>
      </c>
      <c r="FG48" s="88">
        <v>1302</v>
      </c>
      <c r="FH48" s="88">
        <v>1265</v>
      </c>
      <c r="FI48" s="88">
        <v>1195</v>
      </c>
      <c r="FJ48" s="88">
        <v>1136</v>
      </c>
      <c r="FK48" s="88">
        <v>1127</v>
      </c>
      <c r="FL48" s="88">
        <v>1092</v>
      </c>
      <c r="FM48" s="88">
        <v>1088</v>
      </c>
      <c r="FN48" s="88">
        <v>1069</v>
      </c>
      <c r="FO48" s="88">
        <v>1010</v>
      </c>
      <c r="FP48" s="88">
        <v>1067</v>
      </c>
      <c r="FQ48" s="88">
        <v>1071</v>
      </c>
      <c r="FR48" s="88">
        <v>1058</v>
      </c>
      <c r="FS48" s="88">
        <v>1113</v>
      </c>
      <c r="FT48" s="88">
        <v>1134</v>
      </c>
      <c r="FU48" s="88">
        <v>1186</v>
      </c>
      <c r="FV48" s="88">
        <v>1339</v>
      </c>
      <c r="FW48" s="88">
        <v>1519</v>
      </c>
      <c r="FX48" s="88">
        <v>1111</v>
      </c>
      <c r="FY48" s="88">
        <v>1009</v>
      </c>
      <c r="FZ48" s="88">
        <v>981</v>
      </c>
      <c r="GA48" s="88">
        <v>941</v>
      </c>
      <c r="GB48" s="88">
        <v>842</v>
      </c>
      <c r="GC48" s="88">
        <v>685</v>
      </c>
      <c r="GD48" s="88">
        <v>691</v>
      </c>
      <c r="GE48" s="88">
        <v>706</v>
      </c>
      <c r="GF48" s="88">
        <v>640</v>
      </c>
      <c r="GG48" s="88">
        <v>573</v>
      </c>
      <c r="GH48" s="88">
        <v>555</v>
      </c>
      <c r="GI48" s="88">
        <v>464</v>
      </c>
      <c r="GJ48" s="88">
        <v>406</v>
      </c>
      <c r="GK48" s="88">
        <v>365</v>
      </c>
      <c r="GL48" s="89">
        <v>1300</v>
      </c>
    </row>
    <row r="49" spans="1:194" s="1" customFormat="1" x14ac:dyDescent="0.2">
      <c r="A49" s="90" t="s">
        <v>94</v>
      </c>
      <c r="B49" s="146" t="s">
        <v>134</v>
      </c>
      <c r="C49" s="30" t="str">
        <f t="shared" si="4"/>
        <v xml:space="preserve">England – CCGs - Cheshire </v>
      </c>
      <c r="D49" s="51">
        <f t="shared" si="7"/>
        <v>325541</v>
      </c>
      <c r="E49" s="51">
        <f t="shared" si="7"/>
        <v>344184</v>
      </c>
      <c r="F49" s="52">
        <f t="shared" si="8"/>
        <v>768221</v>
      </c>
      <c r="G49" s="52">
        <f t="shared" si="9"/>
        <v>376029</v>
      </c>
      <c r="H49" s="52">
        <f t="shared" si="10"/>
        <v>392192</v>
      </c>
      <c r="I49" s="697">
        <f t="shared" si="5"/>
        <v>325541</v>
      </c>
      <c r="J49" s="53">
        <f t="shared" si="6"/>
        <v>344184</v>
      </c>
      <c r="K49" s="50">
        <f t="shared" si="11"/>
        <v>77447</v>
      </c>
      <c r="L49" s="51">
        <f t="shared" si="12"/>
        <v>73217</v>
      </c>
      <c r="M49" s="87">
        <v>3722</v>
      </c>
      <c r="N49" s="87">
        <v>3710</v>
      </c>
      <c r="O49" s="87">
        <v>3870</v>
      </c>
      <c r="P49" s="87">
        <v>3889</v>
      </c>
      <c r="Q49" s="87">
        <v>4236</v>
      </c>
      <c r="R49" s="87">
        <v>4274</v>
      </c>
      <c r="S49" s="87">
        <v>4376</v>
      </c>
      <c r="T49" s="87">
        <v>4293</v>
      </c>
      <c r="U49" s="87">
        <v>4346</v>
      </c>
      <c r="V49" s="87">
        <v>4513</v>
      </c>
      <c r="W49" s="87">
        <v>4713</v>
      </c>
      <c r="X49" s="87">
        <v>4546</v>
      </c>
      <c r="Y49" s="87">
        <v>4534</v>
      </c>
      <c r="Z49" s="87">
        <v>4622</v>
      </c>
      <c r="AA49" s="87">
        <v>4711</v>
      </c>
      <c r="AB49" s="87">
        <v>4397</v>
      </c>
      <c r="AC49" s="87">
        <v>4328</v>
      </c>
      <c r="AD49" s="87">
        <v>4367</v>
      </c>
      <c r="AE49" s="87">
        <v>4029</v>
      </c>
      <c r="AF49" s="87">
        <v>3007</v>
      </c>
      <c r="AG49" s="87">
        <v>3132</v>
      </c>
      <c r="AH49" s="87">
        <v>3196</v>
      </c>
      <c r="AI49" s="87">
        <v>3636</v>
      </c>
      <c r="AJ49" s="87">
        <v>3995</v>
      </c>
      <c r="AK49" s="87">
        <v>4007</v>
      </c>
      <c r="AL49" s="87">
        <v>4169</v>
      </c>
      <c r="AM49" s="87">
        <v>4028</v>
      </c>
      <c r="AN49" s="87">
        <v>4315</v>
      </c>
      <c r="AO49" s="87">
        <v>4442</v>
      </c>
      <c r="AP49" s="87">
        <v>4452</v>
      </c>
      <c r="AQ49" s="87">
        <v>4681</v>
      </c>
      <c r="AR49" s="87">
        <v>4890</v>
      </c>
      <c r="AS49" s="87">
        <v>4802</v>
      </c>
      <c r="AT49" s="87">
        <v>4801</v>
      </c>
      <c r="AU49" s="87">
        <v>4730</v>
      </c>
      <c r="AV49" s="87">
        <v>4635</v>
      </c>
      <c r="AW49" s="87">
        <v>4792</v>
      </c>
      <c r="AX49" s="87">
        <v>4987</v>
      </c>
      <c r="AY49" s="87">
        <v>4603</v>
      </c>
      <c r="AZ49" s="87">
        <v>4702</v>
      </c>
      <c r="BA49" s="87">
        <v>4628</v>
      </c>
      <c r="BB49" s="87">
        <v>4719</v>
      </c>
      <c r="BC49" s="87">
        <v>4723</v>
      </c>
      <c r="BD49" s="87">
        <v>4627</v>
      </c>
      <c r="BE49" s="87">
        <v>4307</v>
      </c>
      <c r="BF49" s="87">
        <v>4123</v>
      </c>
      <c r="BG49" s="87">
        <v>4404</v>
      </c>
      <c r="BH49" s="87">
        <v>4590</v>
      </c>
      <c r="BI49" s="87">
        <v>4676</v>
      </c>
      <c r="BJ49" s="87">
        <v>5082</v>
      </c>
      <c r="BK49" s="87">
        <v>5306</v>
      </c>
      <c r="BL49" s="87">
        <v>5585</v>
      </c>
      <c r="BM49" s="87">
        <v>5390</v>
      </c>
      <c r="BN49" s="87">
        <v>5590</v>
      </c>
      <c r="BO49" s="87">
        <v>5715</v>
      </c>
      <c r="BP49" s="87">
        <v>5505</v>
      </c>
      <c r="BQ49" s="87">
        <v>5619</v>
      </c>
      <c r="BR49" s="87">
        <v>5573</v>
      </c>
      <c r="BS49" s="87">
        <v>5697</v>
      </c>
      <c r="BT49" s="87">
        <v>5712</v>
      </c>
      <c r="BU49" s="87">
        <v>5442</v>
      </c>
      <c r="BV49" s="87">
        <v>5210</v>
      </c>
      <c r="BW49" s="87">
        <v>4992</v>
      </c>
      <c r="BX49" s="87">
        <v>4751</v>
      </c>
      <c r="BY49" s="87">
        <v>4681</v>
      </c>
      <c r="BZ49" s="87">
        <v>4329</v>
      </c>
      <c r="CA49" s="87">
        <v>4313</v>
      </c>
      <c r="CB49" s="87">
        <v>4144</v>
      </c>
      <c r="CC49" s="87">
        <v>4151</v>
      </c>
      <c r="CD49" s="87">
        <v>4197</v>
      </c>
      <c r="CE49" s="87">
        <v>3873</v>
      </c>
      <c r="CF49" s="87">
        <v>3933</v>
      </c>
      <c r="CG49" s="87">
        <v>3955</v>
      </c>
      <c r="CH49" s="87">
        <v>4062</v>
      </c>
      <c r="CI49" s="87">
        <v>4318</v>
      </c>
      <c r="CJ49" s="87">
        <v>4643</v>
      </c>
      <c r="CK49" s="87">
        <v>3431</v>
      </c>
      <c r="CL49" s="87">
        <v>3376</v>
      </c>
      <c r="CM49" s="87">
        <v>3263</v>
      </c>
      <c r="CN49" s="87">
        <v>2907</v>
      </c>
      <c r="CO49" s="87">
        <v>2422</v>
      </c>
      <c r="CP49" s="87">
        <v>2159</v>
      </c>
      <c r="CQ49" s="87">
        <v>2022</v>
      </c>
      <c r="CR49" s="87">
        <v>2013</v>
      </c>
      <c r="CS49" s="87">
        <v>1783</v>
      </c>
      <c r="CT49" s="87">
        <v>1522</v>
      </c>
      <c r="CU49" s="87">
        <v>1313</v>
      </c>
      <c r="CV49" s="87">
        <v>1203</v>
      </c>
      <c r="CW49" s="87">
        <v>891</v>
      </c>
      <c r="CX49" s="87">
        <v>819</v>
      </c>
      <c r="CY49" s="87">
        <v>2862</v>
      </c>
      <c r="CZ49" s="88">
        <v>3543</v>
      </c>
      <c r="DA49" s="88">
        <v>3622</v>
      </c>
      <c r="DB49" s="88">
        <v>3694</v>
      </c>
      <c r="DC49" s="88">
        <v>3768</v>
      </c>
      <c r="DD49" s="88">
        <v>3941</v>
      </c>
      <c r="DE49" s="88">
        <v>3994</v>
      </c>
      <c r="DF49" s="88">
        <v>4131</v>
      </c>
      <c r="DG49" s="88">
        <v>4040</v>
      </c>
      <c r="DH49" s="88">
        <v>4109</v>
      </c>
      <c r="DI49" s="88">
        <v>4296</v>
      </c>
      <c r="DJ49" s="88">
        <v>4388</v>
      </c>
      <c r="DK49" s="88">
        <v>4482</v>
      </c>
      <c r="DL49" s="88">
        <v>4262</v>
      </c>
      <c r="DM49" s="88">
        <v>4230</v>
      </c>
      <c r="DN49" s="88">
        <v>4271</v>
      </c>
      <c r="DO49" s="88">
        <v>4129</v>
      </c>
      <c r="DP49" s="88">
        <v>4098</v>
      </c>
      <c r="DQ49" s="88">
        <v>4219</v>
      </c>
      <c r="DR49" s="88">
        <v>3979</v>
      </c>
      <c r="DS49" s="88">
        <v>2884</v>
      </c>
      <c r="DT49" s="88">
        <v>2879</v>
      </c>
      <c r="DU49" s="88">
        <v>3329</v>
      </c>
      <c r="DV49" s="88">
        <v>3808</v>
      </c>
      <c r="DW49" s="88">
        <v>4072</v>
      </c>
      <c r="DX49" s="88">
        <v>4081</v>
      </c>
      <c r="DY49" s="88">
        <v>4273</v>
      </c>
      <c r="DZ49" s="88">
        <v>4013</v>
      </c>
      <c r="EA49" s="88">
        <v>4335</v>
      </c>
      <c r="EB49" s="88">
        <v>4470</v>
      </c>
      <c r="EC49" s="88">
        <v>4504</v>
      </c>
      <c r="ED49" s="88">
        <v>4795</v>
      </c>
      <c r="EE49" s="88">
        <v>5023</v>
      </c>
      <c r="EF49" s="88">
        <v>4783</v>
      </c>
      <c r="EG49" s="88">
        <v>4909</v>
      </c>
      <c r="EH49" s="88">
        <v>5225</v>
      </c>
      <c r="EI49" s="88">
        <v>4906</v>
      </c>
      <c r="EJ49" s="88">
        <v>4971</v>
      </c>
      <c r="EK49" s="88">
        <v>5050</v>
      </c>
      <c r="EL49" s="88">
        <v>4868</v>
      </c>
      <c r="EM49" s="88">
        <v>4927</v>
      </c>
      <c r="EN49" s="88">
        <v>4927</v>
      </c>
      <c r="EO49" s="88">
        <v>4753</v>
      </c>
      <c r="EP49" s="88">
        <v>4947</v>
      </c>
      <c r="EQ49" s="88">
        <v>4823</v>
      </c>
      <c r="ER49" s="88">
        <v>4369</v>
      </c>
      <c r="ES49" s="88">
        <v>4408</v>
      </c>
      <c r="ET49" s="88">
        <v>4537</v>
      </c>
      <c r="EU49" s="88">
        <v>4897</v>
      </c>
      <c r="EV49" s="88">
        <v>5043</v>
      </c>
      <c r="EW49" s="88">
        <v>5148</v>
      </c>
      <c r="EX49" s="88">
        <v>5589</v>
      </c>
      <c r="EY49" s="88">
        <v>5695</v>
      </c>
      <c r="EZ49" s="88">
        <v>5672</v>
      </c>
      <c r="FA49" s="88">
        <v>5901</v>
      </c>
      <c r="FB49" s="88">
        <v>5888</v>
      </c>
      <c r="FC49" s="88">
        <v>5828</v>
      </c>
      <c r="FD49" s="88">
        <v>5917</v>
      </c>
      <c r="FE49" s="88">
        <v>5968</v>
      </c>
      <c r="FF49" s="88">
        <v>5791</v>
      </c>
      <c r="FG49" s="88">
        <v>5849</v>
      </c>
      <c r="FH49" s="88">
        <v>5635</v>
      </c>
      <c r="FI49" s="88">
        <v>5433</v>
      </c>
      <c r="FJ49" s="88">
        <v>5042</v>
      </c>
      <c r="FK49" s="88">
        <v>4934</v>
      </c>
      <c r="FL49" s="88">
        <v>4733</v>
      </c>
      <c r="FM49" s="88">
        <v>4598</v>
      </c>
      <c r="FN49" s="88">
        <v>4435</v>
      </c>
      <c r="FO49" s="88">
        <v>4267</v>
      </c>
      <c r="FP49" s="88">
        <v>4305</v>
      </c>
      <c r="FQ49" s="88">
        <v>4237</v>
      </c>
      <c r="FR49" s="88">
        <v>4177</v>
      </c>
      <c r="FS49" s="88">
        <v>4363</v>
      </c>
      <c r="FT49" s="88">
        <v>4430</v>
      </c>
      <c r="FU49" s="88">
        <v>4452</v>
      </c>
      <c r="FV49" s="88">
        <v>4958</v>
      </c>
      <c r="FW49" s="88">
        <v>5116</v>
      </c>
      <c r="FX49" s="88">
        <v>3809</v>
      </c>
      <c r="FY49" s="88">
        <v>3716</v>
      </c>
      <c r="FZ49" s="88">
        <v>3694</v>
      </c>
      <c r="GA49" s="88">
        <v>3304</v>
      </c>
      <c r="GB49" s="88">
        <v>2921</v>
      </c>
      <c r="GC49" s="88">
        <v>2655</v>
      </c>
      <c r="GD49" s="88">
        <v>2692</v>
      </c>
      <c r="GE49" s="88">
        <v>2429</v>
      </c>
      <c r="GF49" s="88">
        <v>2417</v>
      </c>
      <c r="GG49" s="88">
        <v>2211</v>
      </c>
      <c r="GH49" s="88">
        <v>2023</v>
      </c>
      <c r="GI49" s="88">
        <v>1696</v>
      </c>
      <c r="GJ49" s="88">
        <v>1473</v>
      </c>
      <c r="GK49" s="88">
        <v>1263</v>
      </c>
      <c r="GL49" s="89">
        <v>5523</v>
      </c>
    </row>
    <row r="50" spans="1:194" s="1" customFormat="1" x14ac:dyDescent="0.2">
      <c r="A50" s="90" t="s">
        <v>94</v>
      </c>
      <c r="B50" s="146" t="s">
        <v>135</v>
      </c>
      <c r="C50" s="30" t="str">
        <f t="shared" si="4"/>
        <v xml:space="preserve">England – CCGs - Chorley and South Ribble </v>
      </c>
      <c r="D50" s="51">
        <f t="shared" si="7"/>
        <v>77188</v>
      </c>
      <c r="E50" s="51">
        <f t="shared" si="7"/>
        <v>79240</v>
      </c>
      <c r="F50" s="52">
        <f t="shared" si="8"/>
        <v>180465</v>
      </c>
      <c r="G50" s="52">
        <f t="shared" si="9"/>
        <v>89548</v>
      </c>
      <c r="H50" s="52">
        <f t="shared" si="10"/>
        <v>90917</v>
      </c>
      <c r="I50" s="697">
        <f t="shared" si="5"/>
        <v>77188</v>
      </c>
      <c r="J50" s="53">
        <f t="shared" si="6"/>
        <v>79240</v>
      </c>
      <c r="K50" s="50">
        <f t="shared" si="11"/>
        <v>18807</v>
      </c>
      <c r="L50" s="51">
        <f t="shared" si="12"/>
        <v>17739</v>
      </c>
      <c r="M50" s="87">
        <v>866</v>
      </c>
      <c r="N50" s="87">
        <v>896</v>
      </c>
      <c r="O50" s="87">
        <v>895</v>
      </c>
      <c r="P50" s="87">
        <v>935</v>
      </c>
      <c r="Q50" s="87">
        <v>954</v>
      </c>
      <c r="R50" s="87">
        <v>1057</v>
      </c>
      <c r="S50" s="87">
        <v>1084</v>
      </c>
      <c r="T50" s="87">
        <v>1075</v>
      </c>
      <c r="U50" s="87">
        <v>1118</v>
      </c>
      <c r="V50" s="87">
        <v>1158</v>
      </c>
      <c r="W50" s="87">
        <v>1178</v>
      </c>
      <c r="X50" s="87">
        <v>1144</v>
      </c>
      <c r="Y50" s="87">
        <v>1081</v>
      </c>
      <c r="Z50" s="87">
        <v>1151</v>
      </c>
      <c r="AA50" s="87">
        <v>1050</v>
      </c>
      <c r="AB50" s="87">
        <v>1065</v>
      </c>
      <c r="AC50" s="87">
        <v>1098</v>
      </c>
      <c r="AD50" s="87">
        <v>1002</v>
      </c>
      <c r="AE50" s="87">
        <v>971</v>
      </c>
      <c r="AF50" s="87">
        <v>711</v>
      </c>
      <c r="AG50" s="87">
        <v>727</v>
      </c>
      <c r="AH50" s="87">
        <v>822</v>
      </c>
      <c r="AI50" s="87">
        <v>795</v>
      </c>
      <c r="AJ50" s="87">
        <v>968</v>
      </c>
      <c r="AK50" s="87">
        <v>976</v>
      </c>
      <c r="AL50" s="87">
        <v>965</v>
      </c>
      <c r="AM50" s="87">
        <v>994</v>
      </c>
      <c r="AN50" s="87">
        <v>1007</v>
      </c>
      <c r="AO50" s="87">
        <v>1000</v>
      </c>
      <c r="AP50" s="87">
        <v>1097</v>
      </c>
      <c r="AQ50" s="87">
        <v>1126</v>
      </c>
      <c r="AR50" s="87">
        <v>1181</v>
      </c>
      <c r="AS50" s="87">
        <v>1190</v>
      </c>
      <c r="AT50" s="87">
        <v>1148</v>
      </c>
      <c r="AU50" s="87">
        <v>1236</v>
      </c>
      <c r="AV50" s="87">
        <v>1213</v>
      </c>
      <c r="AW50" s="87">
        <v>1211</v>
      </c>
      <c r="AX50" s="87">
        <v>1199</v>
      </c>
      <c r="AY50" s="87">
        <v>1235</v>
      </c>
      <c r="AZ50" s="87">
        <v>1186</v>
      </c>
      <c r="BA50" s="87">
        <v>1126</v>
      </c>
      <c r="BB50" s="87">
        <v>1223</v>
      </c>
      <c r="BC50" s="87">
        <v>1201</v>
      </c>
      <c r="BD50" s="87">
        <v>1136</v>
      </c>
      <c r="BE50" s="87">
        <v>1063</v>
      </c>
      <c r="BF50" s="87">
        <v>1059</v>
      </c>
      <c r="BG50" s="87">
        <v>1142</v>
      </c>
      <c r="BH50" s="87">
        <v>1168</v>
      </c>
      <c r="BI50" s="87">
        <v>1219</v>
      </c>
      <c r="BJ50" s="87">
        <v>1204</v>
      </c>
      <c r="BK50" s="87">
        <v>1343</v>
      </c>
      <c r="BL50" s="87">
        <v>1433</v>
      </c>
      <c r="BM50" s="87">
        <v>1295</v>
      </c>
      <c r="BN50" s="87">
        <v>1337</v>
      </c>
      <c r="BO50" s="87">
        <v>1331</v>
      </c>
      <c r="BP50" s="87">
        <v>1302</v>
      </c>
      <c r="BQ50" s="87">
        <v>1310</v>
      </c>
      <c r="BR50" s="87">
        <v>1379</v>
      </c>
      <c r="BS50" s="87">
        <v>1320</v>
      </c>
      <c r="BT50" s="87">
        <v>1235</v>
      </c>
      <c r="BU50" s="87">
        <v>1237</v>
      </c>
      <c r="BV50" s="87">
        <v>1243</v>
      </c>
      <c r="BW50" s="87">
        <v>1082</v>
      </c>
      <c r="BX50" s="87">
        <v>1061</v>
      </c>
      <c r="BY50" s="87">
        <v>1062</v>
      </c>
      <c r="BZ50" s="87">
        <v>1006</v>
      </c>
      <c r="CA50" s="87">
        <v>981</v>
      </c>
      <c r="CB50" s="87">
        <v>882</v>
      </c>
      <c r="CC50" s="87">
        <v>956</v>
      </c>
      <c r="CD50" s="87">
        <v>905</v>
      </c>
      <c r="CE50" s="87">
        <v>928</v>
      </c>
      <c r="CF50" s="87">
        <v>916</v>
      </c>
      <c r="CG50" s="87">
        <v>935</v>
      </c>
      <c r="CH50" s="87">
        <v>935</v>
      </c>
      <c r="CI50" s="87">
        <v>1003</v>
      </c>
      <c r="CJ50" s="87">
        <v>1118</v>
      </c>
      <c r="CK50" s="87">
        <v>778</v>
      </c>
      <c r="CL50" s="87">
        <v>730</v>
      </c>
      <c r="CM50" s="87">
        <v>710</v>
      </c>
      <c r="CN50" s="87">
        <v>678</v>
      </c>
      <c r="CO50" s="87">
        <v>538</v>
      </c>
      <c r="CP50" s="87">
        <v>456</v>
      </c>
      <c r="CQ50" s="87">
        <v>452</v>
      </c>
      <c r="CR50" s="87">
        <v>425</v>
      </c>
      <c r="CS50" s="87">
        <v>348</v>
      </c>
      <c r="CT50" s="87">
        <v>329</v>
      </c>
      <c r="CU50" s="87">
        <v>236</v>
      </c>
      <c r="CV50" s="87">
        <v>231</v>
      </c>
      <c r="CW50" s="87">
        <v>172</v>
      </c>
      <c r="CX50" s="87">
        <v>147</v>
      </c>
      <c r="CY50" s="87">
        <v>477</v>
      </c>
      <c r="CZ50" s="88">
        <v>819</v>
      </c>
      <c r="DA50" s="88">
        <v>792</v>
      </c>
      <c r="DB50" s="88">
        <v>907</v>
      </c>
      <c r="DC50" s="88">
        <v>953</v>
      </c>
      <c r="DD50" s="88">
        <v>926</v>
      </c>
      <c r="DE50" s="88">
        <v>1002</v>
      </c>
      <c r="DF50" s="88">
        <v>1019</v>
      </c>
      <c r="DG50" s="88">
        <v>1057</v>
      </c>
      <c r="DH50" s="88">
        <v>1027</v>
      </c>
      <c r="DI50" s="88">
        <v>1044</v>
      </c>
      <c r="DJ50" s="88">
        <v>1072</v>
      </c>
      <c r="DK50" s="88">
        <v>1059</v>
      </c>
      <c r="DL50" s="88">
        <v>1029</v>
      </c>
      <c r="DM50" s="88">
        <v>1067</v>
      </c>
      <c r="DN50" s="88">
        <v>1055</v>
      </c>
      <c r="DO50" s="88">
        <v>967</v>
      </c>
      <c r="DP50" s="88">
        <v>949</v>
      </c>
      <c r="DQ50" s="88">
        <v>995</v>
      </c>
      <c r="DR50" s="88">
        <v>969</v>
      </c>
      <c r="DS50" s="88">
        <v>628</v>
      </c>
      <c r="DT50" s="88">
        <v>621</v>
      </c>
      <c r="DU50" s="88">
        <v>654</v>
      </c>
      <c r="DV50" s="88">
        <v>800</v>
      </c>
      <c r="DW50" s="88">
        <v>908</v>
      </c>
      <c r="DX50" s="88">
        <v>965</v>
      </c>
      <c r="DY50" s="88">
        <v>976</v>
      </c>
      <c r="DZ50" s="88">
        <v>1007</v>
      </c>
      <c r="EA50" s="88">
        <v>974</v>
      </c>
      <c r="EB50" s="88">
        <v>1058</v>
      </c>
      <c r="EC50" s="88">
        <v>1216</v>
      </c>
      <c r="ED50" s="88">
        <v>1148</v>
      </c>
      <c r="EE50" s="88">
        <v>1216</v>
      </c>
      <c r="EF50" s="88">
        <v>1167</v>
      </c>
      <c r="EG50" s="88">
        <v>1223</v>
      </c>
      <c r="EH50" s="88">
        <v>1321</v>
      </c>
      <c r="EI50" s="88">
        <v>1288</v>
      </c>
      <c r="EJ50" s="88">
        <v>1236</v>
      </c>
      <c r="EK50" s="88">
        <v>1268</v>
      </c>
      <c r="EL50" s="88">
        <v>1160</v>
      </c>
      <c r="EM50" s="88">
        <v>1189</v>
      </c>
      <c r="EN50" s="88">
        <v>1151</v>
      </c>
      <c r="EO50" s="88">
        <v>1155</v>
      </c>
      <c r="EP50" s="88">
        <v>1171</v>
      </c>
      <c r="EQ50" s="88">
        <v>1165</v>
      </c>
      <c r="ER50" s="88">
        <v>1016</v>
      </c>
      <c r="ES50" s="88">
        <v>1084</v>
      </c>
      <c r="ET50" s="88">
        <v>1111</v>
      </c>
      <c r="EU50" s="88">
        <v>1073</v>
      </c>
      <c r="EV50" s="88">
        <v>1191</v>
      </c>
      <c r="EW50" s="88">
        <v>1250</v>
      </c>
      <c r="EX50" s="88">
        <v>1307</v>
      </c>
      <c r="EY50" s="88">
        <v>1456</v>
      </c>
      <c r="EZ50" s="88">
        <v>1237</v>
      </c>
      <c r="FA50" s="88">
        <v>1352</v>
      </c>
      <c r="FB50" s="88">
        <v>1388</v>
      </c>
      <c r="FC50" s="88">
        <v>1349</v>
      </c>
      <c r="FD50" s="88">
        <v>1342</v>
      </c>
      <c r="FE50" s="88">
        <v>1338</v>
      </c>
      <c r="FF50" s="88">
        <v>1360</v>
      </c>
      <c r="FG50" s="88">
        <v>1351</v>
      </c>
      <c r="FH50" s="88">
        <v>1239</v>
      </c>
      <c r="FI50" s="88">
        <v>1188</v>
      </c>
      <c r="FJ50" s="88">
        <v>1112</v>
      </c>
      <c r="FK50" s="88">
        <v>1058</v>
      </c>
      <c r="FL50" s="88">
        <v>1074</v>
      </c>
      <c r="FM50" s="88">
        <v>1088</v>
      </c>
      <c r="FN50" s="88">
        <v>1018</v>
      </c>
      <c r="FO50" s="88">
        <v>996</v>
      </c>
      <c r="FP50" s="88">
        <v>1062</v>
      </c>
      <c r="FQ50" s="88">
        <v>952</v>
      </c>
      <c r="FR50" s="88">
        <v>939</v>
      </c>
      <c r="FS50" s="88">
        <v>939</v>
      </c>
      <c r="FT50" s="88">
        <v>1021</v>
      </c>
      <c r="FU50" s="88">
        <v>982</v>
      </c>
      <c r="FV50" s="88">
        <v>1095</v>
      </c>
      <c r="FW50" s="88">
        <v>1136</v>
      </c>
      <c r="FX50" s="88">
        <v>797</v>
      </c>
      <c r="FY50" s="88">
        <v>810</v>
      </c>
      <c r="FZ50" s="88">
        <v>771</v>
      </c>
      <c r="GA50" s="88">
        <v>696</v>
      </c>
      <c r="GB50" s="88">
        <v>630</v>
      </c>
      <c r="GC50" s="88">
        <v>588</v>
      </c>
      <c r="GD50" s="88">
        <v>564</v>
      </c>
      <c r="GE50" s="88">
        <v>509</v>
      </c>
      <c r="GF50" s="88">
        <v>486</v>
      </c>
      <c r="GG50" s="88">
        <v>409</v>
      </c>
      <c r="GH50" s="88">
        <v>330</v>
      </c>
      <c r="GI50" s="88">
        <v>331</v>
      </c>
      <c r="GJ50" s="88">
        <v>293</v>
      </c>
      <c r="GK50" s="88">
        <v>215</v>
      </c>
      <c r="GL50" s="89">
        <v>1011</v>
      </c>
    </row>
    <row r="51" spans="1:194" s="1" customFormat="1" x14ac:dyDescent="0.2">
      <c r="A51" s="90" t="s">
        <v>94</v>
      </c>
      <c r="B51" s="146" t="s">
        <v>136</v>
      </c>
      <c r="C51" s="30" t="str">
        <f t="shared" si="4"/>
        <v xml:space="preserve">England – CCGs - County Durham </v>
      </c>
      <c r="D51" s="51">
        <f t="shared" si="7"/>
        <v>224558</v>
      </c>
      <c r="E51" s="51">
        <f t="shared" si="7"/>
        <v>239164</v>
      </c>
      <c r="F51" s="52">
        <f t="shared" si="8"/>
        <v>528127</v>
      </c>
      <c r="G51" s="52">
        <f t="shared" si="9"/>
        <v>257850</v>
      </c>
      <c r="H51" s="52">
        <f t="shared" si="10"/>
        <v>270277</v>
      </c>
      <c r="I51" s="697">
        <f t="shared" si="5"/>
        <v>224558</v>
      </c>
      <c r="J51" s="53">
        <f t="shared" si="6"/>
        <v>239164</v>
      </c>
      <c r="K51" s="50">
        <f t="shared" si="11"/>
        <v>51201</v>
      </c>
      <c r="L51" s="51">
        <f t="shared" si="12"/>
        <v>48340</v>
      </c>
      <c r="M51" s="87">
        <v>2423</v>
      </c>
      <c r="N51" s="87">
        <v>2511</v>
      </c>
      <c r="O51" s="87">
        <v>2523</v>
      </c>
      <c r="P51" s="87">
        <v>2639</v>
      </c>
      <c r="Q51" s="87">
        <v>2585</v>
      </c>
      <c r="R51" s="87">
        <v>2674</v>
      </c>
      <c r="S51" s="87">
        <v>2868</v>
      </c>
      <c r="T51" s="87">
        <v>2784</v>
      </c>
      <c r="U51" s="87">
        <v>2959</v>
      </c>
      <c r="V51" s="87">
        <v>3088</v>
      </c>
      <c r="W51" s="87">
        <v>3092</v>
      </c>
      <c r="X51" s="87">
        <v>3146</v>
      </c>
      <c r="Y51" s="87">
        <v>3061</v>
      </c>
      <c r="Z51" s="87">
        <v>2979</v>
      </c>
      <c r="AA51" s="87">
        <v>3039</v>
      </c>
      <c r="AB51" s="87">
        <v>3109</v>
      </c>
      <c r="AC51" s="87">
        <v>2897</v>
      </c>
      <c r="AD51" s="87">
        <v>2824</v>
      </c>
      <c r="AE51" s="87">
        <v>3082</v>
      </c>
      <c r="AF51" s="87">
        <v>4536</v>
      </c>
      <c r="AG51" s="87">
        <v>4455</v>
      </c>
      <c r="AH51" s="87">
        <v>3877</v>
      </c>
      <c r="AI51" s="87">
        <v>3303</v>
      </c>
      <c r="AJ51" s="87">
        <v>3058</v>
      </c>
      <c r="AK51" s="87">
        <v>2830</v>
      </c>
      <c r="AL51" s="87">
        <v>2878</v>
      </c>
      <c r="AM51" s="87">
        <v>2777</v>
      </c>
      <c r="AN51" s="87">
        <v>2704</v>
      </c>
      <c r="AO51" s="87">
        <v>2711</v>
      </c>
      <c r="AP51" s="87">
        <v>2870</v>
      </c>
      <c r="AQ51" s="87">
        <v>3024</v>
      </c>
      <c r="AR51" s="87">
        <v>3044</v>
      </c>
      <c r="AS51" s="87">
        <v>2908</v>
      </c>
      <c r="AT51" s="87">
        <v>2855</v>
      </c>
      <c r="AU51" s="87">
        <v>3025</v>
      </c>
      <c r="AV51" s="87">
        <v>2993</v>
      </c>
      <c r="AW51" s="87">
        <v>3046</v>
      </c>
      <c r="AX51" s="87">
        <v>2978</v>
      </c>
      <c r="AY51" s="87">
        <v>2991</v>
      </c>
      <c r="AZ51" s="87">
        <v>3044</v>
      </c>
      <c r="BA51" s="87">
        <v>2968</v>
      </c>
      <c r="BB51" s="87">
        <v>3022</v>
      </c>
      <c r="BC51" s="87">
        <v>2964</v>
      </c>
      <c r="BD51" s="87">
        <v>3051</v>
      </c>
      <c r="BE51" s="87">
        <v>2719</v>
      </c>
      <c r="BF51" s="87">
        <v>2528</v>
      </c>
      <c r="BG51" s="87">
        <v>2796</v>
      </c>
      <c r="BH51" s="87">
        <v>2878</v>
      </c>
      <c r="BI51" s="87">
        <v>2899</v>
      </c>
      <c r="BJ51" s="87">
        <v>3276</v>
      </c>
      <c r="BK51" s="87">
        <v>3422</v>
      </c>
      <c r="BL51" s="87">
        <v>3721</v>
      </c>
      <c r="BM51" s="87">
        <v>3462</v>
      </c>
      <c r="BN51" s="87">
        <v>3711</v>
      </c>
      <c r="BO51" s="87">
        <v>3716</v>
      </c>
      <c r="BP51" s="87">
        <v>3913</v>
      </c>
      <c r="BQ51" s="87">
        <v>3909</v>
      </c>
      <c r="BR51" s="87">
        <v>4042</v>
      </c>
      <c r="BS51" s="87">
        <v>3866</v>
      </c>
      <c r="BT51" s="87">
        <v>3873</v>
      </c>
      <c r="BU51" s="87">
        <v>3917</v>
      </c>
      <c r="BV51" s="87">
        <v>3624</v>
      </c>
      <c r="BW51" s="87">
        <v>3391</v>
      </c>
      <c r="BX51" s="87">
        <v>3517</v>
      </c>
      <c r="BY51" s="87">
        <v>3383</v>
      </c>
      <c r="BZ51" s="87">
        <v>3316</v>
      </c>
      <c r="CA51" s="87">
        <v>3166</v>
      </c>
      <c r="CB51" s="87">
        <v>3134</v>
      </c>
      <c r="CC51" s="87">
        <v>3013</v>
      </c>
      <c r="CD51" s="87">
        <v>2992</v>
      </c>
      <c r="CE51" s="87">
        <v>2856</v>
      </c>
      <c r="CF51" s="87">
        <v>2877</v>
      </c>
      <c r="CG51" s="87">
        <v>2754</v>
      </c>
      <c r="CH51" s="87">
        <v>2865</v>
      </c>
      <c r="CI51" s="87">
        <v>2829</v>
      </c>
      <c r="CJ51" s="87">
        <v>3148</v>
      </c>
      <c r="CK51" s="87">
        <v>2333</v>
      </c>
      <c r="CL51" s="87">
        <v>2193</v>
      </c>
      <c r="CM51" s="87">
        <v>2156</v>
      </c>
      <c r="CN51" s="87">
        <v>1756</v>
      </c>
      <c r="CO51" s="87">
        <v>1559</v>
      </c>
      <c r="CP51" s="87">
        <v>1391</v>
      </c>
      <c r="CQ51" s="87">
        <v>1356</v>
      </c>
      <c r="CR51" s="87">
        <v>1250</v>
      </c>
      <c r="CS51" s="87">
        <v>1112</v>
      </c>
      <c r="CT51" s="87">
        <v>1031</v>
      </c>
      <c r="CU51" s="87">
        <v>792</v>
      </c>
      <c r="CV51" s="87">
        <v>685</v>
      </c>
      <c r="CW51" s="87">
        <v>608</v>
      </c>
      <c r="CX51" s="87">
        <v>473</v>
      </c>
      <c r="CY51" s="87">
        <v>1447</v>
      </c>
      <c r="CZ51" s="88">
        <v>2226</v>
      </c>
      <c r="DA51" s="88">
        <v>2185</v>
      </c>
      <c r="DB51" s="88">
        <v>2353</v>
      </c>
      <c r="DC51" s="88">
        <v>2381</v>
      </c>
      <c r="DD51" s="88">
        <v>2546</v>
      </c>
      <c r="DE51" s="88">
        <v>2619</v>
      </c>
      <c r="DF51" s="88">
        <v>2727</v>
      </c>
      <c r="DG51" s="88">
        <v>2771</v>
      </c>
      <c r="DH51" s="88">
        <v>2761</v>
      </c>
      <c r="DI51" s="88">
        <v>2790</v>
      </c>
      <c r="DJ51" s="88">
        <v>2852</v>
      </c>
      <c r="DK51" s="88">
        <v>2902</v>
      </c>
      <c r="DL51" s="88">
        <v>2985</v>
      </c>
      <c r="DM51" s="88">
        <v>2821</v>
      </c>
      <c r="DN51" s="88">
        <v>3016</v>
      </c>
      <c r="DO51" s="88">
        <v>2811</v>
      </c>
      <c r="DP51" s="88">
        <v>2825</v>
      </c>
      <c r="DQ51" s="88">
        <v>2769</v>
      </c>
      <c r="DR51" s="88">
        <v>2998</v>
      </c>
      <c r="DS51" s="88">
        <v>4635</v>
      </c>
      <c r="DT51" s="88">
        <v>4632</v>
      </c>
      <c r="DU51" s="88">
        <v>3710</v>
      </c>
      <c r="DV51" s="88">
        <v>3178</v>
      </c>
      <c r="DW51" s="88">
        <v>3009</v>
      </c>
      <c r="DX51" s="88">
        <v>2968</v>
      </c>
      <c r="DY51" s="88">
        <v>3029</v>
      </c>
      <c r="DZ51" s="88">
        <v>2860</v>
      </c>
      <c r="EA51" s="88">
        <v>2976</v>
      </c>
      <c r="EB51" s="88">
        <v>3031</v>
      </c>
      <c r="EC51" s="88">
        <v>3084</v>
      </c>
      <c r="ED51" s="88">
        <v>3196</v>
      </c>
      <c r="EE51" s="88">
        <v>3286</v>
      </c>
      <c r="EF51" s="88">
        <v>3278</v>
      </c>
      <c r="EG51" s="88">
        <v>3276</v>
      </c>
      <c r="EH51" s="88">
        <v>3316</v>
      </c>
      <c r="EI51" s="88">
        <v>3253</v>
      </c>
      <c r="EJ51" s="88">
        <v>3322</v>
      </c>
      <c r="EK51" s="88">
        <v>3218</v>
      </c>
      <c r="EL51" s="88">
        <v>3102</v>
      </c>
      <c r="EM51" s="88">
        <v>3201</v>
      </c>
      <c r="EN51" s="88">
        <v>3225</v>
      </c>
      <c r="EO51" s="88">
        <v>3237</v>
      </c>
      <c r="EP51" s="88">
        <v>3213</v>
      </c>
      <c r="EQ51" s="88">
        <v>3158</v>
      </c>
      <c r="ER51" s="88">
        <v>2839</v>
      </c>
      <c r="ES51" s="88">
        <v>2792</v>
      </c>
      <c r="ET51" s="88">
        <v>2861</v>
      </c>
      <c r="EU51" s="88">
        <v>2938</v>
      </c>
      <c r="EV51" s="88">
        <v>3113</v>
      </c>
      <c r="EW51" s="88">
        <v>3393</v>
      </c>
      <c r="EX51" s="88">
        <v>3697</v>
      </c>
      <c r="EY51" s="88">
        <v>3896</v>
      </c>
      <c r="EZ51" s="88">
        <v>3723</v>
      </c>
      <c r="FA51" s="88">
        <v>3878</v>
      </c>
      <c r="FB51" s="88">
        <v>3988</v>
      </c>
      <c r="FC51" s="88">
        <v>4017</v>
      </c>
      <c r="FD51" s="88">
        <v>4088</v>
      </c>
      <c r="FE51" s="88">
        <v>4106</v>
      </c>
      <c r="FF51" s="88">
        <v>4136</v>
      </c>
      <c r="FG51" s="88">
        <v>3922</v>
      </c>
      <c r="FH51" s="88">
        <v>3887</v>
      </c>
      <c r="FI51" s="88">
        <v>3783</v>
      </c>
      <c r="FJ51" s="88">
        <v>3571</v>
      </c>
      <c r="FK51" s="88">
        <v>3743</v>
      </c>
      <c r="FL51" s="88">
        <v>3559</v>
      </c>
      <c r="FM51" s="88">
        <v>3364</v>
      </c>
      <c r="FN51" s="88">
        <v>3305</v>
      </c>
      <c r="FO51" s="88">
        <v>3168</v>
      </c>
      <c r="FP51" s="88">
        <v>3100</v>
      </c>
      <c r="FQ51" s="88">
        <v>3111</v>
      </c>
      <c r="FR51" s="88">
        <v>2944</v>
      </c>
      <c r="FS51" s="88">
        <v>2974</v>
      </c>
      <c r="FT51" s="88">
        <v>2989</v>
      </c>
      <c r="FU51" s="88">
        <v>3090</v>
      </c>
      <c r="FV51" s="88">
        <v>3172</v>
      </c>
      <c r="FW51" s="88">
        <v>3333</v>
      </c>
      <c r="FX51" s="88">
        <v>2501</v>
      </c>
      <c r="FY51" s="88">
        <v>2488</v>
      </c>
      <c r="FZ51" s="88">
        <v>2378</v>
      </c>
      <c r="GA51" s="88">
        <v>2056</v>
      </c>
      <c r="GB51" s="88">
        <v>1794</v>
      </c>
      <c r="GC51" s="88">
        <v>1732</v>
      </c>
      <c r="GD51" s="88">
        <v>1640</v>
      </c>
      <c r="GE51" s="88">
        <v>1537</v>
      </c>
      <c r="GF51" s="88">
        <v>1500</v>
      </c>
      <c r="GG51" s="88">
        <v>1411</v>
      </c>
      <c r="GH51" s="88">
        <v>1237</v>
      </c>
      <c r="GI51" s="88">
        <v>1131</v>
      </c>
      <c r="GJ51" s="88">
        <v>911</v>
      </c>
      <c r="GK51" s="88">
        <v>820</v>
      </c>
      <c r="GL51" s="89">
        <v>2930</v>
      </c>
    </row>
    <row r="52" spans="1:194" s="1" customFormat="1" x14ac:dyDescent="0.2">
      <c r="A52" s="90" t="s">
        <v>94</v>
      </c>
      <c r="B52" s="146" t="s">
        <v>137</v>
      </c>
      <c r="C52" s="30" t="str">
        <f t="shared" si="4"/>
        <v xml:space="preserve">England – CCGs - Coventry and Warwickshire </v>
      </c>
      <c r="D52" s="51">
        <f t="shared" si="7"/>
        <v>409447</v>
      </c>
      <c r="E52" s="51">
        <f t="shared" si="7"/>
        <v>420049</v>
      </c>
      <c r="F52" s="52">
        <f t="shared" si="8"/>
        <v>963204</v>
      </c>
      <c r="G52" s="52">
        <f t="shared" si="9"/>
        <v>477693</v>
      </c>
      <c r="H52" s="52">
        <f t="shared" si="10"/>
        <v>485511</v>
      </c>
      <c r="I52" s="697">
        <f t="shared" si="5"/>
        <v>409447</v>
      </c>
      <c r="J52" s="53">
        <f t="shared" si="6"/>
        <v>420049</v>
      </c>
      <c r="K52" s="50">
        <f t="shared" si="11"/>
        <v>102916</v>
      </c>
      <c r="L52" s="51">
        <f t="shared" si="12"/>
        <v>98534</v>
      </c>
      <c r="M52" s="87">
        <v>5182</v>
      </c>
      <c r="N52" s="87">
        <v>5281</v>
      </c>
      <c r="O52" s="87">
        <v>5415</v>
      </c>
      <c r="P52" s="87">
        <v>5640</v>
      </c>
      <c r="Q52" s="87">
        <v>5523</v>
      </c>
      <c r="R52" s="87">
        <v>5634</v>
      </c>
      <c r="S52" s="87">
        <v>5850</v>
      </c>
      <c r="T52" s="87">
        <v>5671</v>
      </c>
      <c r="U52" s="87">
        <v>5793</v>
      </c>
      <c r="V52" s="87">
        <v>5953</v>
      </c>
      <c r="W52" s="87">
        <v>6174</v>
      </c>
      <c r="X52" s="87">
        <v>6130</v>
      </c>
      <c r="Y52" s="87">
        <v>5969</v>
      </c>
      <c r="Z52" s="87">
        <v>5932</v>
      </c>
      <c r="AA52" s="87">
        <v>5973</v>
      </c>
      <c r="AB52" s="87">
        <v>5622</v>
      </c>
      <c r="AC52" s="87">
        <v>5607</v>
      </c>
      <c r="AD52" s="87">
        <v>5567</v>
      </c>
      <c r="AE52" s="87">
        <v>5930</v>
      </c>
      <c r="AF52" s="87">
        <v>7443</v>
      </c>
      <c r="AG52" s="87">
        <v>7382</v>
      </c>
      <c r="AH52" s="87">
        <v>7313</v>
      </c>
      <c r="AI52" s="87">
        <v>6977</v>
      </c>
      <c r="AJ52" s="87">
        <v>6680</v>
      </c>
      <c r="AK52" s="87">
        <v>6554</v>
      </c>
      <c r="AL52" s="87">
        <v>6504</v>
      </c>
      <c r="AM52" s="87">
        <v>6479</v>
      </c>
      <c r="AN52" s="87">
        <v>6287</v>
      </c>
      <c r="AO52" s="87">
        <v>6350</v>
      </c>
      <c r="AP52" s="87">
        <v>6337</v>
      </c>
      <c r="AQ52" s="87">
        <v>6519</v>
      </c>
      <c r="AR52" s="87">
        <v>6684</v>
      </c>
      <c r="AS52" s="87">
        <v>6821</v>
      </c>
      <c r="AT52" s="87">
        <v>6545</v>
      </c>
      <c r="AU52" s="87">
        <v>6626</v>
      </c>
      <c r="AV52" s="87">
        <v>6629</v>
      </c>
      <c r="AW52" s="87">
        <v>6472</v>
      </c>
      <c r="AX52" s="87">
        <v>6536</v>
      </c>
      <c r="AY52" s="87">
        <v>6050</v>
      </c>
      <c r="AZ52" s="87">
        <v>6033</v>
      </c>
      <c r="BA52" s="87">
        <v>6173</v>
      </c>
      <c r="BB52" s="87">
        <v>6216</v>
      </c>
      <c r="BC52" s="87">
        <v>6174</v>
      </c>
      <c r="BD52" s="87">
        <v>5929</v>
      </c>
      <c r="BE52" s="87">
        <v>5629</v>
      </c>
      <c r="BF52" s="87">
        <v>5307</v>
      </c>
      <c r="BG52" s="87">
        <v>5525</v>
      </c>
      <c r="BH52" s="87">
        <v>5685</v>
      </c>
      <c r="BI52" s="87">
        <v>5719</v>
      </c>
      <c r="BJ52" s="87">
        <v>6009</v>
      </c>
      <c r="BK52" s="87">
        <v>6269</v>
      </c>
      <c r="BL52" s="87">
        <v>6323</v>
      </c>
      <c r="BM52" s="87">
        <v>6337</v>
      </c>
      <c r="BN52" s="87">
        <v>6550</v>
      </c>
      <c r="BO52" s="87">
        <v>6361</v>
      </c>
      <c r="BP52" s="87">
        <v>6343</v>
      </c>
      <c r="BQ52" s="87">
        <v>6351</v>
      </c>
      <c r="BR52" s="87">
        <v>6274</v>
      </c>
      <c r="BS52" s="87">
        <v>6224</v>
      </c>
      <c r="BT52" s="87">
        <v>6084</v>
      </c>
      <c r="BU52" s="87">
        <v>5882</v>
      </c>
      <c r="BV52" s="87">
        <v>5633</v>
      </c>
      <c r="BW52" s="87">
        <v>5420</v>
      </c>
      <c r="BX52" s="87">
        <v>5280</v>
      </c>
      <c r="BY52" s="87">
        <v>4962</v>
      </c>
      <c r="BZ52" s="87">
        <v>4696</v>
      </c>
      <c r="CA52" s="87">
        <v>4525</v>
      </c>
      <c r="CB52" s="87">
        <v>4355</v>
      </c>
      <c r="CC52" s="87">
        <v>4323</v>
      </c>
      <c r="CD52" s="87">
        <v>4257</v>
      </c>
      <c r="CE52" s="87">
        <v>3989</v>
      </c>
      <c r="CF52" s="87">
        <v>4097</v>
      </c>
      <c r="CG52" s="87">
        <v>4170</v>
      </c>
      <c r="CH52" s="87">
        <v>4067</v>
      </c>
      <c r="CI52" s="87">
        <v>4204</v>
      </c>
      <c r="CJ52" s="87">
        <v>4442</v>
      </c>
      <c r="CK52" s="87">
        <v>3648</v>
      </c>
      <c r="CL52" s="87">
        <v>3589</v>
      </c>
      <c r="CM52" s="87">
        <v>3504</v>
      </c>
      <c r="CN52" s="87">
        <v>3017</v>
      </c>
      <c r="CO52" s="87">
        <v>2588</v>
      </c>
      <c r="CP52" s="87">
        <v>2157</v>
      </c>
      <c r="CQ52" s="87">
        <v>2134</v>
      </c>
      <c r="CR52" s="87">
        <v>2149</v>
      </c>
      <c r="CS52" s="87">
        <v>1959</v>
      </c>
      <c r="CT52" s="87">
        <v>1681</v>
      </c>
      <c r="CU52" s="87">
        <v>1485</v>
      </c>
      <c r="CV52" s="87">
        <v>1203</v>
      </c>
      <c r="CW52" s="87">
        <v>981</v>
      </c>
      <c r="CX52" s="87">
        <v>858</v>
      </c>
      <c r="CY52" s="87">
        <v>2889</v>
      </c>
      <c r="CZ52" s="88">
        <v>5022</v>
      </c>
      <c r="DA52" s="88">
        <v>4952</v>
      </c>
      <c r="DB52" s="88">
        <v>5156</v>
      </c>
      <c r="DC52" s="88">
        <v>5329</v>
      </c>
      <c r="DD52" s="88">
        <v>5468</v>
      </c>
      <c r="DE52" s="88">
        <v>5401</v>
      </c>
      <c r="DF52" s="88">
        <v>5476</v>
      </c>
      <c r="DG52" s="88">
        <v>5615</v>
      </c>
      <c r="DH52" s="88">
        <v>5561</v>
      </c>
      <c r="DI52" s="88">
        <v>5699</v>
      </c>
      <c r="DJ52" s="88">
        <v>5907</v>
      </c>
      <c r="DK52" s="88">
        <v>5876</v>
      </c>
      <c r="DL52" s="88">
        <v>5682</v>
      </c>
      <c r="DM52" s="88">
        <v>5642</v>
      </c>
      <c r="DN52" s="88">
        <v>5717</v>
      </c>
      <c r="DO52" s="88">
        <v>5520</v>
      </c>
      <c r="DP52" s="88">
        <v>5184</v>
      </c>
      <c r="DQ52" s="88">
        <v>5327</v>
      </c>
      <c r="DR52" s="88">
        <v>5548</v>
      </c>
      <c r="DS52" s="88">
        <v>6350</v>
      </c>
      <c r="DT52" s="88">
        <v>6713</v>
      </c>
      <c r="DU52" s="88">
        <v>6338</v>
      </c>
      <c r="DV52" s="88">
        <v>6016</v>
      </c>
      <c r="DW52" s="88">
        <v>6011</v>
      </c>
      <c r="DX52" s="88">
        <v>5986</v>
      </c>
      <c r="DY52" s="88">
        <v>6092</v>
      </c>
      <c r="DZ52" s="88">
        <v>6133</v>
      </c>
      <c r="EA52" s="88">
        <v>5996</v>
      </c>
      <c r="EB52" s="88">
        <v>6342</v>
      </c>
      <c r="EC52" s="88">
        <v>6302</v>
      </c>
      <c r="ED52" s="88">
        <v>6708</v>
      </c>
      <c r="EE52" s="88">
        <v>6795</v>
      </c>
      <c r="EF52" s="88">
        <v>7080</v>
      </c>
      <c r="EG52" s="88">
        <v>6906</v>
      </c>
      <c r="EH52" s="88">
        <v>7012</v>
      </c>
      <c r="EI52" s="88">
        <v>6925</v>
      </c>
      <c r="EJ52" s="88">
        <v>6591</v>
      </c>
      <c r="EK52" s="88">
        <v>6560</v>
      </c>
      <c r="EL52" s="88">
        <v>6464</v>
      </c>
      <c r="EM52" s="88">
        <v>6373</v>
      </c>
      <c r="EN52" s="88">
        <v>6412</v>
      </c>
      <c r="EO52" s="88">
        <v>6240</v>
      </c>
      <c r="EP52" s="88">
        <v>6495</v>
      </c>
      <c r="EQ52" s="88">
        <v>6097</v>
      </c>
      <c r="ER52" s="88">
        <v>5668</v>
      </c>
      <c r="ES52" s="88">
        <v>5560</v>
      </c>
      <c r="ET52" s="88">
        <v>5759</v>
      </c>
      <c r="EU52" s="88">
        <v>5574</v>
      </c>
      <c r="EV52" s="88">
        <v>5778</v>
      </c>
      <c r="EW52" s="88">
        <v>6126</v>
      </c>
      <c r="EX52" s="88">
        <v>6176</v>
      </c>
      <c r="EY52" s="88">
        <v>6484</v>
      </c>
      <c r="EZ52" s="88">
        <v>6261</v>
      </c>
      <c r="FA52" s="88">
        <v>6572</v>
      </c>
      <c r="FB52" s="88">
        <v>6521</v>
      </c>
      <c r="FC52" s="88">
        <v>6420</v>
      </c>
      <c r="FD52" s="88">
        <v>6484</v>
      </c>
      <c r="FE52" s="88">
        <v>6356</v>
      </c>
      <c r="FF52" s="88">
        <v>6237</v>
      </c>
      <c r="FG52" s="88">
        <v>6052</v>
      </c>
      <c r="FH52" s="88">
        <v>5909</v>
      </c>
      <c r="FI52" s="88">
        <v>5856</v>
      </c>
      <c r="FJ52" s="88">
        <v>5234</v>
      </c>
      <c r="FK52" s="88">
        <v>5185</v>
      </c>
      <c r="FL52" s="88">
        <v>5010</v>
      </c>
      <c r="FM52" s="88">
        <v>5042</v>
      </c>
      <c r="FN52" s="88">
        <v>4571</v>
      </c>
      <c r="FO52" s="88">
        <v>4499</v>
      </c>
      <c r="FP52" s="88">
        <v>4514</v>
      </c>
      <c r="FQ52" s="88">
        <v>4423</v>
      </c>
      <c r="FR52" s="88">
        <v>4393</v>
      </c>
      <c r="FS52" s="88">
        <v>4343</v>
      </c>
      <c r="FT52" s="88">
        <v>4477</v>
      </c>
      <c r="FU52" s="88">
        <v>4660</v>
      </c>
      <c r="FV52" s="88">
        <v>4789</v>
      </c>
      <c r="FW52" s="88">
        <v>4996</v>
      </c>
      <c r="FX52" s="88">
        <v>4030</v>
      </c>
      <c r="FY52" s="88">
        <v>4024</v>
      </c>
      <c r="FZ52" s="88">
        <v>4133</v>
      </c>
      <c r="GA52" s="88">
        <v>3669</v>
      </c>
      <c r="GB52" s="88">
        <v>3049</v>
      </c>
      <c r="GC52" s="88">
        <v>2780</v>
      </c>
      <c r="GD52" s="88">
        <v>2712</v>
      </c>
      <c r="GE52" s="88">
        <v>2601</v>
      </c>
      <c r="GF52" s="88">
        <v>2404</v>
      </c>
      <c r="GG52" s="88">
        <v>2308</v>
      </c>
      <c r="GH52" s="88">
        <v>2128</v>
      </c>
      <c r="GI52" s="88">
        <v>1860</v>
      </c>
      <c r="GJ52" s="88">
        <v>1580</v>
      </c>
      <c r="GK52" s="88">
        <v>1367</v>
      </c>
      <c r="GL52" s="89">
        <v>5918</v>
      </c>
    </row>
    <row r="53" spans="1:194" s="1" customFormat="1" x14ac:dyDescent="0.2">
      <c r="A53" s="90" t="s">
        <v>94</v>
      </c>
      <c r="B53" s="146" t="s">
        <v>138</v>
      </c>
      <c r="C53" s="30" t="str">
        <f t="shared" si="4"/>
        <v xml:space="preserve">England – CCGs - Derby and Derbyshire </v>
      </c>
      <c r="D53" s="51">
        <f t="shared" si="7"/>
        <v>440256</v>
      </c>
      <c r="E53" s="51">
        <f t="shared" si="7"/>
        <v>458677</v>
      </c>
      <c r="F53" s="52">
        <f t="shared" si="8"/>
        <v>1033491</v>
      </c>
      <c r="G53" s="52">
        <f t="shared" si="9"/>
        <v>508629</v>
      </c>
      <c r="H53" s="52">
        <f t="shared" si="10"/>
        <v>524862</v>
      </c>
      <c r="I53" s="697">
        <f t="shared" si="5"/>
        <v>440256</v>
      </c>
      <c r="J53" s="53">
        <f t="shared" si="6"/>
        <v>458677</v>
      </c>
      <c r="K53" s="50">
        <f t="shared" si="11"/>
        <v>104977</v>
      </c>
      <c r="L53" s="51">
        <f t="shared" si="12"/>
        <v>100988</v>
      </c>
      <c r="M53" s="87">
        <v>5129</v>
      </c>
      <c r="N53" s="87">
        <v>5164</v>
      </c>
      <c r="O53" s="87">
        <v>5233</v>
      </c>
      <c r="P53" s="87">
        <v>5506</v>
      </c>
      <c r="Q53" s="87">
        <v>5460</v>
      </c>
      <c r="R53" s="87">
        <v>5671</v>
      </c>
      <c r="S53" s="87">
        <v>5768</v>
      </c>
      <c r="T53" s="87">
        <v>5939</v>
      </c>
      <c r="U53" s="87">
        <v>5824</v>
      </c>
      <c r="V53" s="87">
        <v>6087</v>
      </c>
      <c r="W53" s="87">
        <v>6255</v>
      </c>
      <c r="X53" s="87">
        <v>6337</v>
      </c>
      <c r="Y53" s="87">
        <v>6269</v>
      </c>
      <c r="Z53" s="87">
        <v>6172</v>
      </c>
      <c r="AA53" s="87">
        <v>6386</v>
      </c>
      <c r="AB53" s="87">
        <v>6084</v>
      </c>
      <c r="AC53" s="87">
        <v>5863</v>
      </c>
      <c r="AD53" s="87">
        <v>5830</v>
      </c>
      <c r="AE53" s="87">
        <v>5805</v>
      </c>
      <c r="AF53" s="87">
        <v>5032</v>
      </c>
      <c r="AG53" s="87">
        <v>5010</v>
      </c>
      <c r="AH53" s="87">
        <v>5115</v>
      </c>
      <c r="AI53" s="87">
        <v>5524</v>
      </c>
      <c r="AJ53" s="87">
        <v>5981</v>
      </c>
      <c r="AK53" s="87">
        <v>5923</v>
      </c>
      <c r="AL53" s="87">
        <v>5879</v>
      </c>
      <c r="AM53" s="87">
        <v>6002</v>
      </c>
      <c r="AN53" s="87">
        <v>6244</v>
      </c>
      <c r="AO53" s="87">
        <v>6290</v>
      </c>
      <c r="AP53" s="87">
        <v>6422</v>
      </c>
      <c r="AQ53" s="87">
        <v>6700</v>
      </c>
      <c r="AR53" s="87">
        <v>6913</v>
      </c>
      <c r="AS53" s="87">
        <v>6505</v>
      </c>
      <c r="AT53" s="87">
        <v>6279</v>
      </c>
      <c r="AU53" s="87">
        <v>6467</v>
      </c>
      <c r="AV53" s="87">
        <v>6330</v>
      </c>
      <c r="AW53" s="87">
        <v>6179</v>
      </c>
      <c r="AX53" s="87">
        <v>6227</v>
      </c>
      <c r="AY53" s="87">
        <v>6190</v>
      </c>
      <c r="AZ53" s="87">
        <v>6167</v>
      </c>
      <c r="BA53" s="87">
        <v>6204</v>
      </c>
      <c r="BB53" s="87">
        <v>6411</v>
      </c>
      <c r="BC53" s="87">
        <v>6231</v>
      </c>
      <c r="BD53" s="87">
        <v>5811</v>
      </c>
      <c r="BE53" s="87">
        <v>5484</v>
      </c>
      <c r="BF53" s="87">
        <v>5615</v>
      </c>
      <c r="BG53" s="87">
        <v>5842</v>
      </c>
      <c r="BH53" s="87">
        <v>6305</v>
      </c>
      <c r="BI53" s="87">
        <v>6470</v>
      </c>
      <c r="BJ53" s="87">
        <v>6657</v>
      </c>
      <c r="BK53" s="87">
        <v>7370</v>
      </c>
      <c r="BL53" s="87">
        <v>7632</v>
      </c>
      <c r="BM53" s="87">
        <v>7150</v>
      </c>
      <c r="BN53" s="87">
        <v>7623</v>
      </c>
      <c r="BO53" s="87">
        <v>7770</v>
      </c>
      <c r="BP53" s="87">
        <v>7882</v>
      </c>
      <c r="BQ53" s="87">
        <v>7685</v>
      </c>
      <c r="BR53" s="87">
        <v>7700</v>
      </c>
      <c r="BS53" s="87">
        <v>7396</v>
      </c>
      <c r="BT53" s="87">
        <v>7457</v>
      </c>
      <c r="BU53" s="87">
        <v>7193</v>
      </c>
      <c r="BV53" s="87">
        <v>6902</v>
      </c>
      <c r="BW53" s="87">
        <v>6624</v>
      </c>
      <c r="BX53" s="87">
        <v>6428</v>
      </c>
      <c r="BY53" s="87">
        <v>6252</v>
      </c>
      <c r="BZ53" s="87">
        <v>5862</v>
      </c>
      <c r="CA53" s="87">
        <v>5823</v>
      </c>
      <c r="CB53" s="87">
        <v>5389</v>
      </c>
      <c r="CC53" s="87">
        <v>5418</v>
      </c>
      <c r="CD53" s="87">
        <v>5417</v>
      </c>
      <c r="CE53" s="87">
        <v>5268</v>
      </c>
      <c r="CF53" s="87">
        <v>5241</v>
      </c>
      <c r="CG53" s="87">
        <v>5314</v>
      </c>
      <c r="CH53" s="87">
        <v>5242</v>
      </c>
      <c r="CI53" s="87">
        <v>5393</v>
      </c>
      <c r="CJ53" s="87">
        <v>5978</v>
      </c>
      <c r="CK53" s="87">
        <v>4440</v>
      </c>
      <c r="CL53" s="87">
        <v>4438</v>
      </c>
      <c r="CM53" s="87">
        <v>4230</v>
      </c>
      <c r="CN53" s="87">
        <v>3669</v>
      </c>
      <c r="CO53" s="87">
        <v>3140</v>
      </c>
      <c r="CP53" s="87">
        <v>2635</v>
      </c>
      <c r="CQ53" s="87">
        <v>2578</v>
      </c>
      <c r="CR53" s="87">
        <v>2444</v>
      </c>
      <c r="CS53" s="87">
        <v>2269</v>
      </c>
      <c r="CT53" s="87">
        <v>1806</v>
      </c>
      <c r="CU53" s="87">
        <v>1604</v>
      </c>
      <c r="CV53" s="87">
        <v>1397</v>
      </c>
      <c r="CW53" s="87">
        <v>1212</v>
      </c>
      <c r="CX53" s="87">
        <v>1029</v>
      </c>
      <c r="CY53" s="87">
        <v>3138</v>
      </c>
      <c r="CZ53" s="88">
        <v>4862</v>
      </c>
      <c r="DA53" s="88">
        <v>4935</v>
      </c>
      <c r="DB53" s="88">
        <v>5008</v>
      </c>
      <c r="DC53" s="88">
        <v>5344</v>
      </c>
      <c r="DD53" s="88">
        <v>5359</v>
      </c>
      <c r="DE53" s="88">
        <v>5427</v>
      </c>
      <c r="DF53" s="88">
        <v>5688</v>
      </c>
      <c r="DG53" s="88">
        <v>5535</v>
      </c>
      <c r="DH53" s="88">
        <v>5792</v>
      </c>
      <c r="DI53" s="88">
        <v>5885</v>
      </c>
      <c r="DJ53" s="88">
        <v>6200</v>
      </c>
      <c r="DK53" s="88">
        <v>6150</v>
      </c>
      <c r="DL53" s="88">
        <v>5987</v>
      </c>
      <c r="DM53" s="88">
        <v>5761</v>
      </c>
      <c r="DN53" s="88">
        <v>6114</v>
      </c>
      <c r="DO53" s="88">
        <v>5738</v>
      </c>
      <c r="DP53" s="88">
        <v>5620</v>
      </c>
      <c r="DQ53" s="88">
        <v>5583</v>
      </c>
      <c r="DR53" s="88">
        <v>5205</v>
      </c>
      <c r="DS53" s="88">
        <v>4337</v>
      </c>
      <c r="DT53" s="88">
        <v>4336</v>
      </c>
      <c r="DU53" s="88">
        <v>4707</v>
      </c>
      <c r="DV53" s="88">
        <v>5342</v>
      </c>
      <c r="DW53" s="88">
        <v>5508</v>
      </c>
      <c r="DX53" s="88">
        <v>5842</v>
      </c>
      <c r="DY53" s="88">
        <v>6128</v>
      </c>
      <c r="DZ53" s="88">
        <v>6045</v>
      </c>
      <c r="EA53" s="88">
        <v>6249</v>
      </c>
      <c r="EB53" s="88">
        <v>6584</v>
      </c>
      <c r="EC53" s="88">
        <v>6566</v>
      </c>
      <c r="ED53" s="88">
        <v>6905</v>
      </c>
      <c r="EE53" s="88">
        <v>7006</v>
      </c>
      <c r="EF53" s="88">
        <v>6833</v>
      </c>
      <c r="EG53" s="88">
        <v>6653</v>
      </c>
      <c r="EH53" s="88">
        <v>6726</v>
      </c>
      <c r="EI53" s="88">
        <v>6752</v>
      </c>
      <c r="EJ53" s="88">
        <v>6653</v>
      </c>
      <c r="EK53" s="88">
        <v>6703</v>
      </c>
      <c r="EL53" s="88">
        <v>6366</v>
      </c>
      <c r="EM53" s="88">
        <v>6516</v>
      </c>
      <c r="EN53" s="88">
        <v>6289</v>
      </c>
      <c r="EO53" s="88">
        <v>6637</v>
      </c>
      <c r="EP53" s="88">
        <v>6584</v>
      </c>
      <c r="EQ53" s="88">
        <v>6225</v>
      </c>
      <c r="ER53" s="88">
        <v>5844</v>
      </c>
      <c r="ES53" s="88">
        <v>5744</v>
      </c>
      <c r="ET53" s="88">
        <v>5952</v>
      </c>
      <c r="EU53" s="88">
        <v>6265</v>
      </c>
      <c r="EV53" s="88">
        <v>6454</v>
      </c>
      <c r="EW53" s="88">
        <v>6965</v>
      </c>
      <c r="EX53" s="88">
        <v>7328</v>
      </c>
      <c r="EY53" s="88">
        <v>7808</v>
      </c>
      <c r="EZ53" s="88">
        <v>7592</v>
      </c>
      <c r="FA53" s="88">
        <v>7861</v>
      </c>
      <c r="FB53" s="88">
        <v>7726</v>
      </c>
      <c r="FC53" s="88">
        <v>7811</v>
      </c>
      <c r="FD53" s="88">
        <v>7883</v>
      </c>
      <c r="FE53" s="88">
        <v>7825</v>
      </c>
      <c r="FF53" s="88">
        <v>7802</v>
      </c>
      <c r="FG53" s="88">
        <v>7593</v>
      </c>
      <c r="FH53" s="88">
        <v>7316</v>
      </c>
      <c r="FI53" s="88">
        <v>6935</v>
      </c>
      <c r="FJ53" s="88">
        <v>6654</v>
      </c>
      <c r="FK53" s="88">
        <v>6586</v>
      </c>
      <c r="FL53" s="88">
        <v>6354</v>
      </c>
      <c r="FM53" s="88">
        <v>6070</v>
      </c>
      <c r="FN53" s="88">
        <v>5932</v>
      </c>
      <c r="FO53" s="88">
        <v>5676</v>
      </c>
      <c r="FP53" s="88">
        <v>5872</v>
      </c>
      <c r="FQ53" s="88">
        <v>5528</v>
      </c>
      <c r="FR53" s="88">
        <v>5560</v>
      </c>
      <c r="FS53" s="88">
        <v>5378</v>
      </c>
      <c r="FT53" s="88">
        <v>5574</v>
      </c>
      <c r="FU53" s="88">
        <v>5809</v>
      </c>
      <c r="FV53" s="88">
        <v>6205</v>
      </c>
      <c r="FW53" s="88">
        <v>6446</v>
      </c>
      <c r="FX53" s="88">
        <v>4897</v>
      </c>
      <c r="FY53" s="88">
        <v>4743</v>
      </c>
      <c r="FZ53" s="88">
        <v>4926</v>
      </c>
      <c r="GA53" s="88">
        <v>4273</v>
      </c>
      <c r="GB53" s="88">
        <v>3640</v>
      </c>
      <c r="GC53" s="88">
        <v>3206</v>
      </c>
      <c r="GD53" s="88">
        <v>3186</v>
      </c>
      <c r="GE53" s="88">
        <v>3125</v>
      </c>
      <c r="GF53" s="88">
        <v>2880</v>
      </c>
      <c r="GG53" s="88">
        <v>2597</v>
      </c>
      <c r="GH53" s="88">
        <v>2307</v>
      </c>
      <c r="GI53" s="88">
        <v>2203</v>
      </c>
      <c r="GJ53" s="88">
        <v>1846</v>
      </c>
      <c r="GK53" s="88">
        <v>1618</v>
      </c>
      <c r="GL53" s="89">
        <v>6382</v>
      </c>
    </row>
    <row r="54" spans="1:194" s="1" customFormat="1" x14ac:dyDescent="0.2">
      <c r="A54" s="90" t="s">
        <v>94</v>
      </c>
      <c r="B54" s="146" t="s">
        <v>139</v>
      </c>
      <c r="C54" s="30" t="str">
        <f t="shared" si="4"/>
        <v xml:space="preserve">England – CCGs - Devon </v>
      </c>
      <c r="D54" s="51">
        <f t="shared" si="7"/>
        <v>526473</v>
      </c>
      <c r="E54" s="51">
        <f t="shared" si="7"/>
        <v>561435</v>
      </c>
      <c r="F54" s="52">
        <f t="shared" si="8"/>
        <v>1232660</v>
      </c>
      <c r="G54" s="52">
        <f t="shared" si="9"/>
        <v>600962</v>
      </c>
      <c r="H54" s="52">
        <f t="shared" si="10"/>
        <v>631698</v>
      </c>
      <c r="I54" s="697">
        <f t="shared" si="5"/>
        <v>526473</v>
      </c>
      <c r="J54" s="53">
        <f t="shared" si="6"/>
        <v>561435</v>
      </c>
      <c r="K54" s="50">
        <f t="shared" si="11"/>
        <v>114913</v>
      </c>
      <c r="L54" s="51">
        <f t="shared" si="12"/>
        <v>108823</v>
      </c>
      <c r="M54" s="87">
        <v>5266</v>
      </c>
      <c r="N54" s="87">
        <v>5302</v>
      </c>
      <c r="O54" s="87">
        <v>5566</v>
      </c>
      <c r="P54" s="87">
        <v>5867</v>
      </c>
      <c r="Q54" s="87">
        <v>5986</v>
      </c>
      <c r="R54" s="87">
        <v>6008</v>
      </c>
      <c r="S54" s="87">
        <v>6504</v>
      </c>
      <c r="T54" s="87">
        <v>6294</v>
      </c>
      <c r="U54" s="87">
        <v>6662</v>
      </c>
      <c r="V54" s="87">
        <v>6909</v>
      </c>
      <c r="W54" s="87">
        <v>7091</v>
      </c>
      <c r="X54" s="87">
        <v>7034</v>
      </c>
      <c r="Y54" s="87">
        <v>6896</v>
      </c>
      <c r="Z54" s="87">
        <v>6729</v>
      </c>
      <c r="AA54" s="87">
        <v>6801</v>
      </c>
      <c r="AB54" s="87">
        <v>6817</v>
      </c>
      <c r="AC54" s="87">
        <v>6487</v>
      </c>
      <c r="AD54" s="87">
        <v>6694</v>
      </c>
      <c r="AE54" s="87">
        <v>6938</v>
      </c>
      <c r="AF54" s="87">
        <v>8869</v>
      </c>
      <c r="AG54" s="87">
        <v>8163</v>
      </c>
      <c r="AH54" s="87">
        <v>7495</v>
      </c>
      <c r="AI54" s="87">
        <v>7325</v>
      </c>
      <c r="AJ54" s="87">
        <v>7341</v>
      </c>
      <c r="AK54" s="87">
        <v>6630</v>
      </c>
      <c r="AL54" s="87">
        <v>6888</v>
      </c>
      <c r="AM54" s="87">
        <v>6546</v>
      </c>
      <c r="AN54" s="87">
        <v>6382</v>
      </c>
      <c r="AO54" s="87">
        <v>6687</v>
      </c>
      <c r="AP54" s="87">
        <v>6617</v>
      </c>
      <c r="AQ54" s="87">
        <v>6862</v>
      </c>
      <c r="AR54" s="87">
        <v>6892</v>
      </c>
      <c r="AS54" s="87">
        <v>7057</v>
      </c>
      <c r="AT54" s="87">
        <v>7007</v>
      </c>
      <c r="AU54" s="87">
        <v>7065</v>
      </c>
      <c r="AV54" s="87">
        <v>6934</v>
      </c>
      <c r="AW54" s="87">
        <v>6914</v>
      </c>
      <c r="AX54" s="87">
        <v>6694</v>
      </c>
      <c r="AY54" s="87">
        <v>6719</v>
      </c>
      <c r="AZ54" s="87">
        <v>6658</v>
      </c>
      <c r="BA54" s="87">
        <v>6939</v>
      </c>
      <c r="BB54" s="87">
        <v>6770</v>
      </c>
      <c r="BC54" s="87">
        <v>6977</v>
      </c>
      <c r="BD54" s="87">
        <v>6792</v>
      </c>
      <c r="BE54" s="87">
        <v>6071</v>
      </c>
      <c r="BF54" s="87">
        <v>6082</v>
      </c>
      <c r="BG54" s="87">
        <v>6371</v>
      </c>
      <c r="BH54" s="87">
        <v>6625</v>
      </c>
      <c r="BI54" s="87">
        <v>7087</v>
      </c>
      <c r="BJ54" s="87">
        <v>7317</v>
      </c>
      <c r="BK54" s="87">
        <v>7668</v>
      </c>
      <c r="BL54" s="87">
        <v>8045</v>
      </c>
      <c r="BM54" s="87">
        <v>8003</v>
      </c>
      <c r="BN54" s="87">
        <v>8419</v>
      </c>
      <c r="BO54" s="87">
        <v>8429</v>
      </c>
      <c r="BP54" s="87">
        <v>8621</v>
      </c>
      <c r="BQ54" s="87">
        <v>8659</v>
      </c>
      <c r="BR54" s="87">
        <v>8815</v>
      </c>
      <c r="BS54" s="87">
        <v>8893</v>
      </c>
      <c r="BT54" s="87">
        <v>8712</v>
      </c>
      <c r="BU54" s="87">
        <v>8595</v>
      </c>
      <c r="BV54" s="87">
        <v>8280</v>
      </c>
      <c r="BW54" s="87">
        <v>8144</v>
      </c>
      <c r="BX54" s="87">
        <v>8052</v>
      </c>
      <c r="BY54" s="87">
        <v>7875</v>
      </c>
      <c r="BZ54" s="87">
        <v>7689</v>
      </c>
      <c r="CA54" s="87">
        <v>7356</v>
      </c>
      <c r="CB54" s="87">
        <v>7192</v>
      </c>
      <c r="CC54" s="87">
        <v>7078</v>
      </c>
      <c r="CD54" s="87">
        <v>7252</v>
      </c>
      <c r="CE54" s="87">
        <v>6872</v>
      </c>
      <c r="CF54" s="87">
        <v>6874</v>
      </c>
      <c r="CG54" s="87">
        <v>7162</v>
      </c>
      <c r="CH54" s="87">
        <v>7375</v>
      </c>
      <c r="CI54" s="87">
        <v>7653</v>
      </c>
      <c r="CJ54" s="87">
        <v>8488</v>
      </c>
      <c r="CK54" s="87">
        <v>6442</v>
      </c>
      <c r="CL54" s="87">
        <v>6117</v>
      </c>
      <c r="CM54" s="87">
        <v>5852</v>
      </c>
      <c r="CN54" s="87">
        <v>5297</v>
      </c>
      <c r="CO54" s="87">
        <v>4406</v>
      </c>
      <c r="CP54" s="87">
        <v>3746</v>
      </c>
      <c r="CQ54" s="87">
        <v>3609</v>
      </c>
      <c r="CR54" s="87">
        <v>3372</v>
      </c>
      <c r="CS54" s="87">
        <v>3108</v>
      </c>
      <c r="CT54" s="87">
        <v>2803</v>
      </c>
      <c r="CU54" s="87">
        <v>2561</v>
      </c>
      <c r="CV54" s="87">
        <v>2134</v>
      </c>
      <c r="CW54" s="87">
        <v>1845</v>
      </c>
      <c r="CX54" s="87">
        <v>1576</v>
      </c>
      <c r="CY54" s="87">
        <v>5266</v>
      </c>
      <c r="CZ54" s="88">
        <v>4835</v>
      </c>
      <c r="DA54" s="88">
        <v>4950</v>
      </c>
      <c r="DB54" s="88">
        <v>5317</v>
      </c>
      <c r="DC54" s="88">
        <v>5506</v>
      </c>
      <c r="DD54" s="88">
        <v>5632</v>
      </c>
      <c r="DE54" s="88">
        <v>5783</v>
      </c>
      <c r="DF54" s="88">
        <v>6157</v>
      </c>
      <c r="DG54" s="88">
        <v>6123</v>
      </c>
      <c r="DH54" s="88">
        <v>6225</v>
      </c>
      <c r="DI54" s="88">
        <v>6381</v>
      </c>
      <c r="DJ54" s="88">
        <v>6719</v>
      </c>
      <c r="DK54" s="88">
        <v>6635</v>
      </c>
      <c r="DL54" s="88">
        <v>6742</v>
      </c>
      <c r="DM54" s="88">
        <v>6459</v>
      </c>
      <c r="DN54" s="88">
        <v>6554</v>
      </c>
      <c r="DO54" s="88">
        <v>6378</v>
      </c>
      <c r="DP54" s="88">
        <v>6249</v>
      </c>
      <c r="DQ54" s="88">
        <v>6178</v>
      </c>
      <c r="DR54" s="88">
        <v>6591</v>
      </c>
      <c r="DS54" s="88">
        <v>8750</v>
      </c>
      <c r="DT54" s="88">
        <v>8289</v>
      </c>
      <c r="DU54" s="88">
        <v>7244</v>
      </c>
      <c r="DV54" s="88">
        <v>6886</v>
      </c>
      <c r="DW54" s="88">
        <v>6479</v>
      </c>
      <c r="DX54" s="88">
        <v>6330</v>
      </c>
      <c r="DY54" s="88">
        <v>6403</v>
      </c>
      <c r="DZ54" s="88">
        <v>6349</v>
      </c>
      <c r="EA54" s="88">
        <v>6461</v>
      </c>
      <c r="EB54" s="88">
        <v>6836</v>
      </c>
      <c r="EC54" s="88">
        <v>6729</v>
      </c>
      <c r="ED54" s="88">
        <v>7131</v>
      </c>
      <c r="EE54" s="88">
        <v>7254</v>
      </c>
      <c r="EF54" s="88">
        <v>7487</v>
      </c>
      <c r="EG54" s="88">
        <v>7243</v>
      </c>
      <c r="EH54" s="88">
        <v>7431</v>
      </c>
      <c r="EI54" s="88">
        <v>7266</v>
      </c>
      <c r="EJ54" s="88">
        <v>7283</v>
      </c>
      <c r="EK54" s="88">
        <v>7200</v>
      </c>
      <c r="EL54" s="88">
        <v>7159</v>
      </c>
      <c r="EM54" s="88">
        <v>7090</v>
      </c>
      <c r="EN54" s="88">
        <v>7173</v>
      </c>
      <c r="EO54" s="88">
        <v>7219</v>
      </c>
      <c r="EP54" s="88">
        <v>7342</v>
      </c>
      <c r="EQ54" s="88">
        <v>7001</v>
      </c>
      <c r="ER54" s="88">
        <v>6473</v>
      </c>
      <c r="ES54" s="88">
        <v>6490</v>
      </c>
      <c r="ET54" s="88">
        <v>6849</v>
      </c>
      <c r="EU54" s="88">
        <v>6872</v>
      </c>
      <c r="EV54" s="88">
        <v>7197</v>
      </c>
      <c r="EW54" s="88">
        <v>7797</v>
      </c>
      <c r="EX54" s="88">
        <v>8121</v>
      </c>
      <c r="EY54" s="88">
        <v>8563</v>
      </c>
      <c r="EZ54" s="88">
        <v>8605</v>
      </c>
      <c r="FA54" s="88">
        <v>8889</v>
      </c>
      <c r="FB54" s="88">
        <v>8786</v>
      </c>
      <c r="FC54" s="88">
        <v>9348</v>
      </c>
      <c r="FD54" s="88">
        <v>9287</v>
      </c>
      <c r="FE54" s="88">
        <v>9544</v>
      </c>
      <c r="FF54" s="88">
        <v>9486</v>
      </c>
      <c r="FG54" s="88">
        <v>9206</v>
      </c>
      <c r="FH54" s="88">
        <v>9198</v>
      </c>
      <c r="FI54" s="88">
        <v>8955</v>
      </c>
      <c r="FJ54" s="88">
        <v>8644</v>
      </c>
      <c r="FK54" s="88">
        <v>8539</v>
      </c>
      <c r="FL54" s="88">
        <v>8284</v>
      </c>
      <c r="FM54" s="88">
        <v>8364</v>
      </c>
      <c r="FN54" s="88">
        <v>7793</v>
      </c>
      <c r="FO54" s="88">
        <v>7721</v>
      </c>
      <c r="FP54" s="88">
        <v>7845</v>
      </c>
      <c r="FQ54" s="88">
        <v>7834</v>
      </c>
      <c r="FR54" s="88">
        <v>7631</v>
      </c>
      <c r="FS54" s="88">
        <v>7622</v>
      </c>
      <c r="FT54" s="88">
        <v>7650</v>
      </c>
      <c r="FU54" s="88">
        <v>7999</v>
      </c>
      <c r="FV54" s="88">
        <v>8521</v>
      </c>
      <c r="FW54" s="88">
        <v>9126</v>
      </c>
      <c r="FX54" s="88">
        <v>7067</v>
      </c>
      <c r="FY54" s="88">
        <v>6787</v>
      </c>
      <c r="FZ54" s="88">
        <v>6528</v>
      </c>
      <c r="GA54" s="88">
        <v>5918</v>
      </c>
      <c r="GB54" s="88">
        <v>5230</v>
      </c>
      <c r="GC54" s="88">
        <v>4566</v>
      </c>
      <c r="GD54" s="88">
        <v>4556</v>
      </c>
      <c r="GE54" s="88">
        <v>4362</v>
      </c>
      <c r="GF54" s="88">
        <v>3992</v>
      </c>
      <c r="GG54" s="88">
        <v>3821</v>
      </c>
      <c r="GH54" s="88">
        <v>3367</v>
      </c>
      <c r="GI54" s="88">
        <v>3073</v>
      </c>
      <c r="GJ54" s="88">
        <v>2720</v>
      </c>
      <c r="GK54" s="88">
        <v>2400</v>
      </c>
      <c r="GL54" s="89">
        <v>10623</v>
      </c>
    </row>
    <row r="55" spans="1:194" s="1" customFormat="1" x14ac:dyDescent="0.2">
      <c r="A55" s="90" t="s">
        <v>94</v>
      </c>
      <c r="B55" s="146" t="s">
        <v>140</v>
      </c>
      <c r="C55" s="30" t="str">
        <f t="shared" si="4"/>
        <v xml:space="preserve">England – CCGs - Doncaster </v>
      </c>
      <c r="D55" s="51">
        <f t="shared" si="7"/>
        <v>132351</v>
      </c>
      <c r="E55" s="51">
        <f t="shared" si="7"/>
        <v>135648</v>
      </c>
      <c r="F55" s="52">
        <f t="shared" si="8"/>
        <v>311027</v>
      </c>
      <c r="G55" s="52">
        <f t="shared" si="9"/>
        <v>154552</v>
      </c>
      <c r="H55" s="52">
        <f t="shared" si="10"/>
        <v>156475</v>
      </c>
      <c r="I55" s="697">
        <f t="shared" si="5"/>
        <v>132351</v>
      </c>
      <c r="J55" s="53">
        <f t="shared" si="6"/>
        <v>135648</v>
      </c>
      <c r="K55" s="50">
        <f t="shared" si="11"/>
        <v>33440</v>
      </c>
      <c r="L55" s="51">
        <f t="shared" si="12"/>
        <v>31679</v>
      </c>
      <c r="M55" s="87">
        <v>1778</v>
      </c>
      <c r="N55" s="87">
        <v>1809</v>
      </c>
      <c r="O55" s="87">
        <v>1879</v>
      </c>
      <c r="P55" s="87">
        <v>1801</v>
      </c>
      <c r="Q55" s="87">
        <v>1729</v>
      </c>
      <c r="R55" s="87">
        <v>1795</v>
      </c>
      <c r="S55" s="87">
        <v>1869</v>
      </c>
      <c r="T55" s="87">
        <v>1866</v>
      </c>
      <c r="U55" s="87">
        <v>1856</v>
      </c>
      <c r="V55" s="87">
        <v>1893</v>
      </c>
      <c r="W55" s="87">
        <v>1988</v>
      </c>
      <c r="X55" s="87">
        <v>1938</v>
      </c>
      <c r="Y55" s="87">
        <v>1966</v>
      </c>
      <c r="Z55" s="87">
        <v>2004</v>
      </c>
      <c r="AA55" s="87">
        <v>1949</v>
      </c>
      <c r="AB55" s="87">
        <v>1792</v>
      </c>
      <c r="AC55" s="87">
        <v>1713</v>
      </c>
      <c r="AD55" s="87">
        <v>1815</v>
      </c>
      <c r="AE55" s="87">
        <v>1744</v>
      </c>
      <c r="AF55" s="87">
        <v>1323</v>
      </c>
      <c r="AG55" s="87">
        <v>1382</v>
      </c>
      <c r="AH55" s="87">
        <v>1546</v>
      </c>
      <c r="AI55" s="87">
        <v>1650</v>
      </c>
      <c r="AJ55" s="87">
        <v>1718</v>
      </c>
      <c r="AK55" s="87">
        <v>1854</v>
      </c>
      <c r="AL55" s="87">
        <v>1932</v>
      </c>
      <c r="AM55" s="87">
        <v>1892</v>
      </c>
      <c r="AN55" s="87">
        <v>1858</v>
      </c>
      <c r="AO55" s="87">
        <v>2033</v>
      </c>
      <c r="AP55" s="87">
        <v>2101</v>
      </c>
      <c r="AQ55" s="87">
        <v>2316</v>
      </c>
      <c r="AR55" s="87">
        <v>2297</v>
      </c>
      <c r="AS55" s="87">
        <v>2228</v>
      </c>
      <c r="AT55" s="87">
        <v>2167</v>
      </c>
      <c r="AU55" s="87">
        <v>2251</v>
      </c>
      <c r="AV55" s="87">
        <v>2151</v>
      </c>
      <c r="AW55" s="87">
        <v>2123</v>
      </c>
      <c r="AX55" s="87">
        <v>2126</v>
      </c>
      <c r="AY55" s="87">
        <v>2006</v>
      </c>
      <c r="AZ55" s="87">
        <v>2023</v>
      </c>
      <c r="BA55" s="87">
        <v>1995</v>
      </c>
      <c r="BB55" s="87">
        <v>2133</v>
      </c>
      <c r="BC55" s="87">
        <v>1975</v>
      </c>
      <c r="BD55" s="87">
        <v>1790</v>
      </c>
      <c r="BE55" s="87">
        <v>1773</v>
      </c>
      <c r="BF55" s="87">
        <v>1659</v>
      </c>
      <c r="BG55" s="87">
        <v>1795</v>
      </c>
      <c r="BH55" s="87">
        <v>1725</v>
      </c>
      <c r="BI55" s="87">
        <v>1895</v>
      </c>
      <c r="BJ55" s="87">
        <v>1947</v>
      </c>
      <c r="BK55" s="87">
        <v>1992</v>
      </c>
      <c r="BL55" s="87">
        <v>2134</v>
      </c>
      <c r="BM55" s="87">
        <v>2195</v>
      </c>
      <c r="BN55" s="87">
        <v>2086</v>
      </c>
      <c r="BO55" s="87">
        <v>2171</v>
      </c>
      <c r="BP55" s="87">
        <v>2135</v>
      </c>
      <c r="BQ55" s="87">
        <v>2184</v>
      </c>
      <c r="BR55" s="87">
        <v>2148</v>
      </c>
      <c r="BS55" s="87">
        <v>2255</v>
      </c>
      <c r="BT55" s="87">
        <v>2237</v>
      </c>
      <c r="BU55" s="87">
        <v>2109</v>
      </c>
      <c r="BV55" s="87">
        <v>2081</v>
      </c>
      <c r="BW55" s="87">
        <v>2005</v>
      </c>
      <c r="BX55" s="87">
        <v>1896</v>
      </c>
      <c r="BY55" s="87">
        <v>1861</v>
      </c>
      <c r="BZ55" s="87">
        <v>1779</v>
      </c>
      <c r="CA55" s="87">
        <v>1778</v>
      </c>
      <c r="CB55" s="87">
        <v>1626</v>
      </c>
      <c r="CC55" s="87">
        <v>1576</v>
      </c>
      <c r="CD55" s="87">
        <v>1578</v>
      </c>
      <c r="CE55" s="87">
        <v>1500</v>
      </c>
      <c r="CF55" s="87">
        <v>1532</v>
      </c>
      <c r="CG55" s="87">
        <v>1386</v>
      </c>
      <c r="CH55" s="87">
        <v>1559</v>
      </c>
      <c r="CI55" s="87">
        <v>1504</v>
      </c>
      <c r="CJ55" s="87">
        <v>1592</v>
      </c>
      <c r="CK55" s="87">
        <v>1179</v>
      </c>
      <c r="CL55" s="87">
        <v>1153</v>
      </c>
      <c r="CM55" s="87">
        <v>1125</v>
      </c>
      <c r="CN55" s="87">
        <v>955</v>
      </c>
      <c r="CO55" s="87">
        <v>843</v>
      </c>
      <c r="CP55" s="87">
        <v>757</v>
      </c>
      <c r="CQ55" s="87">
        <v>717</v>
      </c>
      <c r="CR55" s="87">
        <v>602</v>
      </c>
      <c r="CS55" s="87">
        <v>565</v>
      </c>
      <c r="CT55" s="87">
        <v>535</v>
      </c>
      <c r="CU55" s="87">
        <v>486</v>
      </c>
      <c r="CV55" s="87">
        <v>403</v>
      </c>
      <c r="CW55" s="87">
        <v>319</v>
      </c>
      <c r="CX55" s="87">
        <v>268</v>
      </c>
      <c r="CY55" s="87">
        <v>898</v>
      </c>
      <c r="CZ55" s="88">
        <v>1606</v>
      </c>
      <c r="DA55" s="88">
        <v>1538</v>
      </c>
      <c r="DB55" s="88">
        <v>1631</v>
      </c>
      <c r="DC55" s="88">
        <v>1701</v>
      </c>
      <c r="DD55" s="88">
        <v>1722</v>
      </c>
      <c r="DE55" s="88">
        <v>1681</v>
      </c>
      <c r="DF55" s="88">
        <v>1674</v>
      </c>
      <c r="DG55" s="88">
        <v>1781</v>
      </c>
      <c r="DH55" s="88">
        <v>1798</v>
      </c>
      <c r="DI55" s="88">
        <v>1879</v>
      </c>
      <c r="DJ55" s="88">
        <v>1894</v>
      </c>
      <c r="DK55" s="88">
        <v>1922</v>
      </c>
      <c r="DL55" s="88">
        <v>1837</v>
      </c>
      <c r="DM55" s="88">
        <v>1854</v>
      </c>
      <c r="DN55" s="88">
        <v>1842</v>
      </c>
      <c r="DO55" s="88">
        <v>1817</v>
      </c>
      <c r="DP55" s="88">
        <v>1770</v>
      </c>
      <c r="DQ55" s="88">
        <v>1732</v>
      </c>
      <c r="DR55" s="88">
        <v>1547</v>
      </c>
      <c r="DS55" s="88">
        <v>1011</v>
      </c>
      <c r="DT55" s="88">
        <v>1247</v>
      </c>
      <c r="DU55" s="88">
        <v>1315</v>
      </c>
      <c r="DV55" s="88">
        <v>1530</v>
      </c>
      <c r="DW55" s="88">
        <v>1778</v>
      </c>
      <c r="DX55" s="88">
        <v>1756</v>
      </c>
      <c r="DY55" s="88">
        <v>1887</v>
      </c>
      <c r="DZ55" s="88">
        <v>1834</v>
      </c>
      <c r="EA55" s="88">
        <v>1986</v>
      </c>
      <c r="EB55" s="88">
        <v>2101</v>
      </c>
      <c r="EC55" s="88">
        <v>2086</v>
      </c>
      <c r="ED55" s="88">
        <v>2101</v>
      </c>
      <c r="EE55" s="88">
        <v>2157</v>
      </c>
      <c r="EF55" s="88">
        <v>2223</v>
      </c>
      <c r="EG55" s="88">
        <v>2313</v>
      </c>
      <c r="EH55" s="88">
        <v>2258</v>
      </c>
      <c r="EI55" s="88">
        <v>2237</v>
      </c>
      <c r="EJ55" s="88">
        <v>2179</v>
      </c>
      <c r="EK55" s="88">
        <v>2137</v>
      </c>
      <c r="EL55" s="88">
        <v>1912</v>
      </c>
      <c r="EM55" s="88">
        <v>2072</v>
      </c>
      <c r="EN55" s="88">
        <v>1950</v>
      </c>
      <c r="EO55" s="88">
        <v>1892</v>
      </c>
      <c r="EP55" s="88">
        <v>2072</v>
      </c>
      <c r="EQ55" s="88">
        <v>1673</v>
      </c>
      <c r="ER55" s="88">
        <v>1700</v>
      </c>
      <c r="ES55" s="88">
        <v>1678</v>
      </c>
      <c r="ET55" s="88">
        <v>1655</v>
      </c>
      <c r="EU55" s="88">
        <v>1753</v>
      </c>
      <c r="EV55" s="88">
        <v>1841</v>
      </c>
      <c r="EW55" s="88">
        <v>2019</v>
      </c>
      <c r="EX55" s="88">
        <v>1935</v>
      </c>
      <c r="EY55" s="88">
        <v>2232</v>
      </c>
      <c r="EZ55" s="88">
        <v>2097</v>
      </c>
      <c r="FA55" s="88">
        <v>2247</v>
      </c>
      <c r="FB55" s="88">
        <v>2280</v>
      </c>
      <c r="FC55" s="88">
        <v>2268</v>
      </c>
      <c r="FD55" s="88">
        <v>2250</v>
      </c>
      <c r="FE55" s="88">
        <v>2285</v>
      </c>
      <c r="FF55" s="88">
        <v>2252</v>
      </c>
      <c r="FG55" s="88">
        <v>2147</v>
      </c>
      <c r="FH55" s="88">
        <v>2126</v>
      </c>
      <c r="FI55" s="88">
        <v>2087</v>
      </c>
      <c r="FJ55" s="88">
        <v>2081</v>
      </c>
      <c r="FK55" s="88">
        <v>1969</v>
      </c>
      <c r="FL55" s="88">
        <v>1965</v>
      </c>
      <c r="FM55" s="88">
        <v>1844</v>
      </c>
      <c r="FN55" s="88">
        <v>1771</v>
      </c>
      <c r="FO55" s="88">
        <v>1682</v>
      </c>
      <c r="FP55" s="88">
        <v>1722</v>
      </c>
      <c r="FQ55" s="88">
        <v>1640</v>
      </c>
      <c r="FR55" s="88">
        <v>1554</v>
      </c>
      <c r="FS55" s="88">
        <v>1641</v>
      </c>
      <c r="FT55" s="88">
        <v>1612</v>
      </c>
      <c r="FU55" s="88">
        <v>1601</v>
      </c>
      <c r="FV55" s="88">
        <v>1740</v>
      </c>
      <c r="FW55" s="88">
        <v>1782</v>
      </c>
      <c r="FX55" s="88">
        <v>1304</v>
      </c>
      <c r="FY55" s="88">
        <v>1259</v>
      </c>
      <c r="FZ55" s="88">
        <v>1241</v>
      </c>
      <c r="GA55" s="88">
        <v>1068</v>
      </c>
      <c r="GB55" s="88">
        <v>984</v>
      </c>
      <c r="GC55" s="88">
        <v>913</v>
      </c>
      <c r="GD55" s="88">
        <v>880</v>
      </c>
      <c r="GE55" s="88">
        <v>922</v>
      </c>
      <c r="GF55" s="88">
        <v>797</v>
      </c>
      <c r="GG55" s="88">
        <v>731</v>
      </c>
      <c r="GH55" s="88">
        <v>686</v>
      </c>
      <c r="GI55" s="88">
        <v>594</v>
      </c>
      <c r="GJ55" s="88">
        <v>521</v>
      </c>
      <c r="GK55" s="88">
        <v>459</v>
      </c>
      <c r="GL55" s="89">
        <v>1727</v>
      </c>
    </row>
    <row r="56" spans="1:194" s="1" customFormat="1" x14ac:dyDescent="0.2">
      <c r="A56" s="90" t="s">
        <v>94</v>
      </c>
      <c r="B56" s="146" t="s">
        <v>141</v>
      </c>
      <c r="C56" s="30" t="str">
        <f t="shared" si="4"/>
        <v xml:space="preserve">England – CCGs - Dorset </v>
      </c>
      <c r="D56" s="51">
        <f t="shared" si="7"/>
        <v>336457</v>
      </c>
      <c r="E56" s="51">
        <f t="shared" si="7"/>
        <v>359304</v>
      </c>
      <c r="F56" s="52">
        <f t="shared" si="8"/>
        <v>785172</v>
      </c>
      <c r="G56" s="52">
        <f t="shared" si="9"/>
        <v>382244</v>
      </c>
      <c r="H56" s="52">
        <f t="shared" si="10"/>
        <v>402928</v>
      </c>
      <c r="I56" s="697">
        <f t="shared" si="5"/>
        <v>336457</v>
      </c>
      <c r="J56" s="53">
        <f t="shared" si="6"/>
        <v>359304</v>
      </c>
      <c r="K56" s="50">
        <f t="shared" si="11"/>
        <v>71711</v>
      </c>
      <c r="L56" s="51">
        <f t="shared" si="12"/>
        <v>68247</v>
      </c>
      <c r="M56" s="87">
        <v>3208</v>
      </c>
      <c r="N56" s="87">
        <v>3392</v>
      </c>
      <c r="O56" s="87">
        <v>3473</v>
      </c>
      <c r="P56" s="87">
        <v>3557</v>
      </c>
      <c r="Q56" s="87">
        <v>3581</v>
      </c>
      <c r="R56" s="87">
        <v>3772</v>
      </c>
      <c r="S56" s="87">
        <v>3957</v>
      </c>
      <c r="T56" s="87">
        <v>3900</v>
      </c>
      <c r="U56" s="87">
        <v>3992</v>
      </c>
      <c r="V56" s="87">
        <v>4178</v>
      </c>
      <c r="W56" s="87">
        <v>4455</v>
      </c>
      <c r="X56" s="87">
        <v>4322</v>
      </c>
      <c r="Y56" s="87">
        <v>4233</v>
      </c>
      <c r="Z56" s="87">
        <v>4336</v>
      </c>
      <c r="AA56" s="87">
        <v>4536</v>
      </c>
      <c r="AB56" s="87">
        <v>4380</v>
      </c>
      <c r="AC56" s="87">
        <v>4155</v>
      </c>
      <c r="AD56" s="87">
        <v>4284</v>
      </c>
      <c r="AE56" s="87">
        <v>4344</v>
      </c>
      <c r="AF56" s="87">
        <v>4541</v>
      </c>
      <c r="AG56" s="87">
        <v>4521</v>
      </c>
      <c r="AH56" s="87">
        <v>4340</v>
      </c>
      <c r="AI56" s="87">
        <v>4380</v>
      </c>
      <c r="AJ56" s="87">
        <v>4228</v>
      </c>
      <c r="AK56" s="87">
        <v>4008</v>
      </c>
      <c r="AL56" s="87">
        <v>4074</v>
      </c>
      <c r="AM56" s="87">
        <v>3964</v>
      </c>
      <c r="AN56" s="87">
        <v>3870</v>
      </c>
      <c r="AO56" s="87">
        <v>4030</v>
      </c>
      <c r="AP56" s="87">
        <v>3985</v>
      </c>
      <c r="AQ56" s="87">
        <v>4072</v>
      </c>
      <c r="AR56" s="87">
        <v>4345</v>
      </c>
      <c r="AS56" s="87">
        <v>4347</v>
      </c>
      <c r="AT56" s="87">
        <v>4319</v>
      </c>
      <c r="AU56" s="87">
        <v>4483</v>
      </c>
      <c r="AV56" s="87">
        <v>4499</v>
      </c>
      <c r="AW56" s="87">
        <v>4299</v>
      </c>
      <c r="AX56" s="87">
        <v>4395</v>
      </c>
      <c r="AY56" s="87">
        <v>4302</v>
      </c>
      <c r="AZ56" s="87">
        <v>4373</v>
      </c>
      <c r="BA56" s="87">
        <v>4459</v>
      </c>
      <c r="BB56" s="87">
        <v>4728</v>
      </c>
      <c r="BC56" s="87">
        <v>4653</v>
      </c>
      <c r="BD56" s="87">
        <v>4508</v>
      </c>
      <c r="BE56" s="87">
        <v>4190</v>
      </c>
      <c r="BF56" s="87">
        <v>4125</v>
      </c>
      <c r="BG56" s="87">
        <v>4158</v>
      </c>
      <c r="BH56" s="87">
        <v>4390</v>
      </c>
      <c r="BI56" s="87">
        <v>4421</v>
      </c>
      <c r="BJ56" s="87">
        <v>4713</v>
      </c>
      <c r="BK56" s="87">
        <v>4897</v>
      </c>
      <c r="BL56" s="87">
        <v>5146</v>
      </c>
      <c r="BM56" s="87">
        <v>5097</v>
      </c>
      <c r="BN56" s="87">
        <v>5297</v>
      </c>
      <c r="BO56" s="87">
        <v>5329</v>
      </c>
      <c r="BP56" s="87">
        <v>5345</v>
      </c>
      <c r="BQ56" s="87">
        <v>5510</v>
      </c>
      <c r="BR56" s="87">
        <v>5499</v>
      </c>
      <c r="BS56" s="87">
        <v>5593</v>
      </c>
      <c r="BT56" s="87">
        <v>5515</v>
      </c>
      <c r="BU56" s="87">
        <v>5650</v>
      </c>
      <c r="BV56" s="87">
        <v>5361</v>
      </c>
      <c r="BW56" s="87">
        <v>5195</v>
      </c>
      <c r="BX56" s="87">
        <v>5138</v>
      </c>
      <c r="BY56" s="87">
        <v>5043</v>
      </c>
      <c r="BZ56" s="87">
        <v>4991</v>
      </c>
      <c r="CA56" s="87">
        <v>4652</v>
      </c>
      <c r="CB56" s="87">
        <v>4605</v>
      </c>
      <c r="CC56" s="87">
        <v>4590</v>
      </c>
      <c r="CD56" s="87">
        <v>4532</v>
      </c>
      <c r="CE56" s="87">
        <v>4386</v>
      </c>
      <c r="CF56" s="87">
        <v>4527</v>
      </c>
      <c r="CG56" s="87">
        <v>4650</v>
      </c>
      <c r="CH56" s="87">
        <v>4625</v>
      </c>
      <c r="CI56" s="87">
        <v>5210</v>
      </c>
      <c r="CJ56" s="87">
        <v>5694</v>
      </c>
      <c r="CK56" s="87">
        <v>4232</v>
      </c>
      <c r="CL56" s="87">
        <v>4007</v>
      </c>
      <c r="CM56" s="87">
        <v>3861</v>
      </c>
      <c r="CN56" s="87">
        <v>3611</v>
      </c>
      <c r="CO56" s="87">
        <v>3012</v>
      </c>
      <c r="CP56" s="87">
        <v>2502</v>
      </c>
      <c r="CQ56" s="87">
        <v>2443</v>
      </c>
      <c r="CR56" s="87">
        <v>2384</v>
      </c>
      <c r="CS56" s="87">
        <v>2295</v>
      </c>
      <c r="CT56" s="87">
        <v>2085</v>
      </c>
      <c r="CU56" s="87">
        <v>1764</v>
      </c>
      <c r="CV56" s="87">
        <v>1596</v>
      </c>
      <c r="CW56" s="87">
        <v>1350</v>
      </c>
      <c r="CX56" s="87">
        <v>1132</v>
      </c>
      <c r="CY56" s="87">
        <v>4118</v>
      </c>
      <c r="CZ56" s="88">
        <v>3003</v>
      </c>
      <c r="DA56" s="88">
        <v>3135</v>
      </c>
      <c r="DB56" s="88">
        <v>3215</v>
      </c>
      <c r="DC56" s="88">
        <v>3357</v>
      </c>
      <c r="DD56" s="88">
        <v>3550</v>
      </c>
      <c r="DE56" s="88">
        <v>3649</v>
      </c>
      <c r="DF56" s="88">
        <v>3796</v>
      </c>
      <c r="DG56" s="88">
        <v>3848</v>
      </c>
      <c r="DH56" s="88">
        <v>3797</v>
      </c>
      <c r="DI56" s="88">
        <v>3939</v>
      </c>
      <c r="DJ56" s="88">
        <v>4173</v>
      </c>
      <c r="DK56" s="88">
        <v>4162</v>
      </c>
      <c r="DL56" s="88">
        <v>4172</v>
      </c>
      <c r="DM56" s="88">
        <v>4201</v>
      </c>
      <c r="DN56" s="88">
        <v>4307</v>
      </c>
      <c r="DO56" s="88">
        <v>4057</v>
      </c>
      <c r="DP56" s="88">
        <v>3914</v>
      </c>
      <c r="DQ56" s="88">
        <v>3972</v>
      </c>
      <c r="DR56" s="88">
        <v>4044</v>
      </c>
      <c r="DS56" s="88">
        <v>4497</v>
      </c>
      <c r="DT56" s="88">
        <v>4411</v>
      </c>
      <c r="DU56" s="88">
        <v>4137</v>
      </c>
      <c r="DV56" s="88">
        <v>4062</v>
      </c>
      <c r="DW56" s="88">
        <v>3856</v>
      </c>
      <c r="DX56" s="88">
        <v>3778</v>
      </c>
      <c r="DY56" s="88">
        <v>3887</v>
      </c>
      <c r="DZ56" s="88">
        <v>3705</v>
      </c>
      <c r="EA56" s="88">
        <v>3853</v>
      </c>
      <c r="EB56" s="88">
        <v>4159</v>
      </c>
      <c r="EC56" s="88">
        <v>4096</v>
      </c>
      <c r="ED56" s="88">
        <v>4319</v>
      </c>
      <c r="EE56" s="88">
        <v>4570</v>
      </c>
      <c r="EF56" s="88">
        <v>4614</v>
      </c>
      <c r="EG56" s="88">
        <v>4679</v>
      </c>
      <c r="EH56" s="88">
        <v>4831</v>
      </c>
      <c r="EI56" s="88">
        <v>4618</v>
      </c>
      <c r="EJ56" s="88">
        <v>4598</v>
      </c>
      <c r="EK56" s="88">
        <v>4824</v>
      </c>
      <c r="EL56" s="88">
        <v>4580</v>
      </c>
      <c r="EM56" s="88">
        <v>4612</v>
      </c>
      <c r="EN56" s="88">
        <v>4789</v>
      </c>
      <c r="EO56" s="88">
        <v>4864</v>
      </c>
      <c r="EP56" s="88">
        <v>4788</v>
      </c>
      <c r="EQ56" s="88">
        <v>4687</v>
      </c>
      <c r="ER56" s="88">
        <v>4308</v>
      </c>
      <c r="ES56" s="88">
        <v>4238</v>
      </c>
      <c r="ET56" s="88">
        <v>4320</v>
      </c>
      <c r="EU56" s="88">
        <v>4548</v>
      </c>
      <c r="EV56" s="88">
        <v>4668</v>
      </c>
      <c r="EW56" s="88">
        <v>4916</v>
      </c>
      <c r="EX56" s="88">
        <v>5128</v>
      </c>
      <c r="EY56" s="88">
        <v>5480</v>
      </c>
      <c r="EZ56" s="88">
        <v>5399</v>
      </c>
      <c r="FA56" s="88">
        <v>5463</v>
      </c>
      <c r="FB56" s="88">
        <v>5598</v>
      </c>
      <c r="FC56" s="88">
        <v>5738</v>
      </c>
      <c r="FD56" s="88">
        <v>5803</v>
      </c>
      <c r="FE56" s="88">
        <v>5911</v>
      </c>
      <c r="FF56" s="88">
        <v>5975</v>
      </c>
      <c r="FG56" s="88">
        <v>5791</v>
      </c>
      <c r="FH56" s="88">
        <v>5816</v>
      </c>
      <c r="FI56" s="88">
        <v>5655</v>
      </c>
      <c r="FJ56" s="88">
        <v>5426</v>
      </c>
      <c r="FK56" s="88">
        <v>5435</v>
      </c>
      <c r="FL56" s="88">
        <v>5552</v>
      </c>
      <c r="FM56" s="88">
        <v>5278</v>
      </c>
      <c r="FN56" s="88">
        <v>4958</v>
      </c>
      <c r="FO56" s="88">
        <v>4986</v>
      </c>
      <c r="FP56" s="88">
        <v>5244</v>
      </c>
      <c r="FQ56" s="88">
        <v>4892</v>
      </c>
      <c r="FR56" s="88">
        <v>4856</v>
      </c>
      <c r="FS56" s="88">
        <v>5006</v>
      </c>
      <c r="FT56" s="88">
        <v>5367</v>
      </c>
      <c r="FU56" s="88">
        <v>5260</v>
      </c>
      <c r="FV56" s="88">
        <v>5682</v>
      </c>
      <c r="FW56" s="88">
        <v>6258</v>
      </c>
      <c r="FX56" s="88">
        <v>4714</v>
      </c>
      <c r="FY56" s="88">
        <v>4547</v>
      </c>
      <c r="FZ56" s="88">
        <v>4459</v>
      </c>
      <c r="GA56" s="88">
        <v>4002</v>
      </c>
      <c r="GB56" s="88">
        <v>3568</v>
      </c>
      <c r="GC56" s="88">
        <v>2936</v>
      </c>
      <c r="GD56" s="88">
        <v>3099</v>
      </c>
      <c r="GE56" s="88">
        <v>2974</v>
      </c>
      <c r="GF56" s="88">
        <v>2889</v>
      </c>
      <c r="GG56" s="88">
        <v>2572</v>
      </c>
      <c r="GH56" s="88">
        <v>2345</v>
      </c>
      <c r="GI56" s="88">
        <v>2176</v>
      </c>
      <c r="GJ56" s="88">
        <v>1951</v>
      </c>
      <c r="GK56" s="88">
        <v>1759</v>
      </c>
      <c r="GL56" s="89">
        <v>7877</v>
      </c>
    </row>
    <row r="57" spans="1:194" s="1" customFormat="1" x14ac:dyDescent="0.2">
      <c r="A57" s="90" t="s">
        <v>94</v>
      </c>
      <c r="B57" s="146" t="s">
        <v>142</v>
      </c>
      <c r="C57" s="30" t="str">
        <f t="shared" si="4"/>
        <v xml:space="preserve">England – CCGs - East and North Hertfordshire </v>
      </c>
      <c r="D57" s="51">
        <f t="shared" si="7"/>
        <v>238316</v>
      </c>
      <c r="E57" s="51">
        <f t="shared" si="7"/>
        <v>253282</v>
      </c>
      <c r="F57" s="52">
        <f t="shared" si="8"/>
        <v>574319</v>
      </c>
      <c r="G57" s="52">
        <f t="shared" si="9"/>
        <v>280730</v>
      </c>
      <c r="H57" s="52">
        <f t="shared" si="10"/>
        <v>293589</v>
      </c>
      <c r="I57" s="697">
        <f t="shared" si="5"/>
        <v>238316</v>
      </c>
      <c r="J57" s="53">
        <f t="shared" si="6"/>
        <v>253282</v>
      </c>
      <c r="K57" s="50">
        <f t="shared" si="11"/>
        <v>64230</v>
      </c>
      <c r="L57" s="51">
        <f t="shared" si="12"/>
        <v>61214</v>
      </c>
      <c r="M57" s="87">
        <v>3207</v>
      </c>
      <c r="N57" s="87">
        <v>3212</v>
      </c>
      <c r="O57" s="87">
        <v>3421</v>
      </c>
      <c r="P57" s="87">
        <v>3405</v>
      </c>
      <c r="Q57" s="87">
        <v>3556</v>
      </c>
      <c r="R57" s="87">
        <v>3562</v>
      </c>
      <c r="S57" s="87">
        <v>3564</v>
      </c>
      <c r="T57" s="87">
        <v>3555</v>
      </c>
      <c r="U57" s="87">
        <v>3553</v>
      </c>
      <c r="V57" s="87">
        <v>3745</v>
      </c>
      <c r="W57" s="87">
        <v>3834</v>
      </c>
      <c r="X57" s="87">
        <v>3800</v>
      </c>
      <c r="Y57" s="87">
        <v>3848</v>
      </c>
      <c r="Z57" s="87">
        <v>3600</v>
      </c>
      <c r="AA57" s="87">
        <v>3770</v>
      </c>
      <c r="AB57" s="87">
        <v>3586</v>
      </c>
      <c r="AC57" s="87">
        <v>3544</v>
      </c>
      <c r="AD57" s="87">
        <v>3468</v>
      </c>
      <c r="AE57" s="87">
        <v>3371</v>
      </c>
      <c r="AF57" s="87">
        <v>2662</v>
      </c>
      <c r="AG57" s="87">
        <v>2993</v>
      </c>
      <c r="AH57" s="87">
        <v>3082</v>
      </c>
      <c r="AI57" s="87">
        <v>3296</v>
      </c>
      <c r="AJ57" s="87">
        <v>3440</v>
      </c>
      <c r="AK57" s="87">
        <v>3544</v>
      </c>
      <c r="AL57" s="87">
        <v>3453</v>
      </c>
      <c r="AM57" s="87">
        <v>3391</v>
      </c>
      <c r="AN57" s="87">
        <v>3425</v>
      </c>
      <c r="AO57" s="87">
        <v>3539</v>
      </c>
      <c r="AP57" s="87">
        <v>3493</v>
      </c>
      <c r="AQ57" s="87">
        <v>3667</v>
      </c>
      <c r="AR57" s="87">
        <v>3773</v>
      </c>
      <c r="AS57" s="87">
        <v>3765</v>
      </c>
      <c r="AT57" s="87">
        <v>3730</v>
      </c>
      <c r="AU57" s="87">
        <v>3877</v>
      </c>
      <c r="AV57" s="87">
        <v>3872</v>
      </c>
      <c r="AW57" s="87">
        <v>3830</v>
      </c>
      <c r="AX57" s="87">
        <v>3760</v>
      </c>
      <c r="AY57" s="87">
        <v>3697</v>
      </c>
      <c r="AZ57" s="87">
        <v>3745</v>
      </c>
      <c r="BA57" s="87">
        <v>3867</v>
      </c>
      <c r="BB57" s="87">
        <v>3852</v>
      </c>
      <c r="BC57" s="87">
        <v>4050</v>
      </c>
      <c r="BD57" s="87">
        <v>3948</v>
      </c>
      <c r="BE57" s="87">
        <v>3530</v>
      </c>
      <c r="BF57" s="87">
        <v>3543</v>
      </c>
      <c r="BG57" s="87">
        <v>3613</v>
      </c>
      <c r="BH57" s="87">
        <v>3630</v>
      </c>
      <c r="BI57" s="87">
        <v>3783</v>
      </c>
      <c r="BJ57" s="87">
        <v>3764</v>
      </c>
      <c r="BK57" s="87">
        <v>3825</v>
      </c>
      <c r="BL57" s="87">
        <v>3969</v>
      </c>
      <c r="BM57" s="87">
        <v>3808</v>
      </c>
      <c r="BN57" s="87">
        <v>3955</v>
      </c>
      <c r="BO57" s="87">
        <v>3951</v>
      </c>
      <c r="BP57" s="87">
        <v>3982</v>
      </c>
      <c r="BQ57" s="87">
        <v>3935</v>
      </c>
      <c r="BR57" s="87">
        <v>3988</v>
      </c>
      <c r="BS57" s="87">
        <v>3900</v>
      </c>
      <c r="BT57" s="87">
        <v>3792</v>
      </c>
      <c r="BU57" s="87">
        <v>3612</v>
      </c>
      <c r="BV57" s="87">
        <v>3487</v>
      </c>
      <c r="BW57" s="87">
        <v>3244</v>
      </c>
      <c r="BX57" s="87">
        <v>3196</v>
      </c>
      <c r="BY57" s="87">
        <v>3073</v>
      </c>
      <c r="BZ57" s="87">
        <v>2926</v>
      </c>
      <c r="CA57" s="87">
        <v>2766</v>
      </c>
      <c r="CB57" s="87">
        <v>2535</v>
      </c>
      <c r="CC57" s="87">
        <v>2447</v>
      </c>
      <c r="CD57" s="87">
        <v>2359</v>
      </c>
      <c r="CE57" s="87">
        <v>2280</v>
      </c>
      <c r="CF57" s="87">
        <v>2193</v>
      </c>
      <c r="CG57" s="87">
        <v>2279</v>
      </c>
      <c r="CH57" s="87">
        <v>2203</v>
      </c>
      <c r="CI57" s="87">
        <v>2397</v>
      </c>
      <c r="CJ57" s="87">
        <v>2621</v>
      </c>
      <c r="CK57" s="87">
        <v>1838</v>
      </c>
      <c r="CL57" s="87">
        <v>1866</v>
      </c>
      <c r="CM57" s="87">
        <v>1759</v>
      </c>
      <c r="CN57" s="87">
        <v>1655</v>
      </c>
      <c r="CO57" s="87">
        <v>1357</v>
      </c>
      <c r="CP57" s="87">
        <v>1175</v>
      </c>
      <c r="CQ57" s="87">
        <v>1151</v>
      </c>
      <c r="CR57" s="87">
        <v>1166</v>
      </c>
      <c r="CS57" s="87">
        <v>1076</v>
      </c>
      <c r="CT57" s="87">
        <v>984</v>
      </c>
      <c r="CU57" s="87">
        <v>892</v>
      </c>
      <c r="CV57" s="87">
        <v>788</v>
      </c>
      <c r="CW57" s="87">
        <v>652</v>
      </c>
      <c r="CX57" s="87">
        <v>555</v>
      </c>
      <c r="CY57" s="87">
        <v>1878</v>
      </c>
      <c r="CZ57" s="88">
        <v>3070</v>
      </c>
      <c r="DA57" s="88">
        <v>3082</v>
      </c>
      <c r="DB57" s="88">
        <v>3139</v>
      </c>
      <c r="DC57" s="88">
        <v>3207</v>
      </c>
      <c r="DD57" s="88">
        <v>3330</v>
      </c>
      <c r="DE57" s="88">
        <v>3322</v>
      </c>
      <c r="DF57" s="88">
        <v>3466</v>
      </c>
      <c r="DG57" s="88">
        <v>3433</v>
      </c>
      <c r="DH57" s="88">
        <v>3484</v>
      </c>
      <c r="DI57" s="88">
        <v>3453</v>
      </c>
      <c r="DJ57" s="88">
        <v>3691</v>
      </c>
      <c r="DK57" s="88">
        <v>3630</v>
      </c>
      <c r="DL57" s="88">
        <v>3729</v>
      </c>
      <c r="DM57" s="88">
        <v>3468</v>
      </c>
      <c r="DN57" s="88">
        <v>3637</v>
      </c>
      <c r="DO57" s="88">
        <v>3451</v>
      </c>
      <c r="DP57" s="88">
        <v>3330</v>
      </c>
      <c r="DQ57" s="88">
        <v>3292</v>
      </c>
      <c r="DR57" s="88">
        <v>3209</v>
      </c>
      <c r="DS57" s="88">
        <v>2452</v>
      </c>
      <c r="DT57" s="88">
        <v>2657</v>
      </c>
      <c r="DU57" s="88">
        <v>2968</v>
      </c>
      <c r="DV57" s="88">
        <v>3011</v>
      </c>
      <c r="DW57" s="88">
        <v>3228</v>
      </c>
      <c r="DX57" s="88">
        <v>3175</v>
      </c>
      <c r="DY57" s="88">
        <v>3208</v>
      </c>
      <c r="DZ57" s="88">
        <v>3328</v>
      </c>
      <c r="EA57" s="88">
        <v>3376</v>
      </c>
      <c r="EB57" s="88">
        <v>3576</v>
      </c>
      <c r="EC57" s="88">
        <v>3836</v>
      </c>
      <c r="ED57" s="88">
        <v>4006</v>
      </c>
      <c r="EE57" s="88">
        <v>4071</v>
      </c>
      <c r="EF57" s="88">
        <v>4287</v>
      </c>
      <c r="EG57" s="88">
        <v>4213</v>
      </c>
      <c r="EH57" s="88">
        <v>4271</v>
      </c>
      <c r="EI57" s="88">
        <v>4332</v>
      </c>
      <c r="EJ57" s="88">
        <v>4265</v>
      </c>
      <c r="EK57" s="88">
        <v>4246</v>
      </c>
      <c r="EL57" s="88">
        <v>4233</v>
      </c>
      <c r="EM57" s="88">
        <v>4119</v>
      </c>
      <c r="EN57" s="88">
        <v>4166</v>
      </c>
      <c r="EO57" s="88">
        <v>4311</v>
      </c>
      <c r="EP57" s="88">
        <v>4237</v>
      </c>
      <c r="EQ57" s="88">
        <v>4016</v>
      </c>
      <c r="ER57" s="88">
        <v>3724</v>
      </c>
      <c r="ES57" s="88">
        <v>3743</v>
      </c>
      <c r="ET57" s="88">
        <v>3777</v>
      </c>
      <c r="EU57" s="88">
        <v>3849</v>
      </c>
      <c r="EV57" s="88">
        <v>3831</v>
      </c>
      <c r="EW57" s="88">
        <v>3951</v>
      </c>
      <c r="EX57" s="88">
        <v>4128</v>
      </c>
      <c r="EY57" s="88">
        <v>4202</v>
      </c>
      <c r="EZ57" s="88">
        <v>3970</v>
      </c>
      <c r="FA57" s="88">
        <v>4071</v>
      </c>
      <c r="FB57" s="88">
        <v>4005</v>
      </c>
      <c r="FC57" s="88">
        <v>4112</v>
      </c>
      <c r="FD57" s="88">
        <v>4225</v>
      </c>
      <c r="FE57" s="88">
        <v>4098</v>
      </c>
      <c r="FF57" s="88">
        <v>3989</v>
      </c>
      <c r="FG57" s="88">
        <v>3894</v>
      </c>
      <c r="FH57" s="88">
        <v>3697</v>
      </c>
      <c r="FI57" s="88">
        <v>3485</v>
      </c>
      <c r="FJ57" s="88">
        <v>3368</v>
      </c>
      <c r="FK57" s="88">
        <v>3262</v>
      </c>
      <c r="FL57" s="88">
        <v>3053</v>
      </c>
      <c r="FM57" s="88">
        <v>2930</v>
      </c>
      <c r="FN57" s="88">
        <v>2771</v>
      </c>
      <c r="FO57" s="88">
        <v>2683</v>
      </c>
      <c r="FP57" s="88">
        <v>2569</v>
      </c>
      <c r="FQ57" s="88">
        <v>2499</v>
      </c>
      <c r="FR57" s="88">
        <v>2422</v>
      </c>
      <c r="FS57" s="88">
        <v>2446</v>
      </c>
      <c r="FT57" s="88">
        <v>2506</v>
      </c>
      <c r="FU57" s="88">
        <v>2605</v>
      </c>
      <c r="FV57" s="88">
        <v>2698</v>
      </c>
      <c r="FW57" s="88">
        <v>3108</v>
      </c>
      <c r="FX57" s="88">
        <v>2199</v>
      </c>
      <c r="FY57" s="88">
        <v>2201</v>
      </c>
      <c r="FZ57" s="88">
        <v>2119</v>
      </c>
      <c r="GA57" s="88">
        <v>2005</v>
      </c>
      <c r="GB57" s="88">
        <v>1702</v>
      </c>
      <c r="GC57" s="88">
        <v>1493</v>
      </c>
      <c r="GD57" s="88">
        <v>1647</v>
      </c>
      <c r="GE57" s="88">
        <v>1534</v>
      </c>
      <c r="GF57" s="88">
        <v>1491</v>
      </c>
      <c r="GG57" s="88">
        <v>1370</v>
      </c>
      <c r="GH57" s="88">
        <v>1251</v>
      </c>
      <c r="GI57" s="88">
        <v>1219</v>
      </c>
      <c r="GJ57" s="88">
        <v>1057</v>
      </c>
      <c r="GK57" s="88">
        <v>889</v>
      </c>
      <c r="GL57" s="89">
        <v>3730</v>
      </c>
    </row>
    <row r="58" spans="1:194" s="1" customFormat="1" x14ac:dyDescent="0.2">
      <c r="A58" s="90" t="s">
        <v>94</v>
      </c>
      <c r="B58" s="146" t="s">
        <v>143</v>
      </c>
      <c r="C58" s="30" t="str">
        <f t="shared" si="4"/>
        <v xml:space="preserve">England – CCGs - East Lancashire </v>
      </c>
      <c r="D58" s="51">
        <f t="shared" si="7"/>
        <v>166504</v>
      </c>
      <c r="E58" s="51">
        <f t="shared" si="7"/>
        <v>173021</v>
      </c>
      <c r="F58" s="52">
        <f t="shared" si="8"/>
        <v>397081</v>
      </c>
      <c r="G58" s="52">
        <f t="shared" si="9"/>
        <v>195994</v>
      </c>
      <c r="H58" s="52">
        <f t="shared" si="10"/>
        <v>201087</v>
      </c>
      <c r="I58" s="697">
        <f t="shared" si="5"/>
        <v>166504</v>
      </c>
      <c r="J58" s="53">
        <f t="shared" si="6"/>
        <v>173021</v>
      </c>
      <c r="K58" s="50">
        <f t="shared" si="11"/>
        <v>45543</v>
      </c>
      <c r="L58" s="51">
        <f t="shared" si="12"/>
        <v>43398</v>
      </c>
      <c r="M58" s="87">
        <v>2184</v>
      </c>
      <c r="N58" s="87">
        <v>2194</v>
      </c>
      <c r="O58" s="87">
        <v>2365</v>
      </c>
      <c r="P58" s="87">
        <v>2333</v>
      </c>
      <c r="Q58" s="87">
        <v>2384</v>
      </c>
      <c r="R58" s="87">
        <v>2506</v>
      </c>
      <c r="S58" s="87">
        <v>2480</v>
      </c>
      <c r="T58" s="87">
        <v>2510</v>
      </c>
      <c r="U58" s="87">
        <v>2502</v>
      </c>
      <c r="V58" s="87">
        <v>2676</v>
      </c>
      <c r="W58" s="87">
        <v>2597</v>
      </c>
      <c r="X58" s="87">
        <v>2759</v>
      </c>
      <c r="Y58" s="87">
        <v>2726</v>
      </c>
      <c r="Z58" s="87">
        <v>2691</v>
      </c>
      <c r="AA58" s="87">
        <v>2680</v>
      </c>
      <c r="AB58" s="87">
        <v>2632</v>
      </c>
      <c r="AC58" s="87">
        <v>2638</v>
      </c>
      <c r="AD58" s="87">
        <v>2686</v>
      </c>
      <c r="AE58" s="87">
        <v>2435</v>
      </c>
      <c r="AF58" s="87">
        <v>1958</v>
      </c>
      <c r="AG58" s="87">
        <v>1885</v>
      </c>
      <c r="AH58" s="87">
        <v>1950</v>
      </c>
      <c r="AI58" s="87">
        <v>2186</v>
      </c>
      <c r="AJ58" s="87">
        <v>2198</v>
      </c>
      <c r="AK58" s="87">
        <v>2234</v>
      </c>
      <c r="AL58" s="87">
        <v>2278</v>
      </c>
      <c r="AM58" s="87">
        <v>2166</v>
      </c>
      <c r="AN58" s="87">
        <v>2240</v>
      </c>
      <c r="AO58" s="87">
        <v>2317</v>
      </c>
      <c r="AP58" s="87">
        <v>2443</v>
      </c>
      <c r="AQ58" s="87">
        <v>2346</v>
      </c>
      <c r="AR58" s="87">
        <v>2559</v>
      </c>
      <c r="AS58" s="87">
        <v>2553</v>
      </c>
      <c r="AT58" s="87">
        <v>2548</v>
      </c>
      <c r="AU58" s="87">
        <v>2589</v>
      </c>
      <c r="AV58" s="87">
        <v>2592</v>
      </c>
      <c r="AW58" s="87">
        <v>2569</v>
      </c>
      <c r="AX58" s="87">
        <v>2542</v>
      </c>
      <c r="AY58" s="87">
        <v>2429</v>
      </c>
      <c r="AZ58" s="87">
        <v>2475</v>
      </c>
      <c r="BA58" s="87">
        <v>2407</v>
      </c>
      <c r="BB58" s="87">
        <v>2355</v>
      </c>
      <c r="BC58" s="87">
        <v>2427</v>
      </c>
      <c r="BD58" s="87">
        <v>2290</v>
      </c>
      <c r="BE58" s="87">
        <v>2190</v>
      </c>
      <c r="BF58" s="87">
        <v>2114</v>
      </c>
      <c r="BG58" s="87">
        <v>2385</v>
      </c>
      <c r="BH58" s="87">
        <v>2282</v>
      </c>
      <c r="BI58" s="87">
        <v>2367</v>
      </c>
      <c r="BJ58" s="87">
        <v>2462</v>
      </c>
      <c r="BK58" s="87">
        <v>2626</v>
      </c>
      <c r="BL58" s="87">
        <v>2704</v>
      </c>
      <c r="BM58" s="87">
        <v>2793</v>
      </c>
      <c r="BN58" s="87">
        <v>2913</v>
      </c>
      <c r="BO58" s="87">
        <v>2872</v>
      </c>
      <c r="BP58" s="87">
        <v>2756</v>
      </c>
      <c r="BQ58" s="87">
        <v>2730</v>
      </c>
      <c r="BR58" s="87">
        <v>2699</v>
      </c>
      <c r="BS58" s="87">
        <v>2744</v>
      </c>
      <c r="BT58" s="87">
        <v>2683</v>
      </c>
      <c r="BU58" s="87">
        <v>2698</v>
      </c>
      <c r="BV58" s="87">
        <v>2536</v>
      </c>
      <c r="BW58" s="87">
        <v>2355</v>
      </c>
      <c r="BX58" s="87">
        <v>2437</v>
      </c>
      <c r="BY58" s="87">
        <v>2328</v>
      </c>
      <c r="BZ58" s="87">
        <v>2190</v>
      </c>
      <c r="CA58" s="87">
        <v>2115</v>
      </c>
      <c r="CB58" s="87">
        <v>1949</v>
      </c>
      <c r="CC58" s="87">
        <v>1988</v>
      </c>
      <c r="CD58" s="87">
        <v>2067</v>
      </c>
      <c r="CE58" s="87">
        <v>1889</v>
      </c>
      <c r="CF58" s="87">
        <v>1870</v>
      </c>
      <c r="CG58" s="87">
        <v>1911</v>
      </c>
      <c r="CH58" s="87">
        <v>1955</v>
      </c>
      <c r="CI58" s="87">
        <v>2118</v>
      </c>
      <c r="CJ58" s="87">
        <v>2186</v>
      </c>
      <c r="CK58" s="87">
        <v>1641</v>
      </c>
      <c r="CL58" s="87">
        <v>1459</v>
      </c>
      <c r="CM58" s="87">
        <v>1373</v>
      </c>
      <c r="CN58" s="87">
        <v>1249</v>
      </c>
      <c r="CO58" s="87">
        <v>1038</v>
      </c>
      <c r="CP58" s="87">
        <v>986</v>
      </c>
      <c r="CQ58" s="87">
        <v>843</v>
      </c>
      <c r="CR58" s="87">
        <v>773</v>
      </c>
      <c r="CS58" s="87">
        <v>727</v>
      </c>
      <c r="CT58" s="87">
        <v>663</v>
      </c>
      <c r="CU58" s="87">
        <v>602</v>
      </c>
      <c r="CV58" s="87">
        <v>472</v>
      </c>
      <c r="CW58" s="87">
        <v>398</v>
      </c>
      <c r="CX58" s="87">
        <v>299</v>
      </c>
      <c r="CY58" s="87">
        <v>1045</v>
      </c>
      <c r="CZ58" s="88">
        <v>2116</v>
      </c>
      <c r="DA58" s="88">
        <v>1998</v>
      </c>
      <c r="DB58" s="88">
        <v>2231</v>
      </c>
      <c r="DC58" s="88">
        <v>2267</v>
      </c>
      <c r="DD58" s="88">
        <v>2182</v>
      </c>
      <c r="DE58" s="88">
        <v>2271</v>
      </c>
      <c r="DF58" s="88">
        <v>2529</v>
      </c>
      <c r="DG58" s="88">
        <v>2355</v>
      </c>
      <c r="DH58" s="88">
        <v>2418</v>
      </c>
      <c r="DI58" s="88">
        <v>2534</v>
      </c>
      <c r="DJ58" s="88">
        <v>2613</v>
      </c>
      <c r="DK58" s="88">
        <v>2552</v>
      </c>
      <c r="DL58" s="88">
        <v>2661</v>
      </c>
      <c r="DM58" s="88">
        <v>2648</v>
      </c>
      <c r="DN58" s="88">
        <v>2588</v>
      </c>
      <c r="DO58" s="88">
        <v>2501</v>
      </c>
      <c r="DP58" s="88">
        <v>2475</v>
      </c>
      <c r="DQ58" s="88">
        <v>2459</v>
      </c>
      <c r="DR58" s="88">
        <v>2236</v>
      </c>
      <c r="DS58" s="88">
        <v>1575</v>
      </c>
      <c r="DT58" s="88">
        <v>1601</v>
      </c>
      <c r="DU58" s="88">
        <v>1744</v>
      </c>
      <c r="DV58" s="88">
        <v>1993</v>
      </c>
      <c r="DW58" s="88">
        <v>2155</v>
      </c>
      <c r="DX58" s="88">
        <v>2265</v>
      </c>
      <c r="DY58" s="88">
        <v>2272</v>
      </c>
      <c r="DZ58" s="88">
        <v>2250</v>
      </c>
      <c r="EA58" s="88">
        <v>2274</v>
      </c>
      <c r="EB58" s="88">
        <v>2446</v>
      </c>
      <c r="EC58" s="88">
        <v>2555</v>
      </c>
      <c r="ED58" s="88">
        <v>2645</v>
      </c>
      <c r="EE58" s="88">
        <v>2721</v>
      </c>
      <c r="EF58" s="88">
        <v>2662</v>
      </c>
      <c r="EG58" s="88">
        <v>2734</v>
      </c>
      <c r="EH58" s="88">
        <v>2863</v>
      </c>
      <c r="EI58" s="88">
        <v>2715</v>
      </c>
      <c r="EJ58" s="88">
        <v>2700</v>
      </c>
      <c r="EK58" s="88">
        <v>2642</v>
      </c>
      <c r="EL58" s="88">
        <v>2562</v>
      </c>
      <c r="EM58" s="88">
        <v>2538</v>
      </c>
      <c r="EN58" s="88">
        <v>2612</v>
      </c>
      <c r="EO58" s="88">
        <v>2633</v>
      </c>
      <c r="EP58" s="88">
        <v>2570</v>
      </c>
      <c r="EQ58" s="88">
        <v>2478</v>
      </c>
      <c r="ER58" s="88">
        <v>2227</v>
      </c>
      <c r="ES58" s="88">
        <v>2248</v>
      </c>
      <c r="ET58" s="88">
        <v>2377</v>
      </c>
      <c r="EU58" s="88">
        <v>2407</v>
      </c>
      <c r="EV58" s="88">
        <v>2403</v>
      </c>
      <c r="EW58" s="88">
        <v>2484</v>
      </c>
      <c r="EX58" s="88">
        <v>2730</v>
      </c>
      <c r="EY58" s="88">
        <v>2824</v>
      </c>
      <c r="EZ58" s="88">
        <v>2800</v>
      </c>
      <c r="FA58" s="88">
        <v>2890</v>
      </c>
      <c r="FB58" s="88">
        <v>2738</v>
      </c>
      <c r="FC58" s="88">
        <v>2788</v>
      </c>
      <c r="FD58" s="88">
        <v>2738</v>
      </c>
      <c r="FE58" s="88">
        <v>2809</v>
      </c>
      <c r="FF58" s="88">
        <v>2772</v>
      </c>
      <c r="FG58" s="88">
        <v>2765</v>
      </c>
      <c r="FH58" s="88">
        <v>2699</v>
      </c>
      <c r="FI58" s="88">
        <v>2581</v>
      </c>
      <c r="FJ58" s="88">
        <v>2473</v>
      </c>
      <c r="FK58" s="88">
        <v>2385</v>
      </c>
      <c r="FL58" s="88">
        <v>2344</v>
      </c>
      <c r="FM58" s="88">
        <v>2393</v>
      </c>
      <c r="FN58" s="88">
        <v>2162</v>
      </c>
      <c r="FO58" s="88">
        <v>2132</v>
      </c>
      <c r="FP58" s="88">
        <v>2045</v>
      </c>
      <c r="FQ58" s="88">
        <v>2038</v>
      </c>
      <c r="FR58" s="88">
        <v>1919</v>
      </c>
      <c r="FS58" s="88">
        <v>1993</v>
      </c>
      <c r="FT58" s="88">
        <v>2019</v>
      </c>
      <c r="FU58" s="88">
        <v>2094</v>
      </c>
      <c r="FV58" s="88">
        <v>2221</v>
      </c>
      <c r="FW58" s="88">
        <v>2333</v>
      </c>
      <c r="FX58" s="88">
        <v>1630</v>
      </c>
      <c r="FY58" s="88">
        <v>1689</v>
      </c>
      <c r="FZ58" s="88">
        <v>1656</v>
      </c>
      <c r="GA58" s="88">
        <v>1390</v>
      </c>
      <c r="GB58" s="88">
        <v>1288</v>
      </c>
      <c r="GC58" s="88">
        <v>1130</v>
      </c>
      <c r="GD58" s="88">
        <v>1068</v>
      </c>
      <c r="GE58" s="88">
        <v>1043</v>
      </c>
      <c r="GF58" s="88">
        <v>869</v>
      </c>
      <c r="GG58" s="88">
        <v>876</v>
      </c>
      <c r="GH58" s="88">
        <v>803</v>
      </c>
      <c r="GI58" s="88">
        <v>668</v>
      </c>
      <c r="GJ58" s="88">
        <v>604</v>
      </c>
      <c r="GK58" s="88">
        <v>523</v>
      </c>
      <c r="GL58" s="89">
        <v>2180</v>
      </c>
    </row>
    <row r="59" spans="1:194" s="1" customFormat="1" x14ac:dyDescent="0.2">
      <c r="A59" s="90" t="s">
        <v>94</v>
      </c>
      <c r="B59" s="146" t="s">
        <v>144</v>
      </c>
      <c r="C59" s="30" t="str">
        <f t="shared" si="4"/>
        <v xml:space="preserve">England – CCGs - East Leicestershire and Rutland </v>
      </c>
      <c r="D59" s="51">
        <f t="shared" si="7"/>
        <v>149398</v>
      </c>
      <c r="E59" s="51">
        <f t="shared" si="7"/>
        <v>155860</v>
      </c>
      <c r="F59" s="52">
        <f t="shared" si="8"/>
        <v>350329</v>
      </c>
      <c r="G59" s="52">
        <f t="shared" si="9"/>
        <v>172533</v>
      </c>
      <c r="H59" s="52">
        <f t="shared" si="10"/>
        <v>177796</v>
      </c>
      <c r="I59" s="697">
        <f t="shared" si="5"/>
        <v>149398</v>
      </c>
      <c r="J59" s="53">
        <f t="shared" si="6"/>
        <v>155860</v>
      </c>
      <c r="K59" s="50">
        <f t="shared" si="11"/>
        <v>36406</v>
      </c>
      <c r="L59" s="51">
        <f t="shared" si="12"/>
        <v>34308</v>
      </c>
      <c r="M59" s="87">
        <v>1585</v>
      </c>
      <c r="N59" s="87">
        <v>1552</v>
      </c>
      <c r="O59" s="87">
        <v>1773</v>
      </c>
      <c r="P59" s="87">
        <v>1818</v>
      </c>
      <c r="Q59" s="87">
        <v>1960</v>
      </c>
      <c r="R59" s="87">
        <v>1981</v>
      </c>
      <c r="S59" s="87">
        <v>1992</v>
      </c>
      <c r="T59" s="87">
        <v>2046</v>
      </c>
      <c r="U59" s="87">
        <v>2057</v>
      </c>
      <c r="V59" s="87">
        <v>2058</v>
      </c>
      <c r="W59" s="87">
        <v>2131</v>
      </c>
      <c r="X59" s="87">
        <v>2182</v>
      </c>
      <c r="Y59" s="87">
        <v>2108</v>
      </c>
      <c r="Z59" s="87">
        <v>2170</v>
      </c>
      <c r="AA59" s="87">
        <v>2346</v>
      </c>
      <c r="AB59" s="87">
        <v>2243</v>
      </c>
      <c r="AC59" s="87">
        <v>2214</v>
      </c>
      <c r="AD59" s="87">
        <v>2190</v>
      </c>
      <c r="AE59" s="87">
        <v>2275</v>
      </c>
      <c r="AF59" s="87">
        <v>1925</v>
      </c>
      <c r="AG59" s="87">
        <v>1499</v>
      </c>
      <c r="AH59" s="87">
        <v>1547</v>
      </c>
      <c r="AI59" s="87">
        <v>1655</v>
      </c>
      <c r="AJ59" s="87">
        <v>1765</v>
      </c>
      <c r="AK59" s="87">
        <v>1802</v>
      </c>
      <c r="AL59" s="87">
        <v>1844</v>
      </c>
      <c r="AM59" s="87">
        <v>1842</v>
      </c>
      <c r="AN59" s="87">
        <v>1907</v>
      </c>
      <c r="AO59" s="87">
        <v>1857</v>
      </c>
      <c r="AP59" s="87">
        <v>1953</v>
      </c>
      <c r="AQ59" s="87">
        <v>1968</v>
      </c>
      <c r="AR59" s="87">
        <v>2121</v>
      </c>
      <c r="AS59" s="87">
        <v>2122</v>
      </c>
      <c r="AT59" s="87">
        <v>2144</v>
      </c>
      <c r="AU59" s="87">
        <v>2144</v>
      </c>
      <c r="AV59" s="87">
        <v>2042</v>
      </c>
      <c r="AW59" s="87">
        <v>2146</v>
      </c>
      <c r="AX59" s="87">
        <v>2143</v>
      </c>
      <c r="AY59" s="87">
        <v>2021</v>
      </c>
      <c r="AZ59" s="87">
        <v>2061</v>
      </c>
      <c r="BA59" s="87">
        <v>2087</v>
      </c>
      <c r="BB59" s="87">
        <v>2226</v>
      </c>
      <c r="BC59" s="87">
        <v>2249</v>
      </c>
      <c r="BD59" s="87">
        <v>2064</v>
      </c>
      <c r="BE59" s="87">
        <v>2042</v>
      </c>
      <c r="BF59" s="87">
        <v>1958</v>
      </c>
      <c r="BG59" s="87">
        <v>1987</v>
      </c>
      <c r="BH59" s="87">
        <v>2051</v>
      </c>
      <c r="BI59" s="87">
        <v>2022</v>
      </c>
      <c r="BJ59" s="87">
        <v>2201</v>
      </c>
      <c r="BK59" s="87">
        <v>2419</v>
      </c>
      <c r="BL59" s="87">
        <v>2547</v>
      </c>
      <c r="BM59" s="87">
        <v>2362</v>
      </c>
      <c r="BN59" s="87">
        <v>2550</v>
      </c>
      <c r="BO59" s="87">
        <v>2482</v>
      </c>
      <c r="BP59" s="87">
        <v>2549</v>
      </c>
      <c r="BQ59" s="87">
        <v>2445</v>
      </c>
      <c r="BR59" s="87">
        <v>2561</v>
      </c>
      <c r="BS59" s="87">
        <v>2501</v>
      </c>
      <c r="BT59" s="87">
        <v>2458</v>
      </c>
      <c r="BU59" s="87">
        <v>2397</v>
      </c>
      <c r="BV59" s="87">
        <v>2389</v>
      </c>
      <c r="BW59" s="87">
        <v>2256</v>
      </c>
      <c r="BX59" s="87">
        <v>2187</v>
      </c>
      <c r="BY59" s="87">
        <v>2142</v>
      </c>
      <c r="BZ59" s="87">
        <v>2060</v>
      </c>
      <c r="CA59" s="87">
        <v>1957</v>
      </c>
      <c r="CB59" s="87">
        <v>1854</v>
      </c>
      <c r="CC59" s="87">
        <v>1863</v>
      </c>
      <c r="CD59" s="87">
        <v>1904</v>
      </c>
      <c r="CE59" s="87">
        <v>1811</v>
      </c>
      <c r="CF59" s="87">
        <v>1862</v>
      </c>
      <c r="CG59" s="87">
        <v>1826</v>
      </c>
      <c r="CH59" s="87">
        <v>1899</v>
      </c>
      <c r="CI59" s="87">
        <v>1968</v>
      </c>
      <c r="CJ59" s="87">
        <v>2126</v>
      </c>
      <c r="CK59" s="87">
        <v>1561</v>
      </c>
      <c r="CL59" s="87">
        <v>1557</v>
      </c>
      <c r="CM59" s="87">
        <v>1465</v>
      </c>
      <c r="CN59" s="87">
        <v>1393</v>
      </c>
      <c r="CO59" s="87">
        <v>1130</v>
      </c>
      <c r="CP59" s="87">
        <v>979</v>
      </c>
      <c r="CQ59" s="87">
        <v>950</v>
      </c>
      <c r="CR59" s="87">
        <v>931</v>
      </c>
      <c r="CS59" s="87">
        <v>850</v>
      </c>
      <c r="CT59" s="87">
        <v>762</v>
      </c>
      <c r="CU59" s="87">
        <v>652</v>
      </c>
      <c r="CV59" s="87">
        <v>587</v>
      </c>
      <c r="CW59" s="87">
        <v>543</v>
      </c>
      <c r="CX59" s="87">
        <v>448</v>
      </c>
      <c r="CY59" s="87">
        <v>1274</v>
      </c>
      <c r="CZ59" s="88">
        <v>1538</v>
      </c>
      <c r="DA59" s="88">
        <v>1634</v>
      </c>
      <c r="DB59" s="88">
        <v>1673</v>
      </c>
      <c r="DC59" s="88">
        <v>1696</v>
      </c>
      <c r="DD59" s="88">
        <v>1796</v>
      </c>
      <c r="DE59" s="88">
        <v>1805</v>
      </c>
      <c r="DF59" s="88">
        <v>1951</v>
      </c>
      <c r="DG59" s="88">
        <v>1837</v>
      </c>
      <c r="DH59" s="88">
        <v>1909</v>
      </c>
      <c r="DI59" s="88">
        <v>1920</v>
      </c>
      <c r="DJ59" s="88">
        <v>2044</v>
      </c>
      <c r="DK59" s="88">
        <v>2133</v>
      </c>
      <c r="DL59" s="88">
        <v>2115</v>
      </c>
      <c r="DM59" s="88">
        <v>1978</v>
      </c>
      <c r="DN59" s="88">
        <v>2123</v>
      </c>
      <c r="DO59" s="88">
        <v>2059</v>
      </c>
      <c r="DP59" s="88">
        <v>2057</v>
      </c>
      <c r="DQ59" s="88">
        <v>2040</v>
      </c>
      <c r="DR59" s="88">
        <v>1986</v>
      </c>
      <c r="DS59" s="88">
        <v>1604</v>
      </c>
      <c r="DT59" s="88">
        <v>1175</v>
      </c>
      <c r="DU59" s="88">
        <v>1317</v>
      </c>
      <c r="DV59" s="88">
        <v>1450</v>
      </c>
      <c r="DW59" s="88">
        <v>1708</v>
      </c>
      <c r="DX59" s="88">
        <v>1632</v>
      </c>
      <c r="DY59" s="88">
        <v>1774</v>
      </c>
      <c r="DZ59" s="88">
        <v>1783</v>
      </c>
      <c r="EA59" s="88">
        <v>1744</v>
      </c>
      <c r="EB59" s="88">
        <v>1957</v>
      </c>
      <c r="EC59" s="88">
        <v>1972</v>
      </c>
      <c r="ED59" s="88">
        <v>1988</v>
      </c>
      <c r="EE59" s="88">
        <v>2211</v>
      </c>
      <c r="EF59" s="88">
        <v>2184</v>
      </c>
      <c r="EG59" s="88">
        <v>2159</v>
      </c>
      <c r="EH59" s="88">
        <v>2245</v>
      </c>
      <c r="EI59" s="88">
        <v>2195</v>
      </c>
      <c r="EJ59" s="88">
        <v>2249</v>
      </c>
      <c r="EK59" s="88">
        <v>2246</v>
      </c>
      <c r="EL59" s="88">
        <v>2165</v>
      </c>
      <c r="EM59" s="88">
        <v>2187</v>
      </c>
      <c r="EN59" s="88">
        <v>2216</v>
      </c>
      <c r="EO59" s="88">
        <v>2302</v>
      </c>
      <c r="EP59" s="88">
        <v>2250</v>
      </c>
      <c r="EQ59" s="88">
        <v>2176</v>
      </c>
      <c r="ER59" s="88">
        <v>2019</v>
      </c>
      <c r="ES59" s="88">
        <v>2000</v>
      </c>
      <c r="ET59" s="88">
        <v>2081</v>
      </c>
      <c r="EU59" s="88">
        <v>2242</v>
      </c>
      <c r="EV59" s="88">
        <v>2296</v>
      </c>
      <c r="EW59" s="88">
        <v>2378</v>
      </c>
      <c r="EX59" s="88">
        <v>2416</v>
      </c>
      <c r="EY59" s="88">
        <v>2622</v>
      </c>
      <c r="EZ59" s="88">
        <v>2460</v>
      </c>
      <c r="FA59" s="88">
        <v>2673</v>
      </c>
      <c r="FB59" s="88">
        <v>2634</v>
      </c>
      <c r="FC59" s="88">
        <v>2600</v>
      </c>
      <c r="FD59" s="88">
        <v>2667</v>
      </c>
      <c r="FE59" s="88">
        <v>2653</v>
      </c>
      <c r="FF59" s="88">
        <v>2663</v>
      </c>
      <c r="FG59" s="88">
        <v>2591</v>
      </c>
      <c r="FH59" s="88">
        <v>2496</v>
      </c>
      <c r="FI59" s="88">
        <v>2442</v>
      </c>
      <c r="FJ59" s="88">
        <v>2265</v>
      </c>
      <c r="FK59" s="88">
        <v>2298</v>
      </c>
      <c r="FL59" s="88">
        <v>2197</v>
      </c>
      <c r="FM59" s="88">
        <v>2095</v>
      </c>
      <c r="FN59" s="88">
        <v>2032</v>
      </c>
      <c r="FO59" s="88">
        <v>1958</v>
      </c>
      <c r="FP59" s="88">
        <v>1953</v>
      </c>
      <c r="FQ59" s="88">
        <v>2023</v>
      </c>
      <c r="FR59" s="88">
        <v>1914</v>
      </c>
      <c r="FS59" s="88">
        <v>1909</v>
      </c>
      <c r="FT59" s="88">
        <v>2066</v>
      </c>
      <c r="FU59" s="88">
        <v>2158</v>
      </c>
      <c r="FV59" s="88">
        <v>2144</v>
      </c>
      <c r="FW59" s="88">
        <v>2343</v>
      </c>
      <c r="FX59" s="88">
        <v>1670</v>
      </c>
      <c r="FY59" s="88">
        <v>1726</v>
      </c>
      <c r="FZ59" s="88">
        <v>1813</v>
      </c>
      <c r="GA59" s="88">
        <v>1618</v>
      </c>
      <c r="GB59" s="88">
        <v>1265</v>
      </c>
      <c r="GC59" s="88">
        <v>1166</v>
      </c>
      <c r="GD59" s="88">
        <v>1134</v>
      </c>
      <c r="GE59" s="88">
        <v>1171</v>
      </c>
      <c r="GF59" s="88">
        <v>1122</v>
      </c>
      <c r="GG59" s="88">
        <v>980</v>
      </c>
      <c r="GH59" s="88">
        <v>935</v>
      </c>
      <c r="GI59" s="88">
        <v>823</v>
      </c>
      <c r="GJ59" s="88">
        <v>746</v>
      </c>
      <c r="GK59" s="88">
        <v>608</v>
      </c>
      <c r="GL59" s="89">
        <v>2548</v>
      </c>
    </row>
    <row r="60" spans="1:194" s="1" customFormat="1" x14ac:dyDescent="0.2">
      <c r="A60" s="90" t="s">
        <v>94</v>
      </c>
      <c r="B60" s="146" t="s">
        <v>145</v>
      </c>
      <c r="C60" s="30" t="str">
        <f t="shared" si="4"/>
        <v xml:space="preserve">England – CCGs - East Riding of Yorkshire </v>
      </c>
      <c r="D60" s="51">
        <f t="shared" si="7"/>
        <v>138400</v>
      </c>
      <c r="E60" s="51">
        <f t="shared" si="7"/>
        <v>146712</v>
      </c>
      <c r="F60" s="52">
        <f t="shared" si="8"/>
        <v>321772</v>
      </c>
      <c r="G60" s="52">
        <f t="shared" si="9"/>
        <v>157610</v>
      </c>
      <c r="H60" s="52">
        <f t="shared" si="10"/>
        <v>164162</v>
      </c>
      <c r="I60" s="697">
        <f t="shared" si="5"/>
        <v>138400</v>
      </c>
      <c r="J60" s="53">
        <f t="shared" si="6"/>
        <v>146712</v>
      </c>
      <c r="K60" s="50">
        <f t="shared" si="11"/>
        <v>29751</v>
      </c>
      <c r="L60" s="51">
        <f t="shared" si="12"/>
        <v>27618</v>
      </c>
      <c r="M60" s="87">
        <v>1195</v>
      </c>
      <c r="N60" s="87">
        <v>1306</v>
      </c>
      <c r="O60" s="87">
        <v>1486</v>
      </c>
      <c r="P60" s="87">
        <v>1501</v>
      </c>
      <c r="Q60" s="87">
        <v>1557</v>
      </c>
      <c r="R60" s="87">
        <v>1653</v>
      </c>
      <c r="S60" s="87">
        <v>1678</v>
      </c>
      <c r="T60" s="87">
        <v>1702</v>
      </c>
      <c r="U60" s="87">
        <v>1678</v>
      </c>
      <c r="V60" s="87">
        <v>1712</v>
      </c>
      <c r="W60" s="87">
        <v>1905</v>
      </c>
      <c r="X60" s="87">
        <v>1837</v>
      </c>
      <c r="Y60" s="87">
        <v>1758</v>
      </c>
      <c r="Z60" s="87">
        <v>1693</v>
      </c>
      <c r="AA60" s="87">
        <v>1831</v>
      </c>
      <c r="AB60" s="87">
        <v>1777</v>
      </c>
      <c r="AC60" s="87">
        <v>1715</v>
      </c>
      <c r="AD60" s="87">
        <v>1767</v>
      </c>
      <c r="AE60" s="87">
        <v>1758</v>
      </c>
      <c r="AF60" s="87">
        <v>1347</v>
      </c>
      <c r="AG60" s="87">
        <v>1234</v>
      </c>
      <c r="AH60" s="87">
        <v>1262</v>
      </c>
      <c r="AI60" s="87">
        <v>1382</v>
      </c>
      <c r="AJ60" s="87">
        <v>1513</v>
      </c>
      <c r="AK60" s="87">
        <v>1509</v>
      </c>
      <c r="AL60" s="87">
        <v>1500</v>
      </c>
      <c r="AM60" s="87">
        <v>1474</v>
      </c>
      <c r="AN60" s="87">
        <v>1456</v>
      </c>
      <c r="AO60" s="87">
        <v>1606</v>
      </c>
      <c r="AP60" s="87">
        <v>1630</v>
      </c>
      <c r="AQ60" s="87">
        <v>1650</v>
      </c>
      <c r="AR60" s="87">
        <v>1634</v>
      </c>
      <c r="AS60" s="87">
        <v>1691</v>
      </c>
      <c r="AT60" s="87">
        <v>1630</v>
      </c>
      <c r="AU60" s="87">
        <v>1747</v>
      </c>
      <c r="AV60" s="87">
        <v>1706</v>
      </c>
      <c r="AW60" s="87">
        <v>1692</v>
      </c>
      <c r="AX60" s="87">
        <v>1609</v>
      </c>
      <c r="AY60" s="87">
        <v>1735</v>
      </c>
      <c r="AZ60" s="87">
        <v>1661</v>
      </c>
      <c r="BA60" s="87">
        <v>1692</v>
      </c>
      <c r="BB60" s="87">
        <v>1665</v>
      </c>
      <c r="BC60" s="87">
        <v>1683</v>
      </c>
      <c r="BD60" s="87">
        <v>1682</v>
      </c>
      <c r="BE60" s="87">
        <v>1579</v>
      </c>
      <c r="BF60" s="87">
        <v>1591</v>
      </c>
      <c r="BG60" s="87">
        <v>1688</v>
      </c>
      <c r="BH60" s="87">
        <v>1784</v>
      </c>
      <c r="BI60" s="87">
        <v>1845</v>
      </c>
      <c r="BJ60" s="87">
        <v>2004</v>
      </c>
      <c r="BK60" s="87">
        <v>2233</v>
      </c>
      <c r="BL60" s="87">
        <v>2335</v>
      </c>
      <c r="BM60" s="87">
        <v>2222</v>
      </c>
      <c r="BN60" s="87">
        <v>2276</v>
      </c>
      <c r="BO60" s="87">
        <v>2359</v>
      </c>
      <c r="BP60" s="87">
        <v>2481</v>
      </c>
      <c r="BQ60" s="87">
        <v>2480</v>
      </c>
      <c r="BR60" s="87">
        <v>2490</v>
      </c>
      <c r="BS60" s="87">
        <v>2575</v>
      </c>
      <c r="BT60" s="87">
        <v>2540</v>
      </c>
      <c r="BU60" s="87">
        <v>2539</v>
      </c>
      <c r="BV60" s="87">
        <v>2419</v>
      </c>
      <c r="BW60" s="87">
        <v>2388</v>
      </c>
      <c r="BX60" s="87">
        <v>2342</v>
      </c>
      <c r="BY60" s="87">
        <v>2334</v>
      </c>
      <c r="BZ60" s="87">
        <v>2254</v>
      </c>
      <c r="CA60" s="87">
        <v>2172</v>
      </c>
      <c r="CB60" s="87">
        <v>2128</v>
      </c>
      <c r="CC60" s="87">
        <v>2101</v>
      </c>
      <c r="CD60" s="87">
        <v>2073</v>
      </c>
      <c r="CE60" s="87">
        <v>2072</v>
      </c>
      <c r="CF60" s="87">
        <v>2077</v>
      </c>
      <c r="CG60" s="87">
        <v>2133</v>
      </c>
      <c r="CH60" s="87">
        <v>2128</v>
      </c>
      <c r="CI60" s="87">
        <v>2180</v>
      </c>
      <c r="CJ60" s="87">
        <v>2569</v>
      </c>
      <c r="CK60" s="87">
        <v>1866</v>
      </c>
      <c r="CL60" s="87">
        <v>1693</v>
      </c>
      <c r="CM60" s="87">
        <v>1588</v>
      </c>
      <c r="CN60" s="87">
        <v>1447</v>
      </c>
      <c r="CO60" s="87">
        <v>1177</v>
      </c>
      <c r="CP60" s="87">
        <v>1075</v>
      </c>
      <c r="CQ60" s="87">
        <v>1073</v>
      </c>
      <c r="CR60" s="87">
        <v>1025</v>
      </c>
      <c r="CS60" s="87">
        <v>962</v>
      </c>
      <c r="CT60" s="87">
        <v>788</v>
      </c>
      <c r="CU60" s="87">
        <v>719</v>
      </c>
      <c r="CV60" s="87">
        <v>581</v>
      </c>
      <c r="CW60" s="87">
        <v>531</v>
      </c>
      <c r="CX60" s="87">
        <v>445</v>
      </c>
      <c r="CY60" s="87">
        <v>1350</v>
      </c>
      <c r="CZ60" s="88">
        <v>1173</v>
      </c>
      <c r="DA60" s="88">
        <v>1243</v>
      </c>
      <c r="DB60" s="88">
        <v>1269</v>
      </c>
      <c r="DC60" s="88">
        <v>1313</v>
      </c>
      <c r="DD60" s="88">
        <v>1379</v>
      </c>
      <c r="DE60" s="88">
        <v>1463</v>
      </c>
      <c r="DF60" s="88">
        <v>1491</v>
      </c>
      <c r="DG60" s="88">
        <v>1531</v>
      </c>
      <c r="DH60" s="88">
        <v>1586</v>
      </c>
      <c r="DI60" s="88">
        <v>1632</v>
      </c>
      <c r="DJ60" s="88">
        <v>1689</v>
      </c>
      <c r="DK60" s="88">
        <v>1681</v>
      </c>
      <c r="DL60" s="88">
        <v>1711</v>
      </c>
      <c r="DM60" s="88">
        <v>1707</v>
      </c>
      <c r="DN60" s="88">
        <v>1723</v>
      </c>
      <c r="DO60" s="88">
        <v>1651</v>
      </c>
      <c r="DP60" s="88">
        <v>1612</v>
      </c>
      <c r="DQ60" s="88">
        <v>1764</v>
      </c>
      <c r="DR60" s="88">
        <v>1627</v>
      </c>
      <c r="DS60" s="88">
        <v>983</v>
      </c>
      <c r="DT60" s="88">
        <v>977</v>
      </c>
      <c r="DU60" s="88">
        <v>1170</v>
      </c>
      <c r="DV60" s="88">
        <v>1268</v>
      </c>
      <c r="DW60" s="88">
        <v>1436</v>
      </c>
      <c r="DX60" s="88">
        <v>1476</v>
      </c>
      <c r="DY60" s="88">
        <v>1473</v>
      </c>
      <c r="DZ60" s="88">
        <v>1418</v>
      </c>
      <c r="EA60" s="88">
        <v>1548</v>
      </c>
      <c r="EB60" s="88">
        <v>1583</v>
      </c>
      <c r="EC60" s="88">
        <v>1576</v>
      </c>
      <c r="ED60" s="88">
        <v>1748</v>
      </c>
      <c r="EE60" s="88">
        <v>1771</v>
      </c>
      <c r="EF60" s="88">
        <v>1760</v>
      </c>
      <c r="EG60" s="88">
        <v>1726</v>
      </c>
      <c r="EH60" s="88">
        <v>1917</v>
      </c>
      <c r="EI60" s="88">
        <v>1769</v>
      </c>
      <c r="EJ60" s="88">
        <v>1811</v>
      </c>
      <c r="EK60" s="88">
        <v>1844</v>
      </c>
      <c r="EL60" s="88">
        <v>1754</v>
      </c>
      <c r="EM60" s="88">
        <v>1761</v>
      </c>
      <c r="EN60" s="88">
        <v>1774</v>
      </c>
      <c r="EO60" s="88">
        <v>1776</v>
      </c>
      <c r="EP60" s="88">
        <v>1823</v>
      </c>
      <c r="EQ60" s="88">
        <v>1835</v>
      </c>
      <c r="ER60" s="88">
        <v>1690</v>
      </c>
      <c r="ES60" s="88">
        <v>1570</v>
      </c>
      <c r="ET60" s="88">
        <v>1826</v>
      </c>
      <c r="EU60" s="88">
        <v>1952</v>
      </c>
      <c r="EV60" s="88">
        <v>1918</v>
      </c>
      <c r="EW60" s="88">
        <v>2233</v>
      </c>
      <c r="EX60" s="88">
        <v>2344</v>
      </c>
      <c r="EY60" s="88">
        <v>2405</v>
      </c>
      <c r="EZ60" s="88">
        <v>2360</v>
      </c>
      <c r="FA60" s="88">
        <v>2566</v>
      </c>
      <c r="FB60" s="88">
        <v>2511</v>
      </c>
      <c r="FC60" s="88">
        <v>2489</v>
      </c>
      <c r="FD60" s="88">
        <v>2656</v>
      </c>
      <c r="FE60" s="88">
        <v>2613</v>
      </c>
      <c r="FF60" s="88">
        <v>2644</v>
      </c>
      <c r="FG60" s="88">
        <v>2657</v>
      </c>
      <c r="FH60" s="88">
        <v>2542</v>
      </c>
      <c r="FI60" s="88">
        <v>2498</v>
      </c>
      <c r="FJ60" s="88">
        <v>2425</v>
      </c>
      <c r="FK60" s="88">
        <v>2422</v>
      </c>
      <c r="FL60" s="88">
        <v>2429</v>
      </c>
      <c r="FM60" s="88">
        <v>2293</v>
      </c>
      <c r="FN60" s="88">
        <v>2317</v>
      </c>
      <c r="FO60" s="88">
        <v>2254</v>
      </c>
      <c r="FP60" s="88">
        <v>2209</v>
      </c>
      <c r="FQ60" s="88">
        <v>2215</v>
      </c>
      <c r="FR60" s="88">
        <v>2146</v>
      </c>
      <c r="FS60" s="88">
        <v>2120</v>
      </c>
      <c r="FT60" s="88">
        <v>2288</v>
      </c>
      <c r="FU60" s="88">
        <v>2271</v>
      </c>
      <c r="FV60" s="88">
        <v>2576</v>
      </c>
      <c r="FW60" s="88">
        <v>2817</v>
      </c>
      <c r="FX60" s="88">
        <v>1962</v>
      </c>
      <c r="FY60" s="88">
        <v>1850</v>
      </c>
      <c r="FZ60" s="88">
        <v>1790</v>
      </c>
      <c r="GA60" s="88">
        <v>1708</v>
      </c>
      <c r="GB60" s="88">
        <v>1492</v>
      </c>
      <c r="GC60" s="88">
        <v>1284</v>
      </c>
      <c r="GD60" s="88">
        <v>1351</v>
      </c>
      <c r="GE60" s="88">
        <v>1226</v>
      </c>
      <c r="GF60" s="88">
        <v>1161</v>
      </c>
      <c r="GG60" s="88">
        <v>1143</v>
      </c>
      <c r="GH60" s="88">
        <v>957</v>
      </c>
      <c r="GI60" s="88">
        <v>814</v>
      </c>
      <c r="GJ60" s="88">
        <v>712</v>
      </c>
      <c r="GK60" s="88">
        <v>636</v>
      </c>
      <c r="GL60" s="89">
        <v>2598</v>
      </c>
    </row>
    <row r="61" spans="1:194" s="1" customFormat="1" x14ac:dyDescent="0.2">
      <c r="A61" s="90" t="s">
        <v>94</v>
      </c>
      <c r="B61" s="146" t="s">
        <v>146</v>
      </c>
      <c r="C61" s="30" t="str">
        <f t="shared" si="4"/>
        <v xml:space="preserve">England – CCGs - East Staffordshire </v>
      </c>
      <c r="D61" s="51">
        <f t="shared" si="7"/>
        <v>58306</v>
      </c>
      <c r="E61" s="51">
        <f t="shared" si="7"/>
        <v>59170</v>
      </c>
      <c r="F61" s="52">
        <f t="shared" si="8"/>
        <v>136641</v>
      </c>
      <c r="G61" s="52">
        <f t="shared" si="9"/>
        <v>68173</v>
      </c>
      <c r="H61" s="52">
        <f t="shared" si="10"/>
        <v>68468</v>
      </c>
      <c r="I61" s="697">
        <f t="shared" si="5"/>
        <v>58306</v>
      </c>
      <c r="J61" s="53">
        <f t="shared" si="6"/>
        <v>59170</v>
      </c>
      <c r="K61" s="50">
        <f t="shared" si="11"/>
        <v>14865</v>
      </c>
      <c r="L61" s="51">
        <f t="shared" si="12"/>
        <v>14203</v>
      </c>
      <c r="M61" s="87">
        <v>771</v>
      </c>
      <c r="N61" s="87">
        <v>773</v>
      </c>
      <c r="O61" s="87">
        <v>808</v>
      </c>
      <c r="P61" s="87">
        <v>764</v>
      </c>
      <c r="Q61" s="87">
        <v>804</v>
      </c>
      <c r="R61" s="87">
        <v>835</v>
      </c>
      <c r="S61" s="87">
        <v>851</v>
      </c>
      <c r="T61" s="87">
        <v>824</v>
      </c>
      <c r="U61" s="87">
        <v>857</v>
      </c>
      <c r="V61" s="87">
        <v>876</v>
      </c>
      <c r="W61" s="87">
        <v>811</v>
      </c>
      <c r="X61" s="87">
        <v>893</v>
      </c>
      <c r="Y61" s="87">
        <v>875</v>
      </c>
      <c r="Z61" s="87">
        <v>917</v>
      </c>
      <c r="AA61" s="87">
        <v>854</v>
      </c>
      <c r="AB61" s="87">
        <v>755</v>
      </c>
      <c r="AC61" s="87">
        <v>811</v>
      </c>
      <c r="AD61" s="87">
        <v>786</v>
      </c>
      <c r="AE61" s="87">
        <v>810</v>
      </c>
      <c r="AF61" s="87">
        <v>582</v>
      </c>
      <c r="AG61" s="87">
        <v>599</v>
      </c>
      <c r="AH61" s="87">
        <v>660</v>
      </c>
      <c r="AI61" s="87">
        <v>671</v>
      </c>
      <c r="AJ61" s="87">
        <v>796</v>
      </c>
      <c r="AK61" s="87">
        <v>787</v>
      </c>
      <c r="AL61" s="87">
        <v>844</v>
      </c>
      <c r="AM61" s="87">
        <v>823</v>
      </c>
      <c r="AN61" s="87">
        <v>876</v>
      </c>
      <c r="AO61" s="87">
        <v>885</v>
      </c>
      <c r="AP61" s="87">
        <v>919</v>
      </c>
      <c r="AQ61" s="87">
        <v>979</v>
      </c>
      <c r="AR61" s="87">
        <v>1027</v>
      </c>
      <c r="AS61" s="87">
        <v>958</v>
      </c>
      <c r="AT61" s="87">
        <v>1012</v>
      </c>
      <c r="AU61" s="87">
        <v>947</v>
      </c>
      <c r="AV61" s="87">
        <v>880</v>
      </c>
      <c r="AW61" s="87">
        <v>929</v>
      </c>
      <c r="AX61" s="87">
        <v>917</v>
      </c>
      <c r="AY61" s="87">
        <v>853</v>
      </c>
      <c r="AZ61" s="87">
        <v>855</v>
      </c>
      <c r="BA61" s="87">
        <v>864</v>
      </c>
      <c r="BB61" s="87">
        <v>918</v>
      </c>
      <c r="BC61" s="87">
        <v>931</v>
      </c>
      <c r="BD61" s="87">
        <v>862</v>
      </c>
      <c r="BE61" s="87">
        <v>724</v>
      </c>
      <c r="BF61" s="87">
        <v>753</v>
      </c>
      <c r="BG61" s="87">
        <v>793</v>
      </c>
      <c r="BH61" s="87">
        <v>806</v>
      </c>
      <c r="BI61" s="87">
        <v>820</v>
      </c>
      <c r="BJ61" s="87">
        <v>950</v>
      </c>
      <c r="BK61" s="87">
        <v>961</v>
      </c>
      <c r="BL61" s="87">
        <v>991</v>
      </c>
      <c r="BM61" s="87">
        <v>955</v>
      </c>
      <c r="BN61" s="87">
        <v>986</v>
      </c>
      <c r="BO61" s="87">
        <v>994</v>
      </c>
      <c r="BP61" s="87">
        <v>1013</v>
      </c>
      <c r="BQ61" s="87">
        <v>934</v>
      </c>
      <c r="BR61" s="87">
        <v>986</v>
      </c>
      <c r="BS61" s="87">
        <v>894</v>
      </c>
      <c r="BT61" s="87">
        <v>921</v>
      </c>
      <c r="BU61" s="87">
        <v>1004</v>
      </c>
      <c r="BV61" s="87">
        <v>884</v>
      </c>
      <c r="BW61" s="87">
        <v>846</v>
      </c>
      <c r="BX61" s="87">
        <v>839</v>
      </c>
      <c r="BY61" s="87">
        <v>759</v>
      </c>
      <c r="BZ61" s="87">
        <v>802</v>
      </c>
      <c r="CA61" s="87">
        <v>725</v>
      </c>
      <c r="CB61" s="87">
        <v>716</v>
      </c>
      <c r="CC61" s="87">
        <v>662</v>
      </c>
      <c r="CD61" s="87">
        <v>685</v>
      </c>
      <c r="CE61" s="87">
        <v>621</v>
      </c>
      <c r="CF61" s="87">
        <v>675</v>
      </c>
      <c r="CG61" s="87">
        <v>633</v>
      </c>
      <c r="CH61" s="87">
        <v>655</v>
      </c>
      <c r="CI61" s="87">
        <v>685</v>
      </c>
      <c r="CJ61" s="87">
        <v>661</v>
      </c>
      <c r="CK61" s="87">
        <v>513</v>
      </c>
      <c r="CL61" s="87">
        <v>469</v>
      </c>
      <c r="CM61" s="87">
        <v>552</v>
      </c>
      <c r="CN61" s="87">
        <v>441</v>
      </c>
      <c r="CO61" s="87">
        <v>397</v>
      </c>
      <c r="CP61" s="87">
        <v>317</v>
      </c>
      <c r="CQ61" s="87">
        <v>313</v>
      </c>
      <c r="CR61" s="87">
        <v>292</v>
      </c>
      <c r="CS61" s="87">
        <v>269</v>
      </c>
      <c r="CT61" s="87">
        <v>238</v>
      </c>
      <c r="CU61" s="87">
        <v>184</v>
      </c>
      <c r="CV61" s="87">
        <v>175</v>
      </c>
      <c r="CW61" s="87">
        <v>143</v>
      </c>
      <c r="CX61" s="87">
        <v>101</v>
      </c>
      <c r="CY61" s="87">
        <v>387</v>
      </c>
      <c r="CZ61" s="88">
        <v>717</v>
      </c>
      <c r="DA61" s="88">
        <v>735</v>
      </c>
      <c r="DB61" s="88">
        <v>748</v>
      </c>
      <c r="DC61" s="88">
        <v>725</v>
      </c>
      <c r="DD61" s="88">
        <v>748</v>
      </c>
      <c r="DE61" s="88">
        <v>767</v>
      </c>
      <c r="DF61" s="88">
        <v>759</v>
      </c>
      <c r="DG61" s="88">
        <v>772</v>
      </c>
      <c r="DH61" s="88">
        <v>853</v>
      </c>
      <c r="DI61" s="88">
        <v>790</v>
      </c>
      <c r="DJ61" s="88">
        <v>845</v>
      </c>
      <c r="DK61" s="88">
        <v>839</v>
      </c>
      <c r="DL61" s="88">
        <v>824</v>
      </c>
      <c r="DM61" s="88">
        <v>819</v>
      </c>
      <c r="DN61" s="88">
        <v>868</v>
      </c>
      <c r="DO61" s="88">
        <v>812</v>
      </c>
      <c r="DP61" s="88">
        <v>788</v>
      </c>
      <c r="DQ61" s="88">
        <v>794</v>
      </c>
      <c r="DR61" s="88">
        <v>741</v>
      </c>
      <c r="DS61" s="88">
        <v>410</v>
      </c>
      <c r="DT61" s="88">
        <v>532</v>
      </c>
      <c r="DU61" s="88">
        <v>629</v>
      </c>
      <c r="DV61" s="88">
        <v>689</v>
      </c>
      <c r="DW61" s="88">
        <v>724</v>
      </c>
      <c r="DX61" s="88">
        <v>737</v>
      </c>
      <c r="DY61" s="88">
        <v>831</v>
      </c>
      <c r="DZ61" s="88">
        <v>774</v>
      </c>
      <c r="EA61" s="88">
        <v>799</v>
      </c>
      <c r="EB61" s="88">
        <v>864</v>
      </c>
      <c r="EC61" s="88">
        <v>865</v>
      </c>
      <c r="ED61" s="88">
        <v>946</v>
      </c>
      <c r="EE61" s="88">
        <v>935</v>
      </c>
      <c r="EF61" s="88">
        <v>955</v>
      </c>
      <c r="EG61" s="88">
        <v>965</v>
      </c>
      <c r="EH61" s="88">
        <v>909</v>
      </c>
      <c r="EI61" s="88">
        <v>907</v>
      </c>
      <c r="EJ61" s="88">
        <v>889</v>
      </c>
      <c r="EK61" s="88">
        <v>916</v>
      </c>
      <c r="EL61" s="88">
        <v>828</v>
      </c>
      <c r="EM61" s="88">
        <v>876</v>
      </c>
      <c r="EN61" s="88">
        <v>850</v>
      </c>
      <c r="EO61" s="88">
        <v>847</v>
      </c>
      <c r="EP61" s="88">
        <v>881</v>
      </c>
      <c r="EQ61" s="88">
        <v>829</v>
      </c>
      <c r="ER61" s="88">
        <v>773</v>
      </c>
      <c r="ES61" s="88">
        <v>738</v>
      </c>
      <c r="ET61" s="88">
        <v>813</v>
      </c>
      <c r="EU61" s="88">
        <v>818</v>
      </c>
      <c r="EV61" s="88">
        <v>836</v>
      </c>
      <c r="EW61" s="88">
        <v>879</v>
      </c>
      <c r="EX61" s="88">
        <v>949</v>
      </c>
      <c r="EY61" s="88">
        <v>974</v>
      </c>
      <c r="EZ61" s="88">
        <v>915</v>
      </c>
      <c r="FA61" s="88">
        <v>1036</v>
      </c>
      <c r="FB61" s="88">
        <v>985</v>
      </c>
      <c r="FC61" s="88">
        <v>1081</v>
      </c>
      <c r="FD61" s="88">
        <v>1009</v>
      </c>
      <c r="FE61" s="88">
        <v>1003</v>
      </c>
      <c r="FF61" s="88">
        <v>989</v>
      </c>
      <c r="FG61" s="88">
        <v>938</v>
      </c>
      <c r="FH61" s="88">
        <v>913</v>
      </c>
      <c r="FI61" s="88">
        <v>913</v>
      </c>
      <c r="FJ61" s="88">
        <v>866</v>
      </c>
      <c r="FK61" s="88">
        <v>845</v>
      </c>
      <c r="FL61" s="88">
        <v>798</v>
      </c>
      <c r="FM61" s="88">
        <v>783</v>
      </c>
      <c r="FN61" s="88">
        <v>704</v>
      </c>
      <c r="FO61" s="88">
        <v>688</v>
      </c>
      <c r="FP61" s="88">
        <v>699</v>
      </c>
      <c r="FQ61" s="88">
        <v>713</v>
      </c>
      <c r="FR61" s="88">
        <v>633</v>
      </c>
      <c r="FS61" s="88">
        <v>629</v>
      </c>
      <c r="FT61" s="88">
        <v>715</v>
      </c>
      <c r="FU61" s="88">
        <v>630</v>
      </c>
      <c r="FV61" s="88">
        <v>709</v>
      </c>
      <c r="FW61" s="88">
        <v>785</v>
      </c>
      <c r="FX61" s="88">
        <v>609</v>
      </c>
      <c r="FY61" s="88">
        <v>579</v>
      </c>
      <c r="FZ61" s="88">
        <v>566</v>
      </c>
      <c r="GA61" s="88">
        <v>553</v>
      </c>
      <c r="GB61" s="88">
        <v>455</v>
      </c>
      <c r="GC61" s="88">
        <v>418</v>
      </c>
      <c r="GD61" s="88">
        <v>423</v>
      </c>
      <c r="GE61" s="88">
        <v>383</v>
      </c>
      <c r="GF61" s="88">
        <v>309</v>
      </c>
      <c r="GG61" s="88">
        <v>316</v>
      </c>
      <c r="GH61" s="88">
        <v>292</v>
      </c>
      <c r="GI61" s="88">
        <v>226</v>
      </c>
      <c r="GJ61" s="88">
        <v>233</v>
      </c>
      <c r="GK61" s="88">
        <v>202</v>
      </c>
      <c r="GL61" s="89">
        <v>814</v>
      </c>
    </row>
    <row r="62" spans="1:194" s="1" customFormat="1" x14ac:dyDescent="0.2">
      <c r="A62" s="90" t="s">
        <v>94</v>
      </c>
      <c r="B62" s="146" t="s">
        <v>147</v>
      </c>
      <c r="C62" s="30" t="str">
        <f t="shared" si="4"/>
        <v xml:space="preserve">England – CCGs - East Sussex </v>
      </c>
      <c r="D62" s="51">
        <f t="shared" si="7"/>
        <v>230697</v>
      </c>
      <c r="E62" s="51">
        <f t="shared" si="7"/>
        <v>254197</v>
      </c>
      <c r="F62" s="52">
        <f t="shared" si="8"/>
        <v>550720</v>
      </c>
      <c r="G62" s="52">
        <f t="shared" si="9"/>
        <v>264509</v>
      </c>
      <c r="H62" s="52">
        <f t="shared" si="10"/>
        <v>286211</v>
      </c>
      <c r="I62" s="697">
        <f t="shared" si="5"/>
        <v>230697</v>
      </c>
      <c r="J62" s="53">
        <f t="shared" si="6"/>
        <v>254197</v>
      </c>
      <c r="K62" s="50">
        <f t="shared" si="11"/>
        <v>52840</v>
      </c>
      <c r="L62" s="51">
        <f t="shared" si="12"/>
        <v>49901</v>
      </c>
      <c r="M62" s="87">
        <v>2328</v>
      </c>
      <c r="N62" s="87">
        <v>2449</v>
      </c>
      <c r="O62" s="87">
        <v>2613</v>
      </c>
      <c r="P62" s="87">
        <v>2680</v>
      </c>
      <c r="Q62" s="87">
        <v>2795</v>
      </c>
      <c r="R62" s="87">
        <v>2758</v>
      </c>
      <c r="S62" s="87">
        <v>2836</v>
      </c>
      <c r="T62" s="87">
        <v>2946</v>
      </c>
      <c r="U62" s="87">
        <v>2840</v>
      </c>
      <c r="V62" s="87">
        <v>3171</v>
      </c>
      <c r="W62" s="87">
        <v>3123</v>
      </c>
      <c r="X62" s="87">
        <v>3273</v>
      </c>
      <c r="Y62" s="87">
        <v>3150</v>
      </c>
      <c r="Z62" s="87">
        <v>3256</v>
      </c>
      <c r="AA62" s="87">
        <v>3230</v>
      </c>
      <c r="AB62" s="87">
        <v>3343</v>
      </c>
      <c r="AC62" s="87">
        <v>3050</v>
      </c>
      <c r="AD62" s="87">
        <v>2999</v>
      </c>
      <c r="AE62" s="87">
        <v>2984</v>
      </c>
      <c r="AF62" s="87">
        <v>2476</v>
      </c>
      <c r="AG62" s="87">
        <v>2122</v>
      </c>
      <c r="AH62" s="87">
        <v>2311</v>
      </c>
      <c r="AI62" s="87">
        <v>2357</v>
      </c>
      <c r="AJ62" s="87">
        <v>2629</v>
      </c>
      <c r="AK62" s="87">
        <v>2701</v>
      </c>
      <c r="AL62" s="87">
        <v>2575</v>
      </c>
      <c r="AM62" s="87">
        <v>2526</v>
      </c>
      <c r="AN62" s="87">
        <v>2512</v>
      </c>
      <c r="AO62" s="87">
        <v>2624</v>
      </c>
      <c r="AP62" s="87">
        <v>2578</v>
      </c>
      <c r="AQ62" s="87">
        <v>2804</v>
      </c>
      <c r="AR62" s="87">
        <v>2742</v>
      </c>
      <c r="AS62" s="87">
        <v>2763</v>
      </c>
      <c r="AT62" s="87">
        <v>2907</v>
      </c>
      <c r="AU62" s="87">
        <v>2944</v>
      </c>
      <c r="AV62" s="87">
        <v>2935</v>
      </c>
      <c r="AW62" s="87">
        <v>2733</v>
      </c>
      <c r="AX62" s="87">
        <v>2818</v>
      </c>
      <c r="AY62" s="87">
        <v>2768</v>
      </c>
      <c r="AZ62" s="87">
        <v>2917</v>
      </c>
      <c r="BA62" s="87">
        <v>2877</v>
      </c>
      <c r="BB62" s="87">
        <v>2973</v>
      </c>
      <c r="BC62" s="87">
        <v>3070</v>
      </c>
      <c r="BD62" s="87">
        <v>3038</v>
      </c>
      <c r="BE62" s="87">
        <v>2630</v>
      </c>
      <c r="BF62" s="87">
        <v>2638</v>
      </c>
      <c r="BG62" s="87">
        <v>2807</v>
      </c>
      <c r="BH62" s="87">
        <v>3046</v>
      </c>
      <c r="BI62" s="87">
        <v>3100</v>
      </c>
      <c r="BJ62" s="87">
        <v>3461</v>
      </c>
      <c r="BK62" s="87">
        <v>3606</v>
      </c>
      <c r="BL62" s="87">
        <v>3747</v>
      </c>
      <c r="BM62" s="87">
        <v>3629</v>
      </c>
      <c r="BN62" s="87">
        <v>3843</v>
      </c>
      <c r="BO62" s="87">
        <v>3845</v>
      </c>
      <c r="BP62" s="87">
        <v>4113</v>
      </c>
      <c r="BQ62" s="87">
        <v>3954</v>
      </c>
      <c r="BR62" s="87">
        <v>4091</v>
      </c>
      <c r="BS62" s="87">
        <v>4172</v>
      </c>
      <c r="BT62" s="87">
        <v>4052</v>
      </c>
      <c r="BU62" s="87">
        <v>3896</v>
      </c>
      <c r="BV62" s="87">
        <v>3845</v>
      </c>
      <c r="BW62" s="87">
        <v>3820</v>
      </c>
      <c r="BX62" s="87">
        <v>3696</v>
      </c>
      <c r="BY62" s="87">
        <v>3604</v>
      </c>
      <c r="BZ62" s="87">
        <v>3432</v>
      </c>
      <c r="CA62" s="87">
        <v>3443</v>
      </c>
      <c r="CB62" s="87">
        <v>3139</v>
      </c>
      <c r="CC62" s="87">
        <v>3326</v>
      </c>
      <c r="CD62" s="87">
        <v>3263</v>
      </c>
      <c r="CE62" s="87">
        <v>3160</v>
      </c>
      <c r="CF62" s="87">
        <v>3252</v>
      </c>
      <c r="CG62" s="87">
        <v>3321</v>
      </c>
      <c r="CH62" s="87">
        <v>3361</v>
      </c>
      <c r="CI62" s="87">
        <v>3721</v>
      </c>
      <c r="CJ62" s="87">
        <v>4013</v>
      </c>
      <c r="CK62" s="87">
        <v>3033</v>
      </c>
      <c r="CL62" s="87">
        <v>2809</v>
      </c>
      <c r="CM62" s="87">
        <v>2832</v>
      </c>
      <c r="CN62" s="87">
        <v>2463</v>
      </c>
      <c r="CO62" s="87">
        <v>2136</v>
      </c>
      <c r="CP62" s="87">
        <v>1730</v>
      </c>
      <c r="CQ62" s="87">
        <v>1802</v>
      </c>
      <c r="CR62" s="87">
        <v>1670</v>
      </c>
      <c r="CS62" s="87">
        <v>1530</v>
      </c>
      <c r="CT62" s="87">
        <v>1336</v>
      </c>
      <c r="CU62" s="87">
        <v>1226</v>
      </c>
      <c r="CV62" s="87">
        <v>1029</v>
      </c>
      <c r="CW62" s="87">
        <v>880</v>
      </c>
      <c r="CX62" s="87">
        <v>744</v>
      </c>
      <c r="CY62" s="87">
        <v>2739</v>
      </c>
      <c r="CZ62" s="88">
        <v>2220</v>
      </c>
      <c r="DA62" s="88">
        <v>2250</v>
      </c>
      <c r="DB62" s="88">
        <v>2450</v>
      </c>
      <c r="DC62" s="88">
        <v>2524</v>
      </c>
      <c r="DD62" s="88">
        <v>2560</v>
      </c>
      <c r="DE62" s="88">
        <v>2684</v>
      </c>
      <c r="DF62" s="88">
        <v>2747</v>
      </c>
      <c r="DG62" s="88">
        <v>2752</v>
      </c>
      <c r="DH62" s="88">
        <v>2849</v>
      </c>
      <c r="DI62" s="88">
        <v>2865</v>
      </c>
      <c r="DJ62" s="88">
        <v>3038</v>
      </c>
      <c r="DK62" s="88">
        <v>3075</v>
      </c>
      <c r="DL62" s="88">
        <v>3117</v>
      </c>
      <c r="DM62" s="88">
        <v>2928</v>
      </c>
      <c r="DN62" s="88">
        <v>3017</v>
      </c>
      <c r="DO62" s="88">
        <v>2930</v>
      </c>
      <c r="DP62" s="88">
        <v>2988</v>
      </c>
      <c r="DQ62" s="88">
        <v>2907</v>
      </c>
      <c r="DR62" s="88">
        <v>2705</v>
      </c>
      <c r="DS62" s="88">
        <v>2218</v>
      </c>
      <c r="DT62" s="88">
        <v>1738</v>
      </c>
      <c r="DU62" s="88">
        <v>2034</v>
      </c>
      <c r="DV62" s="88">
        <v>2276</v>
      </c>
      <c r="DW62" s="88">
        <v>2555</v>
      </c>
      <c r="DX62" s="88">
        <v>2600</v>
      </c>
      <c r="DY62" s="88">
        <v>2594</v>
      </c>
      <c r="DZ62" s="88">
        <v>2520</v>
      </c>
      <c r="EA62" s="88">
        <v>2614</v>
      </c>
      <c r="EB62" s="88">
        <v>2734</v>
      </c>
      <c r="EC62" s="88">
        <v>2795</v>
      </c>
      <c r="ED62" s="88">
        <v>2944</v>
      </c>
      <c r="EE62" s="88">
        <v>3150</v>
      </c>
      <c r="EF62" s="88">
        <v>3181</v>
      </c>
      <c r="EG62" s="88">
        <v>3207</v>
      </c>
      <c r="EH62" s="88">
        <v>3255</v>
      </c>
      <c r="EI62" s="88">
        <v>3326</v>
      </c>
      <c r="EJ62" s="88">
        <v>3145</v>
      </c>
      <c r="EK62" s="88">
        <v>3205</v>
      </c>
      <c r="EL62" s="88">
        <v>3014</v>
      </c>
      <c r="EM62" s="88">
        <v>3234</v>
      </c>
      <c r="EN62" s="88">
        <v>3271</v>
      </c>
      <c r="EO62" s="88">
        <v>3263</v>
      </c>
      <c r="EP62" s="88">
        <v>3310</v>
      </c>
      <c r="EQ62" s="88">
        <v>3213</v>
      </c>
      <c r="ER62" s="88">
        <v>3073</v>
      </c>
      <c r="ES62" s="88">
        <v>3000</v>
      </c>
      <c r="ET62" s="88">
        <v>3152</v>
      </c>
      <c r="EU62" s="88">
        <v>3336</v>
      </c>
      <c r="EV62" s="88">
        <v>3442</v>
      </c>
      <c r="EW62" s="88">
        <v>3637</v>
      </c>
      <c r="EX62" s="88">
        <v>3891</v>
      </c>
      <c r="EY62" s="88">
        <v>4123</v>
      </c>
      <c r="EZ62" s="88">
        <v>3991</v>
      </c>
      <c r="FA62" s="88">
        <v>4081</v>
      </c>
      <c r="FB62" s="88">
        <v>4179</v>
      </c>
      <c r="FC62" s="88">
        <v>4516</v>
      </c>
      <c r="FD62" s="88">
        <v>4382</v>
      </c>
      <c r="FE62" s="88">
        <v>4453</v>
      </c>
      <c r="FF62" s="88">
        <v>4453</v>
      </c>
      <c r="FG62" s="88">
        <v>4426</v>
      </c>
      <c r="FH62" s="88">
        <v>4214</v>
      </c>
      <c r="FI62" s="88">
        <v>4044</v>
      </c>
      <c r="FJ62" s="88">
        <v>3978</v>
      </c>
      <c r="FK62" s="88">
        <v>3952</v>
      </c>
      <c r="FL62" s="88">
        <v>3831</v>
      </c>
      <c r="FM62" s="88">
        <v>3804</v>
      </c>
      <c r="FN62" s="88">
        <v>3726</v>
      </c>
      <c r="FO62" s="88">
        <v>3693</v>
      </c>
      <c r="FP62" s="88">
        <v>3735</v>
      </c>
      <c r="FQ62" s="88">
        <v>3635</v>
      </c>
      <c r="FR62" s="88">
        <v>3580</v>
      </c>
      <c r="FS62" s="88">
        <v>3599</v>
      </c>
      <c r="FT62" s="88">
        <v>3776</v>
      </c>
      <c r="FU62" s="88">
        <v>3832</v>
      </c>
      <c r="FV62" s="88">
        <v>4167</v>
      </c>
      <c r="FW62" s="88">
        <v>4859</v>
      </c>
      <c r="FX62" s="88">
        <v>3502</v>
      </c>
      <c r="FY62" s="88">
        <v>3287</v>
      </c>
      <c r="FZ62" s="88">
        <v>3225</v>
      </c>
      <c r="GA62" s="88">
        <v>2965</v>
      </c>
      <c r="GB62" s="88">
        <v>2602</v>
      </c>
      <c r="GC62" s="88">
        <v>2145</v>
      </c>
      <c r="GD62" s="88">
        <v>2218</v>
      </c>
      <c r="GE62" s="88">
        <v>2231</v>
      </c>
      <c r="GF62" s="88">
        <v>2029</v>
      </c>
      <c r="GG62" s="88">
        <v>1942</v>
      </c>
      <c r="GH62" s="88">
        <v>1725</v>
      </c>
      <c r="GI62" s="88">
        <v>1574</v>
      </c>
      <c r="GJ62" s="88">
        <v>1382</v>
      </c>
      <c r="GK62" s="88">
        <v>1148</v>
      </c>
      <c r="GL62" s="89">
        <v>5674</v>
      </c>
    </row>
    <row r="63" spans="1:194" s="1" customFormat="1" x14ac:dyDescent="0.2">
      <c r="A63" s="90" t="s">
        <v>94</v>
      </c>
      <c r="B63" s="146" t="s">
        <v>148</v>
      </c>
      <c r="C63" s="30" t="str">
        <f t="shared" si="4"/>
        <v xml:space="preserve">England – CCGs - Frimley </v>
      </c>
      <c r="D63" s="51">
        <f t="shared" si="7"/>
        <v>323471</v>
      </c>
      <c r="E63" s="51">
        <f t="shared" si="7"/>
        <v>335273</v>
      </c>
      <c r="F63" s="52">
        <f t="shared" si="8"/>
        <v>773481</v>
      </c>
      <c r="G63" s="52">
        <f t="shared" si="9"/>
        <v>382291</v>
      </c>
      <c r="H63" s="52">
        <f t="shared" si="10"/>
        <v>391190</v>
      </c>
      <c r="I63" s="697">
        <f t="shared" si="5"/>
        <v>323471</v>
      </c>
      <c r="J63" s="53">
        <f t="shared" si="6"/>
        <v>335273</v>
      </c>
      <c r="K63" s="50">
        <f t="shared" si="11"/>
        <v>90835</v>
      </c>
      <c r="L63" s="51">
        <f t="shared" si="12"/>
        <v>85583</v>
      </c>
      <c r="M63" s="87">
        <v>4263</v>
      </c>
      <c r="N63" s="87">
        <v>4392</v>
      </c>
      <c r="O63" s="87">
        <v>4561</v>
      </c>
      <c r="P63" s="87">
        <v>4756</v>
      </c>
      <c r="Q63" s="87">
        <v>4732</v>
      </c>
      <c r="R63" s="87">
        <v>4792</v>
      </c>
      <c r="S63" s="87">
        <v>5068</v>
      </c>
      <c r="T63" s="87">
        <v>5127</v>
      </c>
      <c r="U63" s="87">
        <v>5102</v>
      </c>
      <c r="V63" s="87">
        <v>5177</v>
      </c>
      <c r="W63" s="87">
        <v>5470</v>
      </c>
      <c r="X63" s="87">
        <v>5380</v>
      </c>
      <c r="Y63" s="87">
        <v>5303</v>
      </c>
      <c r="Z63" s="87">
        <v>5287</v>
      </c>
      <c r="AA63" s="87">
        <v>5403</v>
      </c>
      <c r="AB63" s="87">
        <v>5458</v>
      </c>
      <c r="AC63" s="87">
        <v>5163</v>
      </c>
      <c r="AD63" s="87">
        <v>5401</v>
      </c>
      <c r="AE63" s="87">
        <v>4978</v>
      </c>
      <c r="AF63" s="87">
        <v>4126</v>
      </c>
      <c r="AG63" s="87">
        <v>3750</v>
      </c>
      <c r="AH63" s="87">
        <v>4041</v>
      </c>
      <c r="AI63" s="87">
        <v>4362</v>
      </c>
      <c r="AJ63" s="87">
        <v>4602</v>
      </c>
      <c r="AK63" s="87">
        <v>4604</v>
      </c>
      <c r="AL63" s="87">
        <v>4636</v>
      </c>
      <c r="AM63" s="87">
        <v>4591</v>
      </c>
      <c r="AN63" s="87">
        <v>4592</v>
      </c>
      <c r="AO63" s="87">
        <v>4614</v>
      </c>
      <c r="AP63" s="87">
        <v>4591</v>
      </c>
      <c r="AQ63" s="87">
        <v>4852</v>
      </c>
      <c r="AR63" s="87">
        <v>4999</v>
      </c>
      <c r="AS63" s="87">
        <v>5085</v>
      </c>
      <c r="AT63" s="87">
        <v>5183</v>
      </c>
      <c r="AU63" s="87">
        <v>5271</v>
      </c>
      <c r="AV63" s="87">
        <v>5396</v>
      </c>
      <c r="AW63" s="87">
        <v>5406</v>
      </c>
      <c r="AX63" s="87">
        <v>5354</v>
      </c>
      <c r="AY63" s="87">
        <v>5388</v>
      </c>
      <c r="AZ63" s="87">
        <v>5584</v>
      </c>
      <c r="BA63" s="87">
        <v>5598</v>
      </c>
      <c r="BB63" s="87">
        <v>5770</v>
      </c>
      <c r="BC63" s="87">
        <v>5896</v>
      </c>
      <c r="BD63" s="87">
        <v>5528</v>
      </c>
      <c r="BE63" s="87">
        <v>5353</v>
      </c>
      <c r="BF63" s="87">
        <v>5239</v>
      </c>
      <c r="BG63" s="87">
        <v>5319</v>
      </c>
      <c r="BH63" s="87">
        <v>5325</v>
      </c>
      <c r="BI63" s="87">
        <v>5418</v>
      </c>
      <c r="BJ63" s="87">
        <v>5437</v>
      </c>
      <c r="BK63" s="87">
        <v>5417</v>
      </c>
      <c r="BL63" s="87">
        <v>5644</v>
      </c>
      <c r="BM63" s="87">
        <v>5325</v>
      </c>
      <c r="BN63" s="87">
        <v>5282</v>
      </c>
      <c r="BO63" s="87">
        <v>5244</v>
      </c>
      <c r="BP63" s="87">
        <v>5322</v>
      </c>
      <c r="BQ63" s="87">
        <v>5125</v>
      </c>
      <c r="BR63" s="87">
        <v>5126</v>
      </c>
      <c r="BS63" s="87">
        <v>4776</v>
      </c>
      <c r="BT63" s="87">
        <v>4771</v>
      </c>
      <c r="BU63" s="87">
        <v>4680</v>
      </c>
      <c r="BV63" s="87">
        <v>4594</v>
      </c>
      <c r="BW63" s="87">
        <v>4053</v>
      </c>
      <c r="BX63" s="87">
        <v>3928</v>
      </c>
      <c r="BY63" s="87">
        <v>3779</v>
      </c>
      <c r="BZ63" s="87">
        <v>3552</v>
      </c>
      <c r="CA63" s="87">
        <v>3367</v>
      </c>
      <c r="CB63" s="87">
        <v>3207</v>
      </c>
      <c r="CC63" s="87">
        <v>3103</v>
      </c>
      <c r="CD63" s="87">
        <v>2976</v>
      </c>
      <c r="CE63" s="87">
        <v>2843</v>
      </c>
      <c r="CF63" s="87">
        <v>2917</v>
      </c>
      <c r="CG63" s="87">
        <v>2808</v>
      </c>
      <c r="CH63" s="87">
        <v>2850</v>
      </c>
      <c r="CI63" s="87">
        <v>3024</v>
      </c>
      <c r="CJ63" s="87">
        <v>3244</v>
      </c>
      <c r="CK63" s="87">
        <v>2394</v>
      </c>
      <c r="CL63" s="87">
        <v>2283</v>
      </c>
      <c r="CM63" s="87">
        <v>2371</v>
      </c>
      <c r="CN63" s="87">
        <v>2083</v>
      </c>
      <c r="CO63" s="87">
        <v>1758</v>
      </c>
      <c r="CP63" s="87">
        <v>1527</v>
      </c>
      <c r="CQ63" s="87">
        <v>1560</v>
      </c>
      <c r="CR63" s="87">
        <v>1455</v>
      </c>
      <c r="CS63" s="87">
        <v>1329</v>
      </c>
      <c r="CT63" s="87">
        <v>1208</v>
      </c>
      <c r="CU63" s="87">
        <v>1019</v>
      </c>
      <c r="CV63" s="87">
        <v>936</v>
      </c>
      <c r="CW63" s="87">
        <v>815</v>
      </c>
      <c r="CX63" s="87">
        <v>650</v>
      </c>
      <c r="CY63" s="87">
        <v>2223</v>
      </c>
      <c r="CZ63" s="88">
        <v>4219</v>
      </c>
      <c r="DA63" s="88">
        <v>4256</v>
      </c>
      <c r="DB63" s="88">
        <v>4444</v>
      </c>
      <c r="DC63" s="88">
        <v>4458</v>
      </c>
      <c r="DD63" s="88">
        <v>4577</v>
      </c>
      <c r="DE63" s="88">
        <v>4597</v>
      </c>
      <c r="DF63" s="88">
        <v>4813</v>
      </c>
      <c r="DG63" s="88">
        <v>4771</v>
      </c>
      <c r="DH63" s="88">
        <v>4759</v>
      </c>
      <c r="DI63" s="88">
        <v>4863</v>
      </c>
      <c r="DJ63" s="88">
        <v>5186</v>
      </c>
      <c r="DK63" s="88">
        <v>4974</v>
      </c>
      <c r="DL63" s="88">
        <v>5156</v>
      </c>
      <c r="DM63" s="88">
        <v>4994</v>
      </c>
      <c r="DN63" s="88">
        <v>5173</v>
      </c>
      <c r="DO63" s="88">
        <v>4975</v>
      </c>
      <c r="DP63" s="88">
        <v>4779</v>
      </c>
      <c r="DQ63" s="88">
        <v>4589</v>
      </c>
      <c r="DR63" s="88">
        <v>4513</v>
      </c>
      <c r="DS63" s="88">
        <v>3602</v>
      </c>
      <c r="DT63" s="88">
        <v>3096</v>
      </c>
      <c r="DU63" s="88">
        <v>3594</v>
      </c>
      <c r="DV63" s="88">
        <v>3736</v>
      </c>
      <c r="DW63" s="88">
        <v>4204</v>
      </c>
      <c r="DX63" s="88">
        <v>4397</v>
      </c>
      <c r="DY63" s="88">
        <v>4449</v>
      </c>
      <c r="DZ63" s="88">
        <v>4378</v>
      </c>
      <c r="EA63" s="88">
        <v>4430</v>
      </c>
      <c r="EB63" s="88">
        <v>4741</v>
      </c>
      <c r="EC63" s="88">
        <v>4839</v>
      </c>
      <c r="ED63" s="88">
        <v>5172</v>
      </c>
      <c r="EE63" s="88">
        <v>5403</v>
      </c>
      <c r="EF63" s="88">
        <v>5585</v>
      </c>
      <c r="EG63" s="88">
        <v>5517</v>
      </c>
      <c r="EH63" s="88">
        <v>5877</v>
      </c>
      <c r="EI63" s="88">
        <v>5965</v>
      </c>
      <c r="EJ63" s="88">
        <v>5925</v>
      </c>
      <c r="EK63" s="88">
        <v>5934</v>
      </c>
      <c r="EL63" s="88">
        <v>5816</v>
      </c>
      <c r="EM63" s="88">
        <v>6101</v>
      </c>
      <c r="EN63" s="88">
        <v>5912</v>
      </c>
      <c r="EO63" s="88">
        <v>6219</v>
      </c>
      <c r="EP63" s="88">
        <v>6072</v>
      </c>
      <c r="EQ63" s="88">
        <v>5769</v>
      </c>
      <c r="ER63" s="88">
        <v>5508</v>
      </c>
      <c r="ES63" s="88">
        <v>5360</v>
      </c>
      <c r="ET63" s="88">
        <v>5313</v>
      </c>
      <c r="EU63" s="88">
        <v>5514</v>
      </c>
      <c r="EV63" s="88">
        <v>5340</v>
      </c>
      <c r="EW63" s="88">
        <v>5460</v>
      </c>
      <c r="EX63" s="88">
        <v>5576</v>
      </c>
      <c r="EY63" s="88">
        <v>5585</v>
      </c>
      <c r="EZ63" s="88">
        <v>5384</v>
      </c>
      <c r="FA63" s="88">
        <v>5394</v>
      </c>
      <c r="FB63" s="88">
        <v>5461</v>
      </c>
      <c r="FC63" s="88">
        <v>5282</v>
      </c>
      <c r="FD63" s="88">
        <v>5162</v>
      </c>
      <c r="FE63" s="88">
        <v>5164</v>
      </c>
      <c r="FF63" s="88">
        <v>4981</v>
      </c>
      <c r="FG63" s="88">
        <v>4804</v>
      </c>
      <c r="FH63" s="88">
        <v>4635</v>
      </c>
      <c r="FI63" s="88">
        <v>4418</v>
      </c>
      <c r="FJ63" s="88">
        <v>4236</v>
      </c>
      <c r="FK63" s="88">
        <v>4064</v>
      </c>
      <c r="FL63" s="88">
        <v>3860</v>
      </c>
      <c r="FM63" s="88">
        <v>3586</v>
      </c>
      <c r="FN63" s="88">
        <v>3476</v>
      </c>
      <c r="FO63" s="88">
        <v>3438</v>
      </c>
      <c r="FP63" s="88">
        <v>3364</v>
      </c>
      <c r="FQ63" s="88">
        <v>3235</v>
      </c>
      <c r="FR63" s="88">
        <v>3204</v>
      </c>
      <c r="FS63" s="88">
        <v>3125</v>
      </c>
      <c r="FT63" s="88">
        <v>3074</v>
      </c>
      <c r="FU63" s="88">
        <v>3216</v>
      </c>
      <c r="FV63" s="88">
        <v>3460</v>
      </c>
      <c r="FW63" s="88">
        <v>3673</v>
      </c>
      <c r="FX63" s="88">
        <v>2827</v>
      </c>
      <c r="FY63" s="88">
        <v>2699</v>
      </c>
      <c r="FZ63" s="88">
        <v>2669</v>
      </c>
      <c r="GA63" s="88">
        <v>2392</v>
      </c>
      <c r="GB63" s="88">
        <v>2143</v>
      </c>
      <c r="GC63" s="88">
        <v>1860</v>
      </c>
      <c r="GD63" s="88">
        <v>1940</v>
      </c>
      <c r="GE63" s="88">
        <v>1862</v>
      </c>
      <c r="GF63" s="88">
        <v>1731</v>
      </c>
      <c r="GG63" s="88">
        <v>1564</v>
      </c>
      <c r="GH63" s="88">
        <v>1492</v>
      </c>
      <c r="GI63" s="88">
        <v>1360</v>
      </c>
      <c r="GJ63" s="88">
        <v>1148</v>
      </c>
      <c r="GK63" s="88">
        <v>1039</v>
      </c>
      <c r="GL63" s="89">
        <v>4283</v>
      </c>
    </row>
    <row r="64" spans="1:194" s="1" customFormat="1" x14ac:dyDescent="0.2">
      <c r="A64" s="90" t="s">
        <v>94</v>
      </c>
      <c r="B64" s="146" t="s">
        <v>149</v>
      </c>
      <c r="C64" s="30" t="str">
        <f t="shared" si="4"/>
        <v xml:space="preserve">England – CCGs - Fylde and Wyre </v>
      </c>
      <c r="D64" s="51">
        <f t="shared" si="7"/>
        <v>86232</v>
      </c>
      <c r="E64" s="51">
        <f t="shared" si="7"/>
        <v>91724</v>
      </c>
      <c r="F64" s="52">
        <f t="shared" si="8"/>
        <v>200205</v>
      </c>
      <c r="G64" s="52">
        <f t="shared" si="9"/>
        <v>97647</v>
      </c>
      <c r="H64" s="52">
        <f t="shared" si="10"/>
        <v>102558</v>
      </c>
      <c r="I64" s="697">
        <f t="shared" si="5"/>
        <v>86232</v>
      </c>
      <c r="J64" s="53">
        <f t="shared" si="6"/>
        <v>91724</v>
      </c>
      <c r="K64" s="50">
        <f t="shared" si="11"/>
        <v>17870</v>
      </c>
      <c r="L64" s="51">
        <f t="shared" si="12"/>
        <v>17062</v>
      </c>
      <c r="M64" s="87">
        <v>738</v>
      </c>
      <c r="N64" s="87">
        <v>824</v>
      </c>
      <c r="O64" s="87">
        <v>891</v>
      </c>
      <c r="P64" s="87">
        <v>885</v>
      </c>
      <c r="Q64" s="87">
        <v>903</v>
      </c>
      <c r="R64" s="87">
        <v>893</v>
      </c>
      <c r="S64" s="87">
        <v>985</v>
      </c>
      <c r="T64" s="87">
        <v>1055</v>
      </c>
      <c r="U64" s="87">
        <v>989</v>
      </c>
      <c r="V64" s="87">
        <v>1038</v>
      </c>
      <c r="W64" s="87">
        <v>1082</v>
      </c>
      <c r="X64" s="87">
        <v>1132</v>
      </c>
      <c r="Y64" s="87">
        <v>1078</v>
      </c>
      <c r="Z64" s="87">
        <v>1072</v>
      </c>
      <c r="AA64" s="87">
        <v>1090</v>
      </c>
      <c r="AB64" s="87">
        <v>1042</v>
      </c>
      <c r="AC64" s="87">
        <v>1003</v>
      </c>
      <c r="AD64" s="87">
        <v>1170</v>
      </c>
      <c r="AE64" s="87">
        <v>1091</v>
      </c>
      <c r="AF64" s="87">
        <v>772</v>
      </c>
      <c r="AG64" s="87">
        <v>785</v>
      </c>
      <c r="AH64" s="87">
        <v>828</v>
      </c>
      <c r="AI64" s="87">
        <v>843</v>
      </c>
      <c r="AJ64" s="87">
        <v>927</v>
      </c>
      <c r="AK64" s="87">
        <v>858</v>
      </c>
      <c r="AL64" s="87">
        <v>969</v>
      </c>
      <c r="AM64" s="87">
        <v>872</v>
      </c>
      <c r="AN64" s="87">
        <v>895</v>
      </c>
      <c r="AO64" s="87">
        <v>989</v>
      </c>
      <c r="AP64" s="87">
        <v>933</v>
      </c>
      <c r="AQ64" s="87">
        <v>997</v>
      </c>
      <c r="AR64" s="87">
        <v>995</v>
      </c>
      <c r="AS64" s="87">
        <v>1031</v>
      </c>
      <c r="AT64" s="87">
        <v>1023</v>
      </c>
      <c r="AU64" s="87">
        <v>1060</v>
      </c>
      <c r="AV64" s="87">
        <v>1074</v>
      </c>
      <c r="AW64" s="87">
        <v>1014</v>
      </c>
      <c r="AX64" s="87">
        <v>1045</v>
      </c>
      <c r="AY64" s="87">
        <v>1089</v>
      </c>
      <c r="AZ64" s="87">
        <v>1086</v>
      </c>
      <c r="BA64" s="87">
        <v>1049</v>
      </c>
      <c r="BB64" s="87">
        <v>1121</v>
      </c>
      <c r="BC64" s="87">
        <v>1047</v>
      </c>
      <c r="BD64" s="87">
        <v>1027</v>
      </c>
      <c r="BE64" s="87">
        <v>954</v>
      </c>
      <c r="BF64" s="87">
        <v>864</v>
      </c>
      <c r="BG64" s="87">
        <v>954</v>
      </c>
      <c r="BH64" s="87">
        <v>1032</v>
      </c>
      <c r="BI64" s="87">
        <v>1105</v>
      </c>
      <c r="BJ64" s="87">
        <v>1170</v>
      </c>
      <c r="BK64" s="87">
        <v>1268</v>
      </c>
      <c r="BL64" s="87">
        <v>1325</v>
      </c>
      <c r="BM64" s="87">
        <v>1350</v>
      </c>
      <c r="BN64" s="87">
        <v>1480</v>
      </c>
      <c r="BO64" s="87">
        <v>1432</v>
      </c>
      <c r="BP64" s="87">
        <v>1505</v>
      </c>
      <c r="BQ64" s="87">
        <v>1528</v>
      </c>
      <c r="BR64" s="87">
        <v>1576</v>
      </c>
      <c r="BS64" s="87">
        <v>1562</v>
      </c>
      <c r="BT64" s="87">
        <v>1591</v>
      </c>
      <c r="BU64" s="87">
        <v>1635</v>
      </c>
      <c r="BV64" s="87">
        <v>1536</v>
      </c>
      <c r="BW64" s="87">
        <v>1559</v>
      </c>
      <c r="BX64" s="87">
        <v>1488</v>
      </c>
      <c r="BY64" s="87">
        <v>1396</v>
      </c>
      <c r="BZ64" s="87">
        <v>1556</v>
      </c>
      <c r="CA64" s="87">
        <v>1328</v>
      </c>
      <c r="CB64" s="87">
        <v>1380</v>
      </c>
      <c r="CC64" s="87">
        <v>1417</v>
      </c>
      <c r="CD64" s="87">
        <v>1374</v>
      </c>
      <c r="CE64" s="87">
        <v>1230</v>
      </c>
      <c r="CF64" s="87">
        <v>1333</v>
      </c>
      <c r="CG64" s="87">
        <v>1307</v>
      </c>
      <c r="CH64" s="87">
        <v>1356</v>
      </c>
      <c r="CI64" s="87">
        <v>1458</v>
      </c>
      <c r="CJ64" s="87">
        <v>1522</v>
      </c>
      <c r="CK64" s="87">
        <v>1178</v>
      </c>
      <c r="CL64" s="87">
        <v>1114</v>
      </c>
      <c r="CM64" s="87">
        <v>1100</v>
      </c>
      <c r="CN64" s="87">
        <v>971</v>
      </c>
      <c r="CO64" s="87">
        <v>871</v>
      </c>
      <c r="CP64" s="87">
        <v>700</v>
      </c>
      <c r="CQ64" s="87">
        <v>711</v>
      </c>
      <c r="CR64" s="87">
        <v>667</v>
      </c>
      <c r="CS64" s="87">
        <v>583</v>
      </c>
      <c r="CT64" s="87">
        <v>521</v>
      </c>
      <c r="CU64" s="87">
        <v>467</v>
      </c>
      <c r="CV64" s="87">
        <v>391</v>
      </c>
      <c r="CW64" s="87">
        <v>350</v>
      </c>
      <c r="CX64" s="87">
        <v>249</v>
      </c>
      <c r="CY64" s="87">
        <v>913</v>
      </c>
      <c r="CZ64" s="88">
        <v>769</v>
      </c>
      <c r="DA64" s="88">
        <v>764</v>
      </c>
      <c r="DB64" s="88">
        <v>811</v>
      </c>
      <c r="DC64" s="88">
        <v>841</v>
      </c>
      <c r="DD64" s="88">
        <v>838</v>
      </c>
      <c r="DE64" s="88">
        <v>910</v>
      </c>
      <c r="DF64" s="88">
        <v>963</v>
      </c>
      <c r="DG64" s="88">
        <v>905</v>
      </c>
      <c r="DH64" s="88">
        <v>948</v>
      </c>
      <c r="DI64" s="88">
        <v>1042</v>
      </c>
      <c r="DJ64" s="88">
        <v>1011</v>
      </c>
      <c r="DK64" s="88">
        <v>1032</v>
      </c>
      <c r="DL64" s="88">
        <v>1039</v>
      </c>
      <c r="DM64" s="88">
        <v>985</v>
      </c>
      <c r="DN64" s="88">
        <v>1074</v>
      </c>
      <c r="DO64" s="88">
        <v>1037</v>
      </c>
      <c r="DP64" s="88">
        <v>1013</v>
      </c>
      <c r="DQ64" s="88">
        <v>1080</v>
      </c>
      <c r="DR64" s="88">
        <v>946</v>
      </c>
      <c r="DS64" s="88">
        <v>556</v>
      </c>
      <c r="DT64" s="88">
        <v>672</v>
      </c>
      <c r="DU64" s="88">
        <v>667</v>
      </c>
      <c r="DV64" s="88">
        <v>806</v>
      </c>
      <c r="DW64" s="88">
        <v>818</v>
      </c>
      <c r="DX64" s="88">
        <v>818</v>
      </c>
      <c r="DY64" s="88">
        <v>927</v>
      </c>
      <c r="DZ64" s="88">
        <v>914</v>
      </c>
      <c r="EA64" s="88">
        <v>982</v>
      </c>
      <c r="EB64" s="88">
        <v>990</v>
      </c>
      <c r="EC64" s="88">
        <v>965</v>
      </c>
      <c r="ED64" s="88">
        <v>1061</v>
      </c>
      <c r="EE64" s="88">
        <v>1144</v>
      </c>
      <c r="EF64" s="88">
        <v>1077</v>
      </c>
      <c r="EG64" s="88">
        <v>1117</v>
      </c>
      <c r="EH64" s="88">
        <v>1094</v>
      </c>
      <c r="EI64" s="88">
        <v>1071</v>
      </c>
      <c r="EJ64" s="88">
        <v>1118</v>
      </c>
      <c r="EK64" s="88">
        <v>1105</v>
      </c>
      <c r="EL64" s="88">
        <v>1119</v>
      </c>
      <c r="EM64" s="88">
        <v>1110</v>
      </c>
      <c r="EN64" s="88">
        <v>1002</v>
      </c>
      <c r="EO64" s="88">
        <v>1159</v>
      </c>
      <c r="EP64" s="88">
        <v>1135</v>
      </c>
      <c r="EQ64" s="88">
        <v>1012</v>
      </c>
      <c r="ER64" s="88">
        <v>1013</v>
      </c>
      <c r="ES64" s="88">
        <v>941</v>
      </c>
      <c r="ET64" s="88">
        <v>1035</v>
      </c>
      <c r="EU64" s="88">
        <v>1026</v>
      </c>
      <c r="EV64" s="88">
        <v>1184</v>
      </c>
      <c r="EW64" s="88">
        <v>1207</v>
      </c>
      <c r="EX64" s="88">
        <v>1405</v>
      </c>
      <c r="EY64" s="88">
        <v>1494</v>
      </c>
      <c r="EZ64" s="88">
        <v>1452</v>
      </c>
      <c r="FA64" s="88">
        <v>1457</v>
      </c>
      <c r="FB64" s="88">
        <v>1505</v>
      </c>
      <c r="FC64" s="88">
        <v>1564</v>
      </c>
      <c r="FD64" s="88">
        <v>1638</v>
      </c>
      <c r="FE64" s="88">
        <v>1740</v>
      </c>
      <c r="FF64" s="88">
        <v>1584</v>
      </c>
      <c r="FG64" s="88">
        <v>1718</v>
      </c>
      <c r="FH64" s="88">
        <v>1668</v>
      </c>
      <c r="FI64" s="88">
        <v>1712</v>
      </c>
      <c r="FJ64" s="88">
        <v>1641</v>
      </c>
      <c r="FK64" s="88">
        <v>1488</v>
      </c>
      <c r="FL64" s="88">
        <v>1572</v>
      </c>
      <c r="FM64" s="88">
        <v>1558</v>
      </c>
      <c r="FN64" s="88">
        <v>1447</v>
      </c>
      <c r="FO64" s="88">
        <v>1374</v>
      </c>
      <c r="FP64" s="88">
        <v>1371</v>
      </c>
      <c r="FQ64" s="88">
        <v>1398</v>
      </c>
      <c r="FR64" s="88">
        <v>1320</v>
      </c>
      <c r="FS64" s="88">
        <v>1350</v>
      </c>
      <c r="FT64" s="88">
        <v>1459</v>
      </c>
      <c r="FU64" s="88">
        <v>1498</v>
      </c>
      <c r="FV64" s="88">
        <v>1544</v>
      </c>
      <c r="FW64" s="88">
        <v>1729</v>
      </c>
      <c r="FX64" s="88">
        <v>1281</v>
      </c>
      <c r="FY64" s="88">
        <v>1182</v>
      </c>
      <c r="FZ64" s="88">
        <v>1171</v>
      </c>
      <c r="GA64" s="88">
        <v>1104</v>
      </c>
      <c r="GB64" s="88">
        <v>997</v>
      </c>
      <c r="GC64" s="88">
        <v>906</v>
      </c>
      <c r="GD64" s="88">
        <v>931</v>
      </c>
      <c r="GE64" s="88">
        <v>909</v>
      </c>
      <c r="GF64" s="88">
        <v>803</v>
      </c>
      <c r="GG64" s="88">
        <v>702</v>
      </c>
      <c r="GH64" s="88">
        <v>678</v>
      </c>
      <c r="GI64" s="88">
        <v>585</v>
      </c>
      <c r="GJ64" s="88">
        <v>489</v>
      </c>
      <c r="GK64" s="88">
        <v>406</v>
      </c>
      <c r="GL64" s="89">
        <v>1875</v>
      </c>
    </row>
    <row r="65" spans="1:194" s="1" customFormat="1" x14ac:dyDescent="0.2">
      <c r="A65" s="90" t="s">
        <v>94</v>
      </c>
      <c r="B65" s="146" t="s">
        <v>150</v>
      </c>
      <c r="C65" s="30" t="str">
        <f t="shared" si="4"/>
        <v xml:space="preserve">England – CCGs - Gloucestershire </v>
      </c>
      <c r="D65" s="51">
        <f t="shared" si="7"/>
        <v>275930</v>
      </c>
      <c r="E65" s="51">
        <f t="shared" si="7"/>
        <v>292588</v>
      </c>
      <c r="F65" s="52">
        <f t="shared" si="8"/>
        <v>652409</v>
      </c>
      <c r="G65" s="52">
        <f t="shared" si="9"/>
        <v>318898</v>
      </c>
      <c r="H65" s="52">
        <f t="shared" si="10"/>
        <v>333511</v>
      </c>
      <c r="I65" s="697">
        <f t="shared" si="5"/>
        <v>275930</v>
      </c>
      <c r="J65" s="53">
        <f t="shared" si="6"/>
        <v>292588</v>
      </c>
      <c r="K65" s="50">
        <f t="shared" si="11"/>
        <v>65468</v>
      </c>
      <c r="L65" s="51">
        <f t="shared" si="12"/>
        <v>63286</v>
      </c>
      <c r="M65" s="87">
        <v>3159</v>
      </c>
      <c r="N65" s="87">
        <v>3105</v>
      </c>
      <c r="O65" s="87">
        <v>3224</v>
      </c>
      <c r="P65" s="87">
        <v>3465</v>
      </c>
      <c r="Q65" s="87">
        <v>3542</v>
      </c>
      <c r="R65" s="87">
        <v>3683</v>
      </c>
      <c r="S65" s="87">
        <v>3711</v>
      </c>
      <c r="T65" s="87">
        <v>3662</v>
      </c>
      <c r="U65" s="87">
        <v>3661</v>
      </c>
      <c r="V65" s="87">
        <v>3782</v>
      </c>
      <c r="W65" s="87">
        <v>4032</v>
      </c>
      <c r="X65" s="87">
        <v>3942</v>
      </c>
      <c r="Y65" s="87">
        <v>3861</v>
      </c>
      <c r="Z65" s="87">
        <v>3886</v>
      </c>
      <c r="AA65" s="87">
        <v>3824</v>
      </c>
      <c r="AB65" s="87">
        <v>3744</v>
      </c>
      <c r="AC65" s="87">
        <v>3610</v>
      </c>
      <c r="AD65" s="87">
        <v>3575</v>
      </c>
      <c r="AE65" s="87">
        <v>3621</v>
      </c>
      <c r="AF65" s="87">
        <v>3144</v>
      </c>
      <c r="AG65" s="87">
        <v>3119</v>
      </c>
      <c r="AH65" s="87">
        <v>3299</v>
      </c>
      <c r="AI65" s="87">
        <v>3321</v>
      </c>
      <c r="AJ65" s="87">
        <v>3640</v>
      </c>
      <c r="AK65" s="87">
        <v>3545</v>
      </c>
      <c r="AL65" s="87">
        <v>3553</v>
      </c>
      <c r="AM65" s="87">
        <v>3471</v>
      </c>
      <c r="AN65" s="87">
        <v>3704</v>
      </c>
      <c r="AO65" s="87">
        <v>3753</v>
      </c>
      <c r="AP65" s="87">
        <v>3719</v>
      </c>
      <c r="AQ65" s="87">
        <v>3820</v>
      </c>
      <c r="AR65" s="87">
        <v>4130</v>
      </c>
      <c r="AS65" s="87">
        <v>4017</v>
      </c>
      <c r="AT65" s="87">
        <v>4064</v>
      </c>
      <c r="AU65" s="87">
        <v>3938</v>
      </c>
      <c r="AV65" s="87">
        <v>3901</v>
      </c>
      <c r="AW65" s="87">
        <v>3878</v>
      </c>
      <c r="AX65" s="87">
        <v>3919</v>
      </c>
      <c r="AY65" s="87">
        <v>3905</v>
      </c>
      <c r="AZ65" s="87">
        <v>4063</v>
      </c>
      <c r="BA65" s="87">
        <v>4062</v>
      </c>
      <c r="BB65" s="87">
        <v>3887</v>
      </c>
      <c r="BC65" s="87">
        <v>4156</v>
      </c>
      <c r="BD65" s="87">
        <v>3919</v>
      </c>
      <c r="BE65" s="87">
        <v>3571</v>
      </c>
      <c r="BF65" s="87">
        <v>3544</v>
      </c>
      <c r="BG65" s="87">
        <v>3727</v>
      </c>
      <c r="BH65" s="87">
        <v>3765</v>
      </c>
      <c r="BI65" s="87">
        <v>3939</v>
      </c>
      <c r="BJ65" s="87">
        <v>4097</v>
      </c>
      <c r="BK65" s="87">
        <v>4258</v>
      </c>
      <c r="BL65" s="87">
        <v>4455</v>
      </c>
      <c r="BM65" s="87">
        <v>4299</v>
      </c>
      <c r="BN65" s="87">
        <v>4667</v>
      </c>
      <c r="BO65" s="87">
        <v>4687</v>
      </c>
      <c r="BP65" s="87">
        <v>4767</v>
      </c>
      <c r="BQ65" s="87">
        <v>4765</v>
      </c>
      <c r="BR65" s="87">
        <v>4797</v>
      </c>
      <c r="BS65" s="87">
        <v>4756</v>
      </c>
      <c r="BT65" s="87">
        <v>4650</v>
      </c>
      <c r="BU65" s="87">
        <v>4576</v>
      </c>
      <c r="BV65" s="87">
        <v>4374</v>
      </c>
      <c r="BW65" s="87">
        <v>4286</v>
      </c>
      <c r="BX65" s="87">
        <v>4108</v>
      </c>
      <c r="BY65" s="87">
        <v>3902</v>
      </c>
      <c r="BZ65" s="87">
        <v>3741</v>
      </c>
      <c r="CA65" s="87">
        <v>3619</v>
      </c>
      <c r="CB65" s="87">
        <v>3508</v>
      </c>
      <c r="CC65" s="87">
        <v>3543</v>
      </c>
      <c r="CD65" s="87">
        <v>3352</v>
      </c>
      <c r="CE65" s="87">
        <v>3382</v>
      </c>
      <c r="CF65" s="87">
        <v>3187</v>
      </c>
      <c r="CG65" s="87">
        <v>3420</v>
      </c>
      <c r="CH65" s="87">
        <v>3510</v>
      </c>
      <c r="CI65" s="87">
        <v>3577</v>
      </c>
      <c r="CJ65" s="87">
        <v>3759</v>
      </c>
      <c r="CK65" s="87">
        <v>2853</v>
      </c>
      <c r="CL65" s="87">
        <v>2707</v>
      </c>
      <c r="CM65" s="87">
        <v>2714</v>
      </c>
      <c r="CN65" s="87">
        <v>2586</v>
      </c>
      <c r="CO65" s="87">
        <v>2178</v>
      </c>
      <c r="CP65" s="87">
        <v>1824</v>
      </c>
      <c r="CQ65" s="87">
        <v>1776</v>
      </c>
      <c r="CR65" s="87">
        <v>1704</v>
      </c>
      <c r="CS65" s="87">
        <v>1478</v>
      </c>
      <c r="CT65" s="87">
        <v>1401</v>
      </c>
      <c r="CU65" s="87">
        <v>1149</v>
      </c>
      <c r="CV65" s="87">
        <v>1050</v>
      </c>
      <c r="CW65" s="87">
        <v>854</v>
      </c>
      <c r="CX65" s="87">
        <v>715</v>
      </c>
      <c r="CY65" s="87">
        <v>2305</v>
      </c>
      <c r="CZ65" s="88">
        <v>3023</v>
      </c>
      <c r="DA65" s="88">
        <v>2917</v>
      </c>
      <c r="DB65" s="88">
        <v>3184</v>
      </c>
      <c r="DC65" s="88">
        <v>3194</v>
      </c>
      <c r="DD65" s="88">
        <v>3398</v>
      </c>
      <c r="DE65" s="88">
        <v>3282</v>
      </c>
      <c r="DF65" s="88">
        <v>3558</v>
      </c>
      <c r="DG65" s="88">
        <v>3529</v>
      </c>
      <c r="DH65" s="88">
        <v>3665</v>
      </c>
      <c r="DI65" s="88">
        <v>3592</v>
      </c>
      <c r="DJ65" s="88">
        <v>3724</v>
      </c>
      <c r="DK65" s="88">
        <v>3857</v>
      </c>
      <c r="DL65" s="88">
        <v>3888</v>
      </c>
      <c r="DM65" s="88">
        <v>3793</v>
      </c>
      <c r="DN65" s="88">
        <v>3968</v>
      </c>
      <c r="DO65" s="88">
        <v>3630</v>
      </c>
      <c r="DP65" s="88">
        <v>3446</v>
      </c>
      <c r="DQ65" s="88">
        <v>3638</v>
      </c>
      <c r="DR65" s="88">
        <v>3747</v>
      </c>
      <c r="DS65" s="88">
        <v>3130</v>
      </c>
      <c r="DT65" s="88">
        <v>2970</v>
      </c>
      <c r="DU65" s="88">
        <v>3051</v>
      </c>
      <c r="DV65" s="88">
        <v>2975</v>
      </c>
      <c r="DW65" s="88">
        <v>3368</v>
      </c>
      <c r="DX65" s="88">
        <v>3410</v>
      </c>
      <c r="DY65" s="88">
        <v>3508</v>
      </c>
      <c r="DZ65" s="88">
        <v>3555</v>
      </c>
      <c r="EA65" s="88">
        <v>3633</v>
      </c>
      <c r="EB65" s="88">
        <v>3775</v>
      </c>
      <c r="EC65" s="88">
        <v>3767</v>
      </c>
      <c r="ED65" s="88">
        <v>3933</v>
      </c>
      <c r="EE65" s="88">
        <v>4119</v>
      </c>
      <c r="EF65" s="88">
        <v>4230</v>
      </c>
      <c r="EG65" s="88">
        <v>4195</v>
      </c>
      <c r="EH65" s="88">
        <v>4403</v>
      </c>
      <c r="EI65" s="88">
        <v>4280</v>
      </c>
      <c r="EJ65" s="88">
        <v>4144</v>
      </c>
      <c r="EK65" s="88">
        <v>4120</v>
      </c>
      <c r="EL65" s="88">
        <v>4081</v>
      </c>
      <c r="EM65" s="88">
        <v>4151</v>
      </c>
      <c r="EN65" s="88">
        <v>4137</v>
      </c>
      <c r="EO65" s="88">
        <v>4208</v>
      </c>
      <c r="EP65" s="88">
        <v>4256</v>
      </c>
      <c r="EQ65" s="88">
        <v>4154</v>
      </c>
      <c r="ER65" s="88">
        <v>3727</v>
      </c>
      <c r="ES65" s="88">
        <v>3715</v>
      </c>
      <c r="ET65" s="88">
        <v>3796</v>
      </c>
      <c r="EU65" s="88">
        <v>3940</v>
      </c>
      <c r="EV65" s="88">
        <v>4217</v>
      </c>
      <c r="EW65" s="88">
        <v>4233</v>
      </c>
      <c r="EX65" s="88">
        <v>4544</v>
      </c>
      <c r="EY65" s="88">
        <v>4653</v>
      </c>
      <c r="EZ65" s="88">
        <v>4633</v>
      </c>
      <c r="FA65" s="88">
        <v>4733</v>
      </c>
      <c r="FB65" s="88">
        <v>4783</v>
      </c>
      <c r="FC65" s="88">
        <v>5042</v>
      </c>
      <c r="FD65" s="88">
        <v>4909</v>
      </c>
      <c r="FE65" s="88">
        <v>5010</v>
      </c>
      <c r="FF65" s="88">
        <v>4993</v>
      </c>
      <c r="FG65" s="88">
        <v>4746</v>
      </c>
      <c r="FH65" s="88">
        <v>4749</v>
      </c>
      <c r="FI65" s="88">
        <v>4593</v>
      </c>
      <c r="FJ65" s="88">
        <v>4456</v>
      </c>
      <c r="FK65" s="88">
        <v>4183</v>
      </c>
      <c r="FL65" s="88">
        <v>4123</v>
      </c>
      <c r="FM65" s="88">
        <v>3897</v>
      </c>
      <c r="FN65" s="88">
        <v>3698</v>
      </c>
      <c r="FO65" s="88">
        <v>3694</v>
      </c>
      <c r="FP65" s="88">
        <v>3724</v>
      </c>
      <c r="FQ65" s="88">
        <v>3769</v>
      </c>
      <c r="FR65" s="88">
        <v>3666</v>
      </c>
      <c r="FS65" s="88">
        <v>3621</v>
      </c>
      <c r="FT65" s="88">
        <v>3764</v>
      </c>
      <c r="FU65" s="88">
        <v>3773</v>
      </c>
      <c r="FV65" s="88">
        <v>3929</v>
      </c>
      <c r="FW65" s="88">
        <v>4192</v>
      </c>
      <c r="FX65" s="88">
        <v>3262</v>
      </c>
      <c r="FY65" s="88">
        <v>3078</v>
      </c>
      <c r="FZ65" s="88">
        <v>3230</v>
      </c>
      <c r="GA65" s="88">
        <v>2834</v>
      </c>
      <c r="GB65" s="88">
        <v>2451</v>
      </c>
      <c r="GC65" s="88">
        <v>2176</v>
      </c>
      <c r="GD65" s="88">
        <v>2147</v>
      </c>
      <c r="GE65" s="88">
        <v>2128</v>
      </c>
      <c r="GF65" s="88">
        <v>1921</v>
      </c>
      <c r="GG65" s="88">
        <v>1729</v>
      </c>
      <c r="GH65" s="88">
        <v>1551</v>
      </c>
      <c r="GI65" s="88">
        <v>1477</v>
      </c>
      <c r="GJ65" s="88">
        <v>1292</v>
      </c>
      <c r="GK65" s="88">
        <v>1177</v>
      </c>
      <c r="GL65" s="89">
        <v>4967</v>
      </c>
    </row>
    <row r="66" spans="1:194" s="1" customFormat="1" x14ac:dyDescent="0.2">
      <c r="A66" s="90" t="s">
        <v>94</v>
      </c>
      <c r="B66" s="146" t="s">
        <v>151</v>
      </c>
      <c r="C66" s="30" t="str">
        <f t="shared" si="4"/>
        <v xml:space="preserve">England – CCGs - Greater Preston </v>
      </c>
      <c r="D66" s="51">
        <f t="shared" si="7"/>
        <v>90098</v>
      </c>
      <c r="E66" s="51">
        <f t="shared" si="7"/>
        <v>91964</v>
      </c>
      <c r="F66" s="52">
        <f t="shared" si="8"/>
        <v>211590</v>
      </c>
      <c r="G66" s="52">
        <f t="shared" si="9"/>
        <v>105156</v>
      </c>
      <c r="H66" s="52">
        <f t="shared" si="10"/>
        <v>106434</v>
      </c>
      <c r="I66" s="697">
        <f t="shared" si="5"/>
        <v>90098</v>
      </c>
      <c r="J66" s="53">
        <f t="shared" si="6"/>
        <v>91964</v>
      </c>
      <c r="K66" s="50">
        <f t="shared" si="11"/>
        <v>22895</v>
      </c>
      <c r="L66" s="51">
        <f t="shared" si="12"/>
        <v>21819</v>
      </c>
      <c r="M66" s="87">
        <v>1155</v>
      </c>
      <c r="N66" s="87">
        <v>1211</v>
      </c>
      <c r="O66" s="87">
        <v>1210</v>
      </c>
      <c r="P66" s="87">
        <v>1214</v>
      </c>
      <c r="Q66" s="87">
        <v>1254</v>
      </c>
      <c r="R66" s="87">
        <v>1260</v>
      </c>
      <c r="S66" s="87">
        <v>1317</v>
      </c>
      <c r="T66" s="87">
        <v>1284</v>
      </c>
      <c r="U66" s="87">
        <v>1259</v>
      </c>
      <c r="V66" s="87">
        <v>1246</v>
      </c>
      <c r="W66" s="87">
        <v>1299</v>
      </c>
      <c r="X66" s="87">
        <v>1349</v>
      </c>
      <c r="Y66" s="87">
        <v>1298</v>
      </c>
      <c r="Z66" s="87">
        <v>1313</v>
      </c>
      <c r="AA66" s="87">
        <v>1344</v>
      </c>
      <c r="AB66" s="87">
        <v>1292</v>
      </c>
      <c r="AC66" s="87">
        <v>1273</v>
      </c>
      <c r="AD66" s="87">
        <v>1317</v>
      </c>
      <c r="AE66" s="87">
        <v>1386</v>
      </c>
      <c r="AF66" s="87">
        <v>1514</v>
      </c>
      <c r="AG66" s="87">
        <v>1604</v>
      </c>
      <c r="AH66" s="87">
        <v>1498</v>
      </c>
      <c r="AI66" s="87">
        <v>1562</v>
      </c>
      <c r="AJ66" s="87">
        <v>1631</v>
      </c>
      <c r="AK66" s="87">
        <v>1687</v>
      </c>
      <c r="AL66" s="87">
        <v>1686</v>
      </c>
      <c r="AM66" s="87">
        <v>1423</v>
      </c>
      <c r="AN66" s="87">
        <v>1402</v>
      </c>
      <c r="AO66" s="87">
        <v>1366</v>
      </c>
      <c r="AP66" s="87">
        <v>1414</v>
      </c>
      <c r="AQ66" s="87">
        <v>1413</v>
      </c>
      <c r="AR66" s="87">
        <v>1435</v>
      </c>
      <c r="AS66" s="87">
        <v>1406</v>
      </c>
      <c r="AT66" s="87">
        <v>1362</v>
      </c>
      <c r="AU66" s="87">
        <v>1437</v>
      </c>
      <c r="AV66" s="87">
        <v>1354</v>
      </c>
      <c r="AW66" s="87">
        <v>1354</v>
      </c>
      <c r="AX66" s="87">
        <v>1369</v>
      </c>
      <c r="AY66" s="87">
        <v>1338</v>
      </c>
      <c r="AZ66" s="87">
        <v>1226</v>
      </c>
      <c r="BA66" s="87">
        <v>1265</v>
      </c>
      <c r="BB66" s="87">
        <v>1314</v>
      </c>
      <c r="BC66" s="87">
        <v>1376</v>
      </c>
      <c r="BD66" s="87">
        <v>1273</v>
      </c>
      <c r="BE66" s="87">
        <v>1154</v>
      </c>
      <c r="BF66" s="87">
        <v>1156</v>
      </c>
      <c r="BG66" s="87">
        <v>1187</v>
      </c>
      <c r="BH66" s="87">
        <v>1210</v>
      </c>
      <c r="BI66" s="87">
        <v>1312</v>
      </c>
      <c r="BJ66" s="87">
        <v>1348</v>
      </c>
      <c r="BK66" s="87">
        <v>1420</v>
      </c>
      <c r="BL66" s="87">
        <v>1398</v>
      </c>
      <c r="BM66" s="87">
        <v>1443</v>
      </c>
      <c r="BN66" s="87">
        <v>1393</v>
      </c>
      <c r="BO66" s="87">
        <v>1377</v>
      </c>
      <c r="BP66" s="87">
        <v>1414</v>
      </c>
      <c r="BQ66" s="87">
        <v>1441</v>
      </c>
      <c r="BR66" s="87">
        <v>1443</v>
      </c>
      <c r="BS66" s="87">
        <v>1486</v>
      </c>
      <c r="BT66" s="87">
        <v>1391</v>
      </c>
      <c r="BU66" s="87">
        <v>1424</v>
      </c>
      <c r="BV66" s="87">
        <v>1271</v>
      </c>
      <c r="BW66" s="87">
        <v>1234</v>
      </c>
      <c r="BX66" s="87">
        <v>1176</v>
      </c>
      <c r="BY66" s="87">
        <v>1120</v>
      </c>
      <c r="BZ66" s="87">
        <v>1082</v>
      </c>
      <c r="CA66" s="87">
        <v>1115</v>
      </c>
      <c r="CB66" s="87">
        <v>937</v>
      </c>
      <c r="CC66" s="87">
        <v>952</v>
      </c>
      <c r="CD66" s="87">
        <v>989</v>
      </c>
      <c r="CE66" s="87">
        <v>872</v>
      </c>
      <c r="CF66" s="87">
        <v>901</v>
      </c>
      <c r="CG66" s="87">
        <v>861</v>
      </c>
      <c r="CH66" s="87">
        <v>924</v>
      </c>
      <c r="CI66" s="87">
        <v>919</v>
      </c>
      <c r="CJ66" s="87">
        <v>946</v>
      </c>
      <c r="CK66" s="87">
        <v>748</v>
      </c>
      <c r="CL66" s="87">
        <v>644</v>
      </c>
      <c r="CM66" s="87">
        <v>707</v>
      </c>
      <c r="CN66" s="87">
        <v>592</v>
      </c>
      <c r="CO66" s="87">
        <v>536</v>
      </c>
      <c r="CP66" s="87">
        <v>472</v>
      </c>
      <c r="CQ66" s="87">
        <v>451</v>
      </c>
      <c r="CR66" s="87">
        <v>404</v>
      </c>
      <c r="CS66" s="87">
        <v>421</v>
      </c>
      <c r="CT66" s="87">
        <v>349</v>
      </c>
      <c r="CU66" s="87">
        <v>325</v>
      </c>
      <c r="CV66" s="87">
        <v>269</v>
      </c>
      <c r="CW66" s="87">
        <v>212</v>
      </c>
      <c r="CX66" s="87">
        <v>178</v>
      </c>
      <c r="CY66" s="87">
        <v>562</v>
      </c>
      <c r="CZ66" s="88">
        <v>1078</v>
      </c>
      <c r="DA66" s="88">
        <v>1147</v>
      </c>
      <c r="DB66" s="88">
        <v>1111</v>
      </c>
      <c r="DC66" s="88">
        <v>1253</v>
      </c>
      <c r="DD66" s="88">
        <v>1183</v>
      </c>
      <c r="DE66" s="88">
        <v>1245</v>
      </c>
      <c r="DF66" s="88">
        <v>1200</v>
      </c>
      <c r="DG66" s="88">
        <v>1233</v>
      </c>
      <c r="DH66" s="88">
        <v>1255</v>
      </c>
      <c r="DI66" s="88">
        <v>1293</v>
      </c>
      <c r="DJ66" s="88">
        <v>1235</v>
      </c>
      <c r="DK66" s="88">
        <v>1237</v>
      </c>
      <c r="DL66" s="88">
        <v>1253</v>
      </c>
      <c r="DM66" s="88">
        <v>1264</v>
      </c>
      <c r="DN66" s="88">
        <v>1238</v>
      </c>
      <c r="DO66" s="88">
        <v>1224</v>
      </c>
      <c r="DP66" s="88">
        <v>1224</v>
      </c>
      <c r="DQ66" s="88">
        <v>1146</v>
      </c>
      <c r="DR66" s="88">
        <v>1188</v>
      </c>
      <c r="DS66" s="88">
        <v>1442</v>
      </c>
      <c r="DT66" s="88">
        <v>1728</v>
      </c>
      <c r="DU66" s="88">
        <v>1557</v>
      </c>
      <c r="DV66" s="88">
        <v>1483</v>
      </c>
      <c r="DW66" s="88">
        <v>1378</v>
      </c>
      <c r="DX66" s="88">
        <v>1377</v>
      </c>
      <c r="DY66" s="88">
        <v>1370</v>
      </c>
      <c r="DZ66" s="88">
        <v>1376</v>
      </c>
      <c r="EA66" s="88">
        <v>1255</v>
      </c>
      <c r="EB66" s="88">
        <v>1431</v>
      </c>
      <c r="EC66" s="88">
        <v>1415</v>
      </c>
      <c r="ED66" s="88">
        <v>1446</v>
      </c>
      <c r="EE66" s="88">
        <v>1534</v>
      </c>
      <c r="EF66" s="88">
        <v>1527</v>
      </c>
      <c r="EG66" s="88">
        <v>1505</v>
      </c>
      <c r="EH66" s="88">
        <v>1502</v>
      </c>
      <c r="EI66" s="88">
        <v>1491</v>
      </c>
      <c r="EJ66" s="88">
        <v>1464</v>
      </c>
      <c r="EK66" s="88">
        <v>1340</v>
      </c>
      <c r="EL66" s="88">
        <v>1376</v>
      </c>
      <c r="EM66" s="88">
        <v>1351</v>
      </c>
      <c r="EN66" s="88">
        <v>1281</v>
      </c>
      <c r="EO66" s="88">
        <v>1373</v>
      </c>
      <c r="EP66" s="88">
        <v>1365</v>
      </c>
      <c r="EQ66" s="88">
        <v>1302</v>
      </c>
      <c r="ER66" s="88">
        <v>1144</v>
      </c>
      <c r="ES66" s="88">
        <v>1226</v>
      </c>
      <c r="ET66" s="88">
        <v>1227</v>
      </c>
      <c r="EU66" s="88">
        <v>1210</v>
      </c>
      <c r="EV66" s="88">
        <v>1219</v>
      </c>
      <c r="EW66" s="88">
        <v>1324</v>
      </c>
      <c r="EX66" s="88">
        <v>1359</v>
      </c>
      <c r="EY66" s="88">
        <v>1444</v>
      </c>
      <c r="EZ66" s="88">
        <v>1350</v>
      </c>
      <c r="FA66" s="88">
        <v>1475</v>
      </c>
      <c r="FB66" s="88">
        <v>1438</v>
      </c>
      <c r="FC66" s="88">
        <v>1378</v>
      </c>
      <c r="FD66" s="88">
        <v>1345</v>
      </c>
      <c r="FE66" s="88">
        <v>1396</v>
      </c>
      <c r="FF66" s="88">
        <v>1423</v>
      </c>
      <c r="FG66" s="88">
        <v>1381</v>
      </c>
      <c r="FH66" s="88">
        <v>1435</v>
      </c>
      <c r="FI66" s="88">
        <v>1314</v>
      </c>
      <c r="FJ66" s="88">
        <v>1238</v>
      </c>
      <c r="FK66" s="88">
        <v>1152</v>
      </c>
      <c r="FL66" s="88">
        <v>1123</v>
      </c>
      <c r="FM66" s="88">
        <v>1170</v>
      </c>
      <c r="FN66" s="88">
        <v>1074</v>
      </c>
      <c r="FO66" s="88">
        <v>1044</v>
      </c>
      <c r="FP66" s="88">
        <v>995</v>
      </c>
      <c r="FQ66" s="88">
        <v>959</v>
      </c>
      <c r="FR66" s="88">
        <v>966</v>
      </c>
      <c r="FS66" s="88">
        <v>974</v>
      </c>
      <c r="FT66" s="88">
        <v>967</v>
      </c>
      <c r="FU66" s="88">
        <v>948</v>
      </c>
      <c r="FV66" s="88">
        <v>1017</v>
      </c>
      <c r="FW66" s="88">
        <v>1121</v>
      </c>
      <c r="FX66" s="88">
        <v>771</v>
      </c>
      <c r="FY66" s="88">
        <v>792</v>
      </c>
      <c r="FZ66" s="88">
        <v>755</v>
      </c>
      <c r="GA66" s="88">
        <v>709</v>
      </c>
      <c r="GB66" s="88">
        <v>620</v>
      </c>
      <c r="GC66" s="88">
        <v>560</v>
      </c>
      <c r="GD66" s="88">
        <v>581</v>
      </c>
      <c r="GE66" s="88">
        <v>580</v>
      </c>
      <c r="GF66" s="88">
        <v>493</v>
      </c>
      <c r="GG66" s="88">
        <v>437</v>
      </c>
      <c r="GH66" s="88">
        <v>408</v>
      </c>
      <c r="GI66" s="88">
        <v>426</v>
      </c>
      <c r="GJ66" s="88">
        <v>298</v>
      </c>
      <c r="GK66" s="88">
        <v>299</v>
      </c>
      <c r="GL66" s="89">
        <v>1193</v>
      </c>
    </row>
    <row r="67" spans="1:194" s="1" customFormat="1" x14ac:dyDescent="0.2">
      <c r="A67" s="90" t="s">
        <v>94</v>
      </c>
      <c r="B67" s="146" t="s">
        <v>152</v>
      </c>
      <c r="C67" s="30" t="str">
        <f t="shared" si="4"/>
        <v xml:space="preserve">England – CCGs - Halton </v>
      </c>
      <c r="D67" s="51">
        <f t="shared" si="7"/>
        <v>54028</v>
      </c>
      <c r="E67" s="51">
        <f t="shared" si="7"/>
        <v>57058</v>
      </c>
      <c r="F67" s="52">
        <f t="shared" si="8"/>
        <v>128964</v>
      </c>
      <c r="G67" s="52">
        <f t="shared" si="9"/>
        <v>63227</v>
      </c>
      <c r="H67" s="52">
        <f t="shared" si="10"/>
        <v>65737</v>
      </c>
      <c r="I67" s="697">
        <f t="shared" si="5"/>
        <v>54028</v>
      </c>
      <c r="J67" s="53">
        <f t="shared" si="6"/>
        <v>57058</v>
      </c>
      <c r="K67" s="50">
        <f t="shared" si="11"/>
        <v>14135</v>
      </c>
      <c r="L67" s="51">
        <f t="shared" si="12"/>
        <v>13411</v>
      </c>
      <c r="M67" s="87">
        <v>669</v>
      </c>
      <c r="N67" s="87">
        <v>709</v>
      </c>
      <c r="O67" s="87">
        <v>731</v>
      </c>
      <c r="P67" s="87">
        <v>701</v>
      </c>
      <c r="Q67" s="87">
        <v>728</v>
      </c>
      <c r="R67" s="87">
        <v>769</v>
      </c>
      <c r="S67" s="87">
        <v>800</v>
      </c>
      <c r="T67" s="87">
        <v>787</v>
      </c>
      <c r="U67" s="87">
        <v>799</v>
      </c>
      <c r="V67" s="87">
        <v>814</v>
      </c>
      <c r="W67" s="87">
        <v>881</v>
      </c>
      <c r="X67" s="87">
        <v>811</v>
      </c>
      <c r="Y67" s="87">
        <v>824</v>
      </c>
      <c r="Z67" s="87">
        <v>790</v>
      </c>
      <c r="AA67" s="87">
        <v>837</v>
      </c>
      <c r="AB67" s="87">
        <v>826</v>
      </c>
      <c r="AC67" s="87">
        <v>861</v>
      </c>
      <c r="AD67" s="87">
        <v>798</v>
      </c>
      <c r="AE67" s="87">
        <v>773</v>
      </c>
      <c r="AF67" s="87">
        <v>602</v>
      </c>
      <c r="AG67" s="87">
        <v>593</v>
      </c>
      <c r="AH67" s="87">
        <v>624</v>
      </c>
      <c r="AI67" s="87">
        <v>737</v>
      </c>
      <c r="AJ67" s="87">
        <v>771</v>
      </c>
      <c r="AK67" s="87">
        <v>723</v>
      </c>
      <c r="AL67" s="87">
        <v>702</v>
      </c>
      <c r="AM67" s="87">
        <v>708</v>
      </c>
      <c r="AN67" s="87">
        <v>756</v>
      </c>
      <c r="AO67" s="87">
        <v>800</v>
      </c>
      <c r="AP67" s="87">
        <v>759</v>
      </c>
      <c r="AQ67" s="87">
        <v>841</v>
      </c>
      <c r="AR67" s="87">
        <v>841</v>
      </c>
      <c r="AS67" s="87">
        <v>787</v>
      </c>
      <c r="AT67" s="87">
        <v>791</v>
      </c>
      <c r="AU67" s="87">
        <v>846</v>
      </c>
      <c r="AV67" s="87">
        <v>785</v>
      </c>
      <c r="AW67" s="87">
        <v>816</v>
      </c>
      <c r="AX67" s="87">
        <v>847</v>
      </c>
      <c r="AY67" s="87">
        <v>836</v>
      </c>
      <c r="AZ67" s="87">
        <v>853</v>
      </c>
      <c r="BA67" s="87">
        <v>844</v>
      </c>
      <c r="BB67" s="87">
        <v>813</v>
      </c>
      <c r="BC67" s="87">
        <v>782</v>
      </c>
      <c r="BD67" s="87">
        <v>848</v>
      </c>
      <c r="BE67" s="87">
        <v>705</v>
      </c>
      <c r="BF67" s="87">
        <v>783</v>
      </c>
      <c r="BG67" s="87">
        <v>836</v>
      </c>
      <c r="BH67" s="87">
        <v>797</v>
      </c>
      <c r="BI67" s="87">
        <v>750</v>
      </c>
      <c r="BJ67" s="87">
        <v>807</v>
      </c>
      <c r="BK67" s="87">
        <v>874</v>
      </c>
      <c r="BL67" s="87">
        <v>896</v>
      </c>
      <c r="BM67" s="87">
        <v>938</v>
      </c>
      <c r="BN67" s="87">
        <v>889</v>
      </c>
      <c r="BO67" s="87">
        <v>832</v>
      </c>
      <c r="BP67" s="87">
        <v>900</v>
      </c>
      <c r="BQ67" s="87">
        <v>874</v>
      </c>
      <c r="BR67" s="87">
        <v>898</v>
      </c>
      <c r="BS67" s="87">
        <v>905</v>
      </c>
      <c r="BT67" s="87">
        <v>882</v>
      </c>
      <c r="BU67" s="87">
        <v>906</v>
      </c>
      <c r="BV67" s="87">
        <v>823</v>
      </c>
      <c r="BW67" s="87">
        <v>742</v>
      </c>
      <c r="BX67" s="87">
        <v>839</v>
      </c>
      <c r="BY67" s="87">
        <v>746</v>
      </c>
      <c r="BZ67" s="87">
        <v>725</v>
      </c>
      <c r="CA67" s="87">
        <v>710</v>
      </c>
      <c r="CB67" s="87">
        <v>669</v>
      </c>
      <c r="CC67" s="87">
        <v>691</v>
      </c>
      <c r="CD67" s="87">
        <v>655</v>
      </c>
      <c r="CE67" s="87">
        <v>668</v>
      </c>
      <c r="CF67" s="87">
        <v>684</v>
      </c>
      <c r="CG67" s="87">
        <v>663</v>
      </c>
      <c r="CH67" s="87">
        <v>657</v>
      </c>
      <c r="CI67" s="87">
        <v>645</v>
      </c>
      <c r="CJ67" s="87">
        <v>681</v>
      </c>
      <c r="CK67" s="87">
        <v>476</v>
      </c>
      <c r="CL67" s="87">
        <v>389</v>
      </c>
      <c r="CM67" s="87">
        <v>425</v>
      </c>
      <c r="CN67" s="87">
        <v>363</v>
      </c>
      <c r="CO67" s="87">
        <v>337</v>
      </c>
      <c r="CP67" s="87">
        <v>281</v>
      </c>
      <c r="CQ67" s="87">
        <v>251</v>
      </c>
      <c r="CR67" s="87">
        <v>231</v>
      </c>
      <c r="CS67" s="87">
        <v>208</v>
      </c>
      <c r="CT67" s="87">
        <v>185</v>
      </c>
      <c r="CU67" s="87">
        <v>160</v>
      </c>
      <c r="CV67" s="87">
        <v>173</v>
      </c>
      <c r="CW67" s="87">
        <v>95</v>
      </c>
      <c r="CX67" s="87">
        <v>101</v>
      </c>
      <c r="CY67" s="87">
        <v>269</v>
      </c>
      <c r="CZ67" s="88">
        <v>649</v>
      </c>
      <c r="DA67" s="88">
        <v>641</v>
      </c>
      <c r="DB67" s="88">
        <v>658</v>
      </c>
      <c r="DC67" s="88">
        <v>661</v>
      </c>
      <c r="DD67" s="88">
        <v>702</v>
      </c>
      <c r="DE67" s="88">
        <v>730</v>
      </c>
      <c r="DF67" s="88">
        <v>719</v>
      </c>
      <c r="DG67" s="88">
        <v>792</v>
      </c>
      <c r="DH67" s="88">
        <v>763</v>
      </c>
      <c r="DI67" s="88">
        <v>788</v>
      </c>
      <c r="DJ67" s="88">
        <v>780</v>
      </c>
      <c r="DK67" s="88">
        <v>796</v>
      </c>
      <c r="DL67" s="88">
        <v>836</v>
      </c>
      <c r="DM67" s="88">
        <v>791</v>
      </c>
      <c r="DN67" s="88">
        <v>807</v>
      </c>
      <c r="DO67" s="88">
        <v>755</v>
      </c>
      <c r="DP67" s="88">
        <v>804</v>
      </c>
      <c r="DQ67" s="88">
        <v>739</v>
      </c>
      <c r="DR67" s="88">
        <v>704</v>
      </c>
      <c r="DS67" s="88">
        <v>506</v>
      </c>
      <c r="DT67" s="88">
        <v>555</v>
      </c>
      <c r="DU67" s="88">
        <v>647</v>
      </c>
      <c r="DV67" s="88">
        <v>641</v>
      </c>
      <c r="DW67" s="88">
        <v>693</v>
      </c>
      <c r="DX67" s="88">
        <v>706</v>
      </c>
      <c r="DY67" s="88">
        <v>736</v>
      </c>
      <c r="DZ67" s="88">
        <v>733</v>
      </c>
      <c r="EA67" s="88">
        <v>791</v>
      </c>
      <c r="EB67" s="88">
        <v>830</v>
      </c>
      <c r="EC67" s="88">
        <v>813</v>
      </c>
      <c r="ED67" s="88">
        <v>902</v>
      </c>
      <c r="EE67" s="88">
        <v>913</v>
      </c>
      <c r="EF67" s="88">
        <v>889</v>
      </c>
      <c r="EG67" s="88">
        <v>870</v>
      </c>
      <c r="EH67" s="88">
        <v>982</v>
      </c>
      <c r="EI67" s="88">
        <v>976</v>
      </c>
      <c r="EJ67" s="88">
        <v>874</v>
      </c>
      <c r="EK67" s="88">
        <v>885</v>
      </c>
      <c r="EL67" s="88">
        <v>930</v>
      </c>
      <c r="EM67" s="88">
        <v>871</v>
      </c>
      <c r="EN67" s="88">
        <v>827</v>
      </c>
      <c r="EO67" s="88">
        <v>892</v>
      </c>
      <c r="EP67" s="88">
        <v>894</v>
      </c>
      <c r="EQ67" s="88">
        <v>802</v>
      </c>
      <c r="ER67" s="88">
        <v>750</v>
      </c>
      <c r="ES67" s="88">
        <v>756</v>
      </c>
      <c r="ET67" s="88">
        <v>763</v>
      </c>
      <c r="EU67" s="88">
        <v>824</v>
      </c>
      <c r="EV67" s="88">
        <v>829</v>
      </c>
      <c r="EW67" s="88">
        <v>909</v>
      </c>
      <c r="EX67" s="88">
        <v>880</v>
      </c>
      <c r="EY67" s="88">
        <v>954</v>
      </c>
      <c r="EZ67" s="88">
        <v>876</v>
      </c>
      <c r="FA67" s="88">
        <v>865</v>
      </c>
      <c r="FB67" s="88">
        <v>950</v>
      </c>
      <c r="FC67" s="88">
        <v>932</v>
      </c>
      <c r="FD67" s="88">
        <v>898</v>
      </c>
      <c r="FE67" s="88">
        <v>923</v>
      </c>
      <c r="FF67" s="88">
        <v>889</v>
      </c>
      <c r="FG67" s="88">
        <v>920</v>
      </c>
      <c r="FH67" s="88">
        <v>985</v>
      </c>
      <c r="FI67" s="88">
        <v>891</v>
      </c>
      <c r="FJ67" s="88">
        <v>835</v>
      </c>
      <c r="FK67" s="88">
        <v>874</v>
      </c>
      <c r="FL67" s="88">
        <v>853</v>
      </c>
      <c r="FM67" s="88">
        <v>769</v>
      </c>
      <c r="FN67" s="88">
        <v>822</v>
      </c>
      <c r="FO67" s="88">
        <v>782</v>
      </c>
      <c r="FP67" s="88">
        <v>716</v>
      </c>
      <c r="FQ67" s="88">
        <v>719</v>
      </c>
      <c r="FR67" s="88">
        <v>691</v>
      </c>
      <c r="FS67" s="88">
        <v>725</v>
      </c>
      <c r="FT67" s="88">
        <v>704</v>
      </c>
      <c r="FU67" s="88">
        <v>707</v>
      </c>
      <c r="FV67" s="88">
        <v>745</v>
      </c>
      <c r="FW67" s="88">
        <v>769</v>
      </c>
      <c r="FX67" s="88">
        <v>495</v>
      </c>
      <c r="FY67" s="88">
        <v>435</v>
      </c>
      <c r="FZ67" s="88">
        <v>444</v>
      </c>
      <c r="GA67" s="88">
        <v>405</v>
      </c>
      <c r="GB67" s="88">
        <v>376</v>
      </c>
      <c r="GC67" s="88">
        <v>315</v>
      </c>
      <c r="GD67" s="88">
        <v>322</v>
      </c>
      <c r="GE67" s="88">
        <v>319</v>
      </c>
      <c r="GF67" s="88">
        <v>266</v>
      </c>
      <c r="GG67" s="88">
        <v>254</v>
      </c>
      <c r="GH67" s="88">
        <v>225</v>
      </c>
      <c r="GI67" s="88">
        <v>207</v>
      </c>
      <c r="GJ67" s="88">
        <v>195</v>
      </c>
      <c r="GK67" s="88">
        <v>147</v>
      </c>
      <c r="GL67" s="89">
        <v>554</v>
      </c>
    </row>
    <row r="68" spans="1:194" s="1" customFormat="1" x14ac:dyDescent="0.2">
      <c r="A68" s="90" t="s">
        <v>94</v>
      </c>
      <c r="B68" s="146" t="s">
        <v>153</v>
      </c>
      <c r="C68" s="30" t="str">
        <f t="shared" si="4"/>
        <v xml:space="preserve">England – CCGs - Hampshire, Southampton and Isle of Wight </v>
      </c>
      <c r="D68" s="51">
        <f t="shared" si="7"/>
        <v>692070</v>
      </c>
      <c r="E68" s="51">
        <f t="shared" si="7"/>
        <v>731950</v>
      </c>
      <c r="F68" s="52">
        <f t="shared" si="8"/>
        <v>1633632</v>
      </c>
      <c r="G68" s="52">
        <f t="shared" si="9"/>
        <v>799558</v>
      </c>
      <c r="H68" s="52">
        <f t="shared" si="10"/>
        <v>834074</v>
      </c>
      <c r="I68" s="697">
        <f t="shared" si="5"/>
        <v>692070</v>
      </c>
      <c r="J68" s="53">
        <f t="shared" si="6"/>
        <v>731950</v>
      </c>
      <c r="K68" s="50">
        <f t="shared" si="11"/>
        <v>163718</v>
      </c>
      <c r="L68" s="51">
        <f t="shared" si="12"/>
        <v>155641</v>
      </c>
      <c r="M68" s="87">
        <v>7782</v>
      </c>
      <c r="N68" s="87">
        <v>7901</v>
      </c>
      <c r="O68" s="87">
        <v>8248</v>
      </c>
      <c r="P68" s="87">
        <v>8391</v>
      </c>
      <c r="Q68" s="87">
        <v>8506</v>
      </c>
      <c r="R68" s="87">
        <v>8913</v>
      </c>
      <c r="S68" s="87">
        <v>9331</v>
      </c>
      <c r="T68" s="87">
        <v>9284</v>
      </c>
      <c r="U68" s="87">
        <v>9300</v>
      </c>
      <c r="V68" s="87">
        <v>9702</v>
      </c>
      <c r="W68" s="87">
        <v>10125</v>
      </c>
      <c r="X68" s="87">
        <v>10005</v>
      </c>
      <c r="Y68" s="87">
        <v>9568</v>
      </c>
      <c r="Z68" s="87">
        <v>9588</v>
      </c>
      <c r="AA68" s="87">
        <v>9607</v>
      </c>
      <c r="AB68" s="87">
        <v>9153</v>
      </c>
      <c r="AC68" s="87">
        <v>9176</v>
      </c>
      <c r="AD68" s="87">
        <v>9138</v>
      </c>
      <c r="AE68" s="87">
        <v>9251</v>
      </c>
      <c r="AF68" s="87">
        <v>9496</v>
      </c>
      <c r="AG68" s="87">
        <v>9060</v>
      </c>
      <c r="AH68" s="87">
        <v>9160</v>
      </c>
      <c r="AI68" s="87">
        <v>9084</v>
      </c>
      <c r="AJ68" s="87">
        <v>9807</v>
      </c>
      <c r="AK68" s="87">
        <v>9581</v>
      </c>
      <c r="AL68" s="87">
        <v>9437</v>
      </c>
      <c r="AM68" s="87">
        <v>9270</v>
      </c>
      <c r="AN68" s="87">
        <v>9437</v>
      </c>
      <c r="AO68" s="87">
        <v>9351</v>
      </c>
      <c r="AP68" s="87">
        <v>9245</v>
      </c>
      <c r="AQ68" s="87">
        <v>9687</v>
      </c>
      <c r="AR68" s="87">
        <v>9920</v>
      </c>
      <c r="AS68" s="87">
        <v>10183</v>
      </c>
      <c r="AT68" s="87">
        <v>10130</v>
      </c>
      <c r="AU68" s="87">
        <v>10033</v>
      </c>
      <c r="AV68" s="87">
        <v>9956</v>
      </c>
      <c r="AW68" s="87">
        <v>9986</v>
      </c>
      <c r="AX68" s="87">
        <v>10108</v>
      </c>
      <c r="AY68" s="87">
        <v>9705</v>
      </c>
      <c r="AZ68" s="87">
        <v>9901</v>
      </c>
      <c r="BA68" s="87">
        <v>9743</v>
      </c>
      <c r="BB68" s="87">
        <v>9891</v>
      </c>
      <c r="BC68" s="87">
        <v>10069</v>
      </c>
      <c r="BD68" s="87">
        <v>9630</v>
      </c>
      <c r="BE68" s="87">
        <v>9284</v>
      </c>
      <c r="BF68" s="87">
        <v>9084</v>
      </c>
      <c r="BG68" s="87">
        <v>9197</v>
      </c>
      <c r="BH68" s="87">
        <v>9659</v>
      </c>
      <c r="BI68" s="87">
        <v>9675</v>
      </c>
      <c r="BJ68" s="87">
        <v>10343</v>
      </c>
      <c r="BK68" s="87">
        <v>10494</v>
      </c>
      <c r="BL68" s="87">
        <v>11026</v>
      </c>
      <c r="BM68" s="87">
        <v>10882</v>
      </c>
      <c r="BN68" s="87">
        <v>10971</v>
      </c>
      <c r="BO68" s="87">
        <v>10996</v>
      </c>
      <c r="BP68" s="87">
        <v>11461</v>
      </c>
      <c r="BQ68" s="87">
        <v>11294</v>
      </c>
      <c r="BR68" s="87">
        <v>11578</v>
      </c>
      <c r="BS68" s="87">
        <v>11414</v>
      </c>
      <c r="BT68" s="87">
        <v>11289</v>
      </c>
      <c r="BU68" s="87">
        <v>11009</v>
      </c>
      <c r="BV68" s="87">
        <v>10542</v>
      </c>
      <c r="BW68" s="87">
        <v>10292</v>
      </c>
      <c r="BX68" s="87">
        <v>10100</v>
      </c>
      <c r="BY68" s="87">
        <v>9819</v>
      </c>
      <c r="BZ68" s="87">
        <v>9370</v>
      </c>
      <c r="CA68" s="87">
        <v>9195</v>
      </c>
      <c r="CB68" s="87">
        <v>8624</v>
      </c>
      <c r="CC68" s="87">
        <v>8584</v>
      </c>
      <c r="CD68" s="87">
        <v>8304</v>
      </c>
      <c r="CE68" s="87">
        <v>8040</v>
      </c>
      <c r="CF68" s="87">
        <v>7980</v>
      </c>
      <c r="CG68" s="87">
        <v>8121</v>
      </c>
      <c r="CH68" s="87">
        <v>8422</v>
      </c>
      <c r="CI68" s="87">
        <v>8847</v>
      </c>
      <c r="CJ68" s="87">
        <v>9877</v>
      </c>
      <c r="CK68" s="87">
        <v>7492</v>
      </c>
      <c r="CL68" s="87">
        <v>7195</v>
      </c>
      <c r="CM68" s="87">
        <v>6758</v>
      </c>
      <c r="CN68" s="87">
        <v>6097</v>
      </c>
      <c r="CO68" s="87">
        <v>5156</v>
      </c>
      <c r="CP68" s="87">
        <v>4403</v>
      </c>
      <c r="CQ68" s="87">
        <v>4491</v>
      </c>
      <c r="CR68" s="87">
        <v>4128</v>
      </c>
      <c r="CS68" s="87">
        <v>3689</v>
      </c>
      <c r="CT68" s="87">
        <v>3320</v>
      </c>
      <c r="CU68" s="87">
        <v>3035</v>
      </c>
      <c r="CV68" s="87">
        <v>2587</v>
      </c>
      <c r="CW68" s="87">
        <v>2226</v>
      </c>
      <c r="CX68" s="87">
        <v>1877</v>
      </c>
      <c r="CY68" s="87">
        <v>6492</v>
      </c>
      <c r="CZ68" s="88">
        <v>7404</v>
      </c>
      <c r="DA68" s="88">
        <v>7450</v>
      </c>
      <c r="DB68" s="88">
        <v>7879</v>
      </c>
      <c r="DC68" s="88">
        <v>8180</v>
      </c>
      <c r="DD68" s="88">
        <v>8166</v>
      </c>
      <c r="DE68" s="88">
        <v>8549</v>
      </c>
      <c r="DF68" s="88">
        <v>8781</v>
      </c>
      <c r="DG68" s="88">
        <v>8742</v>
      </c>
      <c r="DH68" s="88">
        <v>8849</v>
      </c>
      <c r="DI68" s="88">
        <v>9280</v>
      </c>
      <c r="DJ68" s="88">
        <v>9440</v>
      </c>
      <c r="DK68" s="88">
        <v>9404</v>
      </c>
      <c r="DL68" s="88">
        <v>9294</v>
      </c>
      <c r="DM68" s="88">
        <v>9165</v>
      </c>
      <c r="DN68" s="88">
        <v>9096</v>
      </c>
      <c r="DO68" s="88">
        <v>8782</v>
      </c>
      <c r="DP68" s="88">
        <v>8628</v>
      </c>
      <c r="DQ68" s="88">
        <v>8552</v>
      </c>
      <c r="DR68" s="88">
        <v>8571</v>
      </c>
      <c r="DS68" s="88">
        <v>8463</v>
      </c>
      <c r="DT68" s="88">
        <v>8267</v>
      </c>
      <c r="DU68" s="88">
        <v>8436</v>
      </c>
      <c r="DV68" s="88">
        <v>8547</v>
      </c>
      <c r="DW68" s="88">
        <v>9301</v>
      </c>
      <c r="DX68" s="88">
        <v>9094</v>
      </c>
      <c r="DY68" s="88">
        <v>9273</v>
      </c>
      <c r="DZ68" s="88">
        <v>9064</v>
      </c>
      <c r="EA68" s="88">
        <v>9424</v>
      </c>
      <c r="EB68" s="88">
        <v>9518</v>
      </c>
      <c r="EC68" s="88">
        <v>9926</v>
      </c>
      <c r="ED68" s="88">
        <v>10196</v>
      </c>
      <c r="EE68" s="88">
        <v>10542</v>
      </c>
      <c r="EF68" s="88">
        <v>10519</v>
      </c>
      <c r="EG68" s="88">
        <v>10760</v>
      </c>
      <c r="EH68" s="88">
        <v>10767</v>
      </c>
      <c r="EI68" s="88">
        <v>10830</v>
      </c>
      <c r="EJ68" s="88">
        <v>10450</v>
      </c>
      <c r="EK68" s="88">
        <v>10412</v>
      </c>
      <c r="EL68" s="88">
        <v>10119</v>
      </c>
      <c r="EM68" s="88">
        <v>10224</v>
      </c>
      <c r="EN68" s="88">
        <v>10156</v>
      </c>
      <c r="EO68" s="88">
        <v>10550</v>
      </c>
      <c r="EP68" s="88">
        <v>10569</v>
      </c>
      <c r="EQ68" s="88">
        <v>10151</v>
      </c>
      <c r="ER68" s="88">
        <v>9618</v>
      </c>
      <c r="ES68" s="88">
        <v>9479</v>
      </c>
      <c r="ET68" s="88">
        <v>9598</v>
      </c>
      <c r="EU68" s="88">
        <v>10067</v>
      </c>
      <c r="EV68" s="88">
        <v>10141</v>
      </c>
      <c r="EW68" s="88">
        <v>10565</v>
      </c>
      <c r="EX68" s="88">
        <v>10964</v>
      </c>
      <c r="EY68" s="88">
        <v>11678</v>
      </c>
      <c r="EZ68" s="88">
        <v>11062</v>
      </c>
      <c r="FA68" s="88">
        <v>11489</v>
      </c>
      <c r="FB68" s="88">
        <v>11895</v>
      </c>
      <c r="FC68" s="88">
        <v>11921</v>
      </c>
      <c r="FD68" s="88">
        <v>11825</v>
      </c>
      <c r="FE68" s="88">
        <v>12207</v>
      </c>
      <c r="FF68" s="88">
        <v>11980</v>
      </c>
      <c r="FG68" s="88">
        <v>11975</v>
      </c>
      <c r="FH68" s="88">
        <v>11298</v>
      </c>
      <c r="FI68" s="88">
        <v>11111</v>
      </c>
      <c r="FJ68" s="88">
        <v>10646</v>
      </c>
      <c r="FK68" s="88">
        <v>10493</v>
      </c>
      <c r="FL68" s="88">
        <v>10094</v>
      </c>
      <c r="FM68" s="88">
        <v>9840</v>
      </c>
      <c r="FN68" s="88">
        <v>9205</v>
      </c>
      <c r="FO68" s="88">
        <v>9087</v>
      </c>
      <c r="FP68" s="88">
        <v>9056</v>
      </c>
      <c r="FQ68" s="88">
        <v>9015</v>
      </c>
      <c r="FR68" s="88">
        <v>8918</v>
      </c>
      <c r="FS68" s="88">
        <v>8855</v>
      </c>
      <c r="FT68" s="88">
        <v>9109</v>
      </c>
      <c r="FU68" s="88">
        <v>9521</v>
      </c>
      <c r="FV68" s="88">
        <v>10028</v>
      </c>
      <c r="FW68" s="88">
        <v>11056</v>
      </c>
      <c r="FX68" s="88">
        <v>8503</v>
      </c>
      <c r="FY68" s="88">
        <v>8017</v>
      </c>
      <c r="FZ68" s="88">
        <v>7719</v>
      </c>
      <c r="GA68" s="88">
        <v>7232</v>
      </c>
      <c r="GB68" s="88">
        <v>6257</v>
      </c>
      <c r="GC68" s="88">
        <v>5285</v>
      </c>
      <c r="GD68" s="88">
        <v>5524</v>
      </c>
      <c r="GE68" s="88">
        <v>5305</v>
      </c>
      <c r="GF68" s="88">
        <v>5134</v>
      </c>
      <c r="GG68" s="88">
        <v>4588</v>
      </c>
      <c r="GH68" s="88">
        <v>4143</v>
      </c>
      <c r="GI68" s="88">
        <v>3748</v>
      </c>
      <c r="GJ68" s="88">
        <v>3230</v>
      </c>
      <c r="GK68" s="88">
        <v>2987</v>
      </c>
      <c r="GL68" s="89">
        <v>12836</v>
      </c>
    </row>
    <row r="69" spans="1:194" s="1" customFormat="1" x14ac:dyDescent="0.2">
      <c r="A69" s="90" t="s">
        <v>94</v>
      </c>
      <c r="B69" s="146" t="s">
        <v>154</v>
      </c>
      <c r="C69" s="30" t="str">
        <f t="shared" si="4"/>
        <v xml:space="preserve">England – CCGs - Herefordshire and Worcestershire </v>
      </c>
      <c r="D69" s="51">
        <f t="shared" si="7"/>
        <v>339746</v>
      </c>
      <c r="E69" s="51">
        <f t="shared" si="7"/>
        <v>359217</v>
      </c>
      <c r="F69" s="52">
        <f t="shared" si="8"/>
        <v>797935</v>
      </c>
      <c r="G69" s="52">
        <f t="shared" si="9"/>
        <v>390507</v>
      </c>
      <c r="H69" s="52">
        <f t="shared" si="10"/>
        <v>407428</v>
      </c>
      <c r="I69" s="697">
        <f t="shared" si="5"/>
        <v>339746</v>
      </c>
      <c r="J69" s="53">
        <f t="shared" si="6"/>
        <v>359217</v>
      </c>
      <c r="K69" s="50">
        <f t="shared" si="11"/>
        <v>78736</v>
      </c>
      <c r="L69" s="51">
        <f t="shared" si="12"/>
        <v>74229</v>
      </c>
      <c r="M69" s="87">
        <v>3600</v>
      </c>
      <c r="N69" s="87">
        <v>3677</v>
      </c>
      <c r="O69" s="87">
        <v>3834</v>
      </c>
      <c r="P69" s="87">
        <v>4023</v>
      </c>
      <c r="Q69" s="87">
        <v>4164</v>
      </c>
      <c r="R69" s="87">
        <v>4148</v>
      </c>
      <c r="S69" s="87">
        <v>4390</v>
      </c>
      <c r="T69" s="87">
        <v>4439</v>
      </c>
      <c r="U69" s="87">
        <v>4424</v>
      </c>
      <c r="V69" s="87">
        <v>4665</v>
      </c>
      <c r="W69" s="87">
        <v>4679</v>
      </c>
      <c r="X69" s="87">
        <v>4718</v>
      </c>
      <c r="Y69" s="87">
        <v>4710</v>
      </c>
      <c r="Z69" s="87">
        <v>4723</v>
      </c>
      <c r="AA69" s="87">
        <v>4783</v>
      </c>
      <c r="AB69" s="87">
        <v>4643</v>
      </c>
      <c r="AC69" s="87">
        <v>4464</v>
      </c>
      <c r="AD69" s="87">
        <v>4652</v>
      </c>
      <c r="AE69" s="87">
        <v>4490</v>
      </c>
      <c r="AF69" s="87">
        <v>3399</v>
      </c>
      <c r="AG69" s="87">
        <v>3359</v>
      </c>
      <c r="AH69" s="87">
        <v>3491</v>
      </c>
      <c r="AI69" s="87">
        <v>3729</v>
      </c>
      <c r="AJ69" s="87">
        <v>3997</v>
      </c>
      <c r="AK69" s="87">
        <v>4215</v>
      </c>
      <c r="AL69" s="87">
        <v>4132</v>
      </c>
      <c r="AM69" s="87">
        <v>4006</v>
      </c>
      <c r="AN69" s="87">
        <v>4154</v>
      </c>
      <c r="AO69" s="87">
        <v>4212</v>
      </c>
      <c r="AP69" s="87">
        <v>4355</v>
      </c>
      <c r="AQ69" s="87">
        <v>4552</v>
      </c>
      <c r="AR69" s="87">
        <v>4570</v>
      </c>
      <c r="AS69" s="87">
        <v>4782</v>
      </c>
      <c r="AT69" s="87">
        <v>4696</v>
      </c>
      <c r="AU69" s="87">
        <v>4678</v>
      </c>
      <c r="AV69" s="87">
        <v>4693</v>
      </c>
      <c r="AW69" s="87">
        <v>4581</v>
      </c>
      <c r="AX69" s="87">
        <v>4643</v>
      </c>
      <c r="AY69" s="87">
        <v>4483</v>
      </c>
      <c r="AZ69" s="87">
        <v>4542</v>
      </c>
      <c r="BA69" s="87">
        <v>4519</v>
      </c>
      <c r="BB69" s="87">
        <v>4667</v>
      </c>
      <c r="BC69" s="87">
        <v>4714</v>
      </c>
      <c r="BD69" s="87">
        <v>4525</v>
      </c>
      <c r="BE69" s="87">
        <v>4193</v>
      </c>
      <c r="BF69" s="87">
        <v>4300</v>
      </c>
      <c r="BG69" s="87">
        <v>4359</v>
      </c>
      <c r="BH69" s="87">
        <v>4630</v>
      </c>
      <c r="BI69" s="87">
        <v>4805</v>
      </c>
      <c r="BJ69" s="87">
        <v>4966</v>
      </c>
      <c r="BK69" s="87">
        <v>5262</v>
      </c>
      <c r="BL69" s="87">
        <v>5496</v>
      </c>
      <c r="BM69" s="87">
        <v>5496</v>
      </c>
      <c r="BN69" s="87">
        <v>5698</v>
      </c>
      <c r="BO69" s="87">
        <v>5667</v>
      </c>
      <c r="BP69" s="87">
        <v>6038</v>
      </c>
      <c r="BQ69" s="87">
        <v>5928</v>
      </c>
      <c r="BR69" s="87">
        <v>5929</v>
      </c>
      <c r="BS69" s="87">
        <v>5810</v>
      </c>
      <c r="BT69" s="87">
        <v>5808</v>
      </c>
      <c r="BU69" s="87">
        <v>5711</v>
      </c>
      <c r="BV69" s="87">
        <v>5450</v>
      </c>
      <c r="BW69" s="87">
        <v>5304</v>
      </c>
      <c r="BX69" s="87">
        <v>5161</v>
      </c>
      <c r="BY69" s="87">
        <v>5104</v>
      </c>
      <c r="BZ69" s="87">
        <v>4744</v>
      </c>
      <c r="CA69" s="87">
        <v>4676</v>
      </c>
      <c r="CB69" s="87">
        <v>4527</v>
      </c>
      <c r="CC69" s="87">
        <v>4648</v>
      </c>
      <c r="CD69" s="87">
        <v>4664</v>
      </c>
      <c r="CE69" s="87">
        <v>4559</v>
      </c>
      <c r="CF69" s="87">
        <v>4460</v>
      </c>
      <c r="CG69" s="87">
        <v>4623</v>
      </c>
      <c r="CH69" s="87">
        <v>4831</v>
      </c>
      <c r="CI69" s="87">
        <v>4897</v>
      </c>
      <c r="CJ69" s="87">
        <v>5174</v>
      </c>
      <c r="CK69" s="87">
        <v>3928</v>
      </c>
      <c r="CL69" s="87">
        <v>3795</v>
      </c>
      <c r="CM69" s="87">
        <v>3832</v>
      </c>
      <c r="CN69" s="87">
        <v>3279</v>
      </c>
      <c r="CO69" s="87">
        <v>2857</v>
      </c>
      <c r="CP69" s="87">
        <v>2418</v>
      </c>
      <c r="CQ69" s="87">
        <v>2365</v>
      </c>
      <c r="CR69" s="87">
        <v>2321</v>
      </c>
      <c r="CS69" s="87">
        <v>1967</v>
      </c>
      <c r="CT69" s="87">
        <v>1894</v>
      </c>
      <c r="CU69" s="87">
        <v>1498</v>
      </c>
      <c r="CV69" s="87">
        <v>1373</v>
      </c>
      <c r="CW69" s="87">
        <v>1114</v>
      </c>
      <c r="CX69" s="87">
        <v>899</v>
      </c>
      <c r="CY69" s="87">
        <v>3129</v>
      </c>
      <c r="CZ69" s="88">
        <v>3391</v>
      </c>
      <c r="DA69" s="88">
        <v>3544</v>
      </c>
      <c r="DB69" s="88">
        <v>3630</v>
      </c>
      <c r="DC69" s="88">
        <v>3924</v>
      </c>
      <c r="DD69" s="88">
        <v>3963</v>
      </c>
      <c r="DE69" s="88">
        <v>4051</v>
      </c>
      <c r="DF69" s="88">
        <v>4115</v>
      </c>
      <c r="DG69" s="88">
        <v>3982</v>
      </c>
      <c r="DH69" s="88">
        <v>4199</v>
      </c>
      <c r="DI69" s="88">
        <v>4431</v>
      </c>
      <c r="DJ69" s="88">
        <v>4483</v>
      </c>
      <c r="DK69" s="88">
        <v>4498</v>
      </c>
      <c r="DL69" s="88">
        <v>4352</v>
      </c>
      <c r="DM69" s="88">
        <v>4305</v>
      </c>
      <c r="DN69" s="88">
        <v>4390</v>
      </c>
      <c r="DO69" s="88">
        <v>4407</v>
      </c>
      <c r="DP69" s="88">
        <v>4291</v>
      </c>
      <c r="DQ69" s="88">
        <v>4273</v>
      </c>
      <c r="DR69" s="88">
        <v>4129</v>
      </c>
      <c r="DS69" s="88">
        <v>3158</v>
      </c>
      <c r="DT69" s="88">
        <v>3213</v>
      </c>
      <c r="DU69" s="88">
        <v>3452</v>
      </c>
      <c r="DV69" s="88">
        <v>3628</v>
      </c>
      <c r="DW69" s="88">
        <v>3944</v>
      </c>
      <c r="DX69" s="88">
        <v>4042</v>
      </c>
      <c r="DY69" s="88">
        <v>4203</v>
      </c>
      <c r="DZ69" s="88">
        <v>4000</v>
      </c>
      <c r="EA69" s="88">
        <v>4186</v>
      </c>
      <c r="EB69" s="88">
        <v>4433</v>
      </c>
      <c r="EC69" s="88">
        <v>4356</v>
      </c>
      <c r="ED69" s="88">
        <v>4795</v>
      </c>
      <c r="EE69" s="88">
        <v>4927</v>
      </c>
      <c r="EF69" s="88">
        <v>4972</v>
      </c>
      <c r="EG69" s="88">
        <v>5049</v>
      </c>
      <c r="EH69" s="88">
        <v>4980</v>
      </c>
      <c r="EI69" s="88">
        <v>4909</v>
      </c>
      <c r="EJ69" s="88">
        <v>4895</v>
      </c>
      <c r="EK69" s="88">
        <v>4835</v>
      </c>
      <c r="EL69" s="88">
        <v>4670</v>
      </c>
      <c r="EM69" s="88">
        <v>4758</v>
      </c>
      <c r="EN69" s="88">
        <v>4710</v>
      </c>
      <c r="EO69" s="88">
        <v>4883</v>
      </c>
      <c r="EP69" s="88">
        <v>5044</v>
      </c>
      <c r="EQ69" s="88">
        <v>4821</v>
      </c>
      <c r="ER69" s="88">
        <v>4291</v>
      </c>
      <c r="ES69" s="88">
        <v>4400</v>
      </c>
      <c r="ET69" s="88">
        <v>4534</v>
      </c>
      <c r="EU69" s="88">
        <v>4823</v>
      </c>
      <c r="EV69" s="88">
        <v>4939</v>
      </c>
      <c r="EW69" s="88">
        <v>5217</v>
      </c>
      <c r="EX69" s="88">
        <v>5581</v>
      </c>
      <c r="EY69" s="88">
        <v>5852</v>
      </c>
      <c r="EZ69" s="88">
        <v>5778</v>
      </c>
      <c r="FA69" s="88">
        <v>6093</v>
      </c>
      <c r="FB69" s="88">
        <v>6128</v>
      </c>
      <c r="FC69" s="88">
        <v>6152</v>
      </c>
      <c r="FD69" s="88">
        <v>6180</v>
      </c>
      <c r="FE69" s="88">
        <v>6279</v>
      </c>
      <c r="FF69" s="88">
        <v>6126</v>
      </c>
      <c r="FG69" s="88">
        <v>6000</v>
      </c>
      <c r="FH69" s="88">
        <v>5817</v>
      </c>
      <c r="FI69" s="88">
        <v>5639</v>
      </c>
      <c r="FJ69" s="88">
        <v>5353</v>
      </c>
      <c r="FK69" s="88">
        <v>5324</v>
      </c>
      <c r="FL69" s="88">
        <v>5243</v>
      </c>
      <c r="FM69" s="88">
        <v>5245</v>
      </c>
      <c r="FN69" s="88">
        <v>5068</v>
      </c>
      <c r="FO69" s="88">
        <v>4878</v>
      </c>
      <c r="FP69" s="88">
        <v>5157</v>
      </c>
      <c r="FQ69" s="88">
        <v>5073</v>
      </c>
      <c r="FR69" s="88">
        <v>4774</v>
      </c>
      <c r="FS69" s="88">
        <v>4876</v>
      </c>
      <c r="FT69" s="88">
        <v>4883</v>
      </c>
      <c r="FU69" s="88">
        <v>5167</v>
      </c>
      <c r="FV69" s="88">
        <v>5161</v>
      </c>
      <c r="FW69" s="88">
        <v>5559</v>
      </c>
      <c r="FX69" s="88">
        <v>4351</v>
      </c>
      <c r="FY69" s="88">
        <v>4333</v>
      </c>
      <c r="FZ69" s="88">
        <v>4291</v>
      </c>
      <c r="GA69" s="88">
        <v>3684</v>
      </c>
      <c r="GB69" s="88">
        <v>3258</v>
      </c>
      <c r="GC69" s="88">
        <v>2847</v>
      </c>
      <c r="GD69" s="88">
        <v>2827</v>
      </c>
      <c r="GE69" s="88">
        <v>2708</v>
      </c>
      <c r="GF69" s="88">
        <v>2609</v>
      </c>
      <c r="GG69" s="88">
        <v>2449</v>
      </c>
      <c r="GH69" s="88">
        <v>2048</v>
      </c>
      <c r="GI69" s="88">
        <v>1803</v>
      </c>
      <c r="GJ69" s="88">
        <v>1679</v>
      </c>
      <c r="GK69" s="88">
        <v>1518</v>
      </c>
      <c r="GL69" s="89">
        <v>6212</v>
      </c>
    </row>
    <row r="70" spans="1:194" s="1" customFormat="1" x14ac:dyDescent="0.2">
      <c r="A70" s="90" t="s">
        <v>94</v>
      </c>
      <c r="B70" s="146" t="s">
        <v>155</v>
      </c>
      <c r="C70" s="30" t="str">
        <f t="shared" si="4"/>
        <v xml:space="preserve">England – CCGs - Herts Valleys </v>
      </c>
      <c r="D70" s="51">
        <f t="shared" si="7"/>
        <v>250309</v>
      </c>
      <c r="E70" s="51">
        <f t="shared" si="7"/>
        <v>267010</v>
      </c>
      <c r="F70" s="52">
        <f t="shared" si="8"/>
        <v>609741</v>
      </c>
      <c r="G70" s="52">
        <f t="shared" si="9"/>
        <v>297532</v>
      </c>
      <c r="H70" s="52">
        <f t="shared" si="10"/>
        <v>312209</v>
      </c>
      <c r="I70" s="697">
        <f t="shared" si="5"/>
        <v>250309</v>
      </c>
      <c r="J70" s="53">
        <f t="shared" si="6"/>
        <v>267010</v>
      </c>
      <c r="K70" s="50">
        <f t="shared" si="11"/>
        <v>72186</v>
      </c>
      <c r="L70" s="51">
        <f t="shared" si="12"/>
        <v>68892</v>
      </c>
      <c r="M70" s="87">
        <v>3421</v>
      </c>
      <c r="N70" s="87">
        <v>3557</v>
      </c>
      <c r="O70" s="87">
        <v>3656</v>
      </c>
      <c r="P70" s="87">
        <v>3822</v>
      </c>
      <c r="Q70" s="87">
        <v>3842</v>
      </c>
      <c r="R70" s="87">
        <v>4002</v>
      </c>
      <c r="S70" s="87">
        <v>4052</v>
      </c>
      <c r="T70" s="87">
        <v>4022</v>
      </c>
      <c r="U70" s="87">
        <v>4127</v>
      </c>
      <c r="V70" s="87">
        <v>4073</v>
      </c>
      <c r="W70" s="87">
        <v>4207</v>
      </c>
      <c r="X70" s="87">
        <v>4442</v>
      </c>
      <c r="Y70" s="87">
        <v>4289</v>
      </c>
      <c r="Z70" s="87">
        <v>4371</v>
      </c>
      <c r="AA70" s="87">
        <v>4341</v>
      </c>
      <c r="AB70" s="87">
        <v>4059</v>
      </c>
      <c r="AC70" s="87">
        <v>3939</v>
      </c>
      <c r="AD70" s="87">
        <v>3964</v>
      </c>
      <c r="AE70" s="87">
        <v>3607</v>
      </c>
      <c r="AF70" s="87">
        <v>2138</v>
      </c>
      <c r="AG70" s="87">
        <v>2109</v>
      </c>
      <c r="AH70" s="87">
        <v>2546</v>
      </c>
      <c r="AI70" s="87">
        <v>2887</v>
      </c>
      <c r="AJ70" s="87">
        <v>3184</v>
      </c>
      <c r="AK70" s="87">
        <v>3417</v>
      </c>
      <c r="AL70" s="87">
        <v>3375</v>
      </c>
      <c r="AM70" s="87">
        <v>3261</v>
      </c>
      <c r="AN70" s="87">
        <v>3346</v>
      </c>
      <c r="AO70" s="87">
        <v>3467</v>
      </c>
      <c r="AP70" s="87">
        <v>3357</v>
      </c>
      <c r="AQ70" s="87">
        <v>3614</v>
      </c>
      <c r="AR70" s="87">
        <v>3849</v>
      </c>
      <c r="AS70" s="87">
        <v>3865</v>
      </c>
      <c r="AT70" s="87">
        <v>3979</v>
      </c>
      <c r="AU70" s="87">
        <v>4111</v>
      </c>
      <c r="AV70" s="87">
        <v>3907</v>
      </c>
      <c r="AW70" s="87">
        <v>4100</v>
      </c>
      <c r="AX70" s="87">
        <v>4056</v>
      </c>
      <c r="AY70" s="87">
        <v>4152</v>
      </c>
      <c r="AZ70" s="87">
        <v>4072</v>
      </c>
      <c r="BA70" s="87">
        <v>4419</v>
      </c>
      <c r="BB70" s="87">
        <v>4380</v>
      </c>
      <c r="BC70" s="87">
        <v>4483</v>
      </c>
      <c r="BD70" s="87">
        <v>4485</v>
      </c>
      <c r="BE70" s="87">
        <v>4335</v>
      </c>
      <c r="BF70" s="87">
        <v>4377</v>
      </c>
      <c r="BG70" s="87">
        <v>4373</v>
      </c>
      <c r="BH70" s="87">
        <v>4391</v>
      </c>
      <c r="BI70" s="87">
        <v>4323</v>
      </c>
      <c r="BJ70" s="87">
        <v>4255</v>
      </c>
      <c r="BK70" s="87">
        <v>4345</v>
      </c>
      <c r="BL70" s="87">
        <v>4445</v>
      </c>
      <c r="BM70" s="87">
        <v>4126</v>
      </c>
      <c r="BN70" s="87">
        <v>4214</v>
      </c>
      <c r="BO70" s="87">
        <v>4173</v>
      </c>
      <c r="BP70" s="87">
        <v>4060</v>
      </c>
      <c r="BQ70" s="87">
        <v>4139</v>
      </c>
      <c r="BR70" s="87">
        <v>4039</v>
      </c>
      <c r="BS70" s="87">
        <v>4030</v>
      </c>
      <c r="BT70" s="87">
        <v>3894</v>
      </c>
      <c r="BU70" s="87">
        <v>3683</v>
      </c>
      <c r="BV70" s="87">
        <v>3526</v>
      </c>
      <c r="BW70" s="87">
        <v>3301</v>
      </c>
      <c r="BX70" s="87">
        <v>3243</v>
      </c>
      <c r="BY70" s="87">
        <v>3014</v>
      </c>
      <c r="BZ70" s="87">
        <v>2945</v>
      </c>
      <c r="CA70" s="87">
        <v>2704</v>
      </c>
      <c r="CB70" s="87">
        <v>2596</v>
      </c>
      <c r="CC70" s="87">
        <v>2586</v>
      </c>
      <c r="CD70" s="87">
        <v>2457</v>
      </c>
      <c r="CE70" s="87">
        <v>2392</v>
      </c>
      <c r="CF70" s="87">
        <v>2283</v>
      </c>
      <c r="CG70" s="87">
        <v>2277</v>
      </c>
      <c r="CH70" s="87">
        <v>2227</v>
      </c>
      <c r="CI70" s="87">
        <v>2373</v>
      </c>
      <c r="CJ70" s="87">
        <v>2621</v>
      </c>
      <c r="CK70" s="87">
        <v>1981</v>
      </c>
      <c r="CL70" s="87">
        <v>1909</v>
      </c>
      <c r="CM70" s="87">
        <v>1916</v>
      </c>
      <c r="CN70" s="87">
        <v>1669</v>
      </c>
      <c r="CO70" s="87">
        <v>1323</v>
      </c>
      <c r="CP70" s="87">
        <v>1088</v>
      </c>
      <c r="CQ70" s="87">
        <v>1244</v>
      </c>
      <c r="CR70" s="87">
        <v>1201</v>
      </c>
      <c r="CS70" s="87">
        <v>1078</v>
      </c>
      <c r="CT70" s="87">
        <v>1027</v>
      </c>
      <c r="CU70" s="87">
        <v>880</v>
      </c>
      <c r="CV70" s="87">
        <v>775</v>
      </c>
      <c r="CW70" s="87">
        <v>700</v>
      </c>
      <c r="CX70" s="87">
        <v>569</v>
      </c>
      <c r="CY70" s="87">
        <v>2073</v>
      </c>
      <c r="CZ70" s="88">
        <v>3241</v>
      </c>
      <c r="DA70" s="88">
        <v>3347</v>
      </c>
      <c r="DB70" s="88">
        <v>3571</v>
      </c>
      <c r="DC70" s="88">
        <v>3502</v>
      </c>
      <c r="DD70" s="88">
        <v>3620</v>
      </c>
      <c r="DE70" s="88">
        <v>3739</v>
      </c>
      <c r="DF70" s="88">
        <v>3951</v>
      </c>
      <c r="DG70" s="88">
        <v>3930</v>
      </c>
      <c r="DH70" s="88">
        <v>3927</v>
      </c>
      <c r="DI70" s="88">
        <v>4031</v>
      </c>
      <c r="DJ70" s="88">
        <v>4127</v>
      </c>
      <c r="DK70" s="88">
        <v>4213</v>
      </c>
      <c r="DL70" s="88">
        <v>4156</v>
      </c>
      <c r="DM70" s="88">
        <v>4088</v>
      </c>
      <c r="DN70" s="88">
        <v>4105</v>
      </c>
      <c r="DO70" s="88">
        <v>3849</v>
      </c>
      <c r="DP70" s="88">
        <v>3853</v>
      </c>
      <c r="DQ70" s="88">
        <v>3642</v>
      </c>
      <c r="DR70" s="88">
        <v>3479</v>
      </c>
      <c r="DS70" s="88">
        <v>1873</v>
      </c>
      <c r="DT70" s="88">
        <v>1774</v>
      </c>
      <c r="DU70" s="88">
        <v>2264</v>
      </c>
      <c r="DV70" s="88">
        <v>2813</v>
      </c>
      <c r="DW70" s="88">
        <v>3215</v>
      </c>
      <c r="DX70" s="88">
        <v>3384</v>
      </c>
      <c r="DY70" s="88">
        <v>3362</v>
      </c>
      <c r="DZ70" s="88">
        <v>3247</v>
      </c>
      <c r="EA70" s="88">
        <v>3470</v>
      </c>
      <c r="EB70" s="88">
        <v>3612</v>
      </c>
      <c r="EC70" s="88">
        <v>3666</v>
      </c>
      <c r="ED70" s="88">
        <v>3903</v>
      </c>
      <c r="EE70" s="88">
        <v>4105</v>
      </c>
      <c r="EF70" s="88">
        <v>4171</v>
      </c>
      <c r="EG70" s="88">
        <v>4178</v>
      </c>
      <c r="EH70" s="88">
        <v>4504</v>
      </c>
      <c r="EI70" s="88">
        <v>4411</v>
      </c>
      <c r="EJ70" s="88">
        <v>4645</v>
      </c>
      <c r="EK70" s="88">
        <v>4614</v>
      </c>
      <c r="EL70" s="88">
        <v>4584</v>
      </c>
      <c r="EM70" s="88">
        <v>4693</v>
      </c>
      <c r="EN70" s="88">
        <v>4813</v>
      </c>
      <c r="EO70" s="88">
        <v>5020</v>
      </c>
      <c r="EP70" s="88">
        <v>4984</v>
      </c>
      <c r="EQ70" s="88">
        <v>4848</v>
      </c>
      <c r="ER70" s="88">
        <v>4568</v>
      </c>
      <c r="ES70" s="88">
        <v>4358</v>
      </c>
      <c r="ET70" s="88">
        <v>4450</v>
      </c>
      <c r="EU70" s="88">
        <v>4446</v>
      </c>
      <c r="EV70" s="88">
        <v>4381</v>
      </c>
      <c r="EW70" s="88">
        <v>4396</v>
      </c>
      <c r="EX70" s="88">
        <v>4540</v>
      </c>
      <c r="EY70" s="88">
        <v>4586</v>
      </c>
      <c r="EZ70" s="88">
        <v>4311</v>
      </c>
      <c r="FA70" s="88">
        <v>4280</v>
      </c>
      <c r="FB70" s="88">
        <v>4448</v>
      </c>
      <c r="FC70" s="88">
        <v>4325</v>
      </c>
      <c r="FD70" s="88">
        <v>4278</v>
      </c>
      <c r="FE70" s="88">
        <v>4222</v>
      </c>
      <c r="FF70" s="88">
        <v>4046</v>
      </c>
      <c r="FG70" s="88">
        <v>3879</v>
      </c>
      <c r="FH70" s="88">
        <v>3803</v>
      </c>
      <c r="FI70" s="88">
        <v>3670</v>
      </c>
      <c r="FJ70" s="88">
        <v>3415</v>
      </c>
      <c r="FK70" s="88">
        <v>3297</v>
      </c>
      <c r="FL70" s="88">
        <v>3177</v>
      </c>
      <c r="FM70" s="88">
        <v>2985</v>
      </c>
      <c r="FN70" s="88">
        <v>2944</v>
      </c>
      <c r="FO70" s="88">
        <v>2789</v>
      </c>
      <c r="FP70" s="88">
        <v>2723</v>
      </c>
      <c r="FQ70" s="88">
        <v>2570</v>
      </c>
      <c r="FR70" s="88">
        <v>2498</v>
      </c>
      <c r="FS70" s="88">
        <v>2598</v>
      </c>
      <c r="FT70" s="88">
        <v>2673</v>
      </c>
      <c r="FU70" s="88">
        <v>2679</v>
      </c>
      <c r="FV70" s="88">
        <v>2770</v>
      </c>
      <c r="FW70" s="88">
        <v>3114</v>
      </c>
      <c r="FX70" s="88">
        <v>2381</v>
      </c>
      <c r="FY70" s="88">
        <v>2204</v>
      </c>
      <c r="FZ70" s="88">
        <v>2141</v>
      </c>
      <c r="GA70" s="88">
        <v>2056</v>
      </c>
      <c r="GB70" s="88">
        <v>1743</v>
      </c>
      <c r="GC70" s="88">
        <v>1488</v>
      </c>
      <c r="GD70" s="88">
        <v>1546</v>
      </c>
      <c r="GE70" s="88">
        <v>1547</v>
      </c>
      <c r="GF70" s="88">
        <v>1539</v>
      </c>
      <c r="GG70" s="88">
        <v>1433</v>
      </c>
      <c r="GH70" s="88">
        <v>1260</v>
      </c>
      <c r="GI70" s="88">
        <v>1102</v>
      </c>
      <c r="GJ70" s="88">
        <v>1029</v>
      </c>
      <c r="GK70" s="88">
        <v>951</v>
      </c>
      <c r="GL70" s="89">
        <v>4046</v>
      </c>
    </row>
    <row r="71" spans="1:194" s="1" customFormat="1" x14ac:dyDescent="0.2">
      <c r="A71" s="90" t="s">
        <v>94</v>
      </c>
      <c r="B71" s="146" t="s">
        <v>156</v>
      </c>
      <c r="C71" s="30" t="str">
        <f t="shared" si="4"/>
        <v xml:space="preserve">England – CCGs - Heywood, Middleton and Rochdale </v>
      </c>
      <c r="D71" s="51">
        <f t="shared" si="7"/>
        <v>92482</v>
      </c>
      <c r="E71" s="51">
        <f t="shared" si="7"/>
        <v>97729</v>
      </c>
      <c r="F71" s="52">
        <f t="shared" si="8"/>
        <v>226992</v>
      </c>
      <c r="G71" s="52">
        <f t="shared" si="9"/>
        <v>111355</v>
      </c>
      <c r="H71" s="52">
        <f t="shared" si="10"/>
        <v>115637</v>
      </c>
      <c r="I71" s="697">
        <f t="shared" si="5"/>
        <v>92482</v>
      </c>
      <c r="J71" s="53">
        <f t="shared" si="6"/>
        <v>97729</v>
      </c>
      <c r="K71" s="50">
        <f t="shared" si="11"/>
        <v>28605</v>
      </c>
      <c r="L71" s="51">
        <f t="shared" si="12"/>
        <v>27069</v>
      </c>
      <c r="M71" s="87">
        <v>1429</v>
      </c>
      <c r="N71" s="87">
        <v>1403</v>
      </c>
      <c r="O71" s="87">
        <v>1513</v>
      </c>
      <c r="P71" s="87">
        <v>1586</v>
      </c>
      <c r="Q71" s="87">
        <v>1535</v>
      </c>
      <c r="R71" s="87">
        <v>1608</v>
      </c>
      <c r="S71" s="87">
        <v>1618</v>
      </c>
      <c r="T71" s="87">
        <v>1615</v>
      </c>
      <c r="U71" s="87">
        <v>1557</v>
      </c>
      <c r="V71" s="87">
        <v>1614</v>
      </c>
      <c r="W71" s="87">
        <v>1692</v>
      </c>
      <c r="X71" s="87">
        <v>1703</v>
      </c>
      <c r="Y71" s="87">
        <v>1667</v>
      </c>
      <c r="Z71" s="87">
        <v>1596</v>
      </c>
      <c r="AA71" s="87">
        <v>1667</v>
      </c>
      <c r="AB71" s="87">
        <v>1658</v>
      </c>
      <c r="AC71" s="87">
        <v>1579</v>
      </c>
      <c r="AD71" s="87">
        <v>1565</v>
      </c>
      <c r="AE71" s="87">
        <v>1484</v>
      </c>
      <c r="AF71" s="87">
        <v>1224</v>
      </c>
      <c r="AG71" s="87">
        <v>1179</v>
      </c>
      <c r="AH71" s="87">
        <v>1243</v>
      </c>
      <c r="AI71" s="87">
        <v>1261</v>
      </c>
      <c r="AJ71" s="87">
        <v>1373</v>
      </c>
      <c r="AK71" s="87">
        <v>1266</v>
      </c>
      <c r="AL71" s="87">
        <v>1276</v>
      </c>
      <c r="AM71" s="87">
        <v>1271</v>
      </c>
      <c r="AN71" s="87">
        <v>1399</v>
      </c>
      <c r="AO71" s="87">
        <v>1395</v>
      </c>
      <c r="AP71" s="87">
        <v>1422</v>
      </c>
      <c r="AQ71" s="87">
        <v>1417</v>
      </c>
      <c r="AR71" s="87">
        <v>1502</v>
      </c>
      <c r="AS71" s="87">
        <v>1544</v>
      </c>
      <c r="AT71" s="87">
        <v>1459</v>
      </c>
      <c r="AU71" s="87">
        <v>1573</v>
      </c>
      <c r="AV71" s="87">
        <v>1516</v>
      </c>
      <c r="AW71" s="87">
        <v>1502</v>
      </c>
      <c r="AX71" s="87">
        <v>1542</v>
      </c>
      <c r="AY71" s="87">
        <v>1437</v>
      </c>
      <c r="AZ71" s="87">
        <v>1418</v>
      </c>
      <c r="BA71" s="87">
        <v>1430</v>
      </c>
      <c r="BB71" s="87">
        <v>1453</v>
      </c>
      <c r="BC71" s="87">
        <v>1454</v>
      </c>
      <c r="BD71" s="87">
        <v>1381</v>
      </c>
      <c r="BE71" s="87">
        <v>1346</v>
      </c>
      <c r="BF71" s="87">
        <v>1319</v>
      </c>
      <c r="BG71" s="87">
        <v>1255</v>
      </c>
      <c r="BH71" s="87">
        <v>1396</v>
      </c>
      <c r="BI71" s="87">
        <v>1316</v>
      </c>
      <c r="BJ71" s="87">
        <v>1438</v>
      </c>
      <c r="BK71" s="87">
        <v>1475</v>
      </c>
      <c r="BL71" s="87">
        <v>1524</v>
      </c>
      <c r="BM71" s="87">
        <v>1470</v>
      </c>
      <c r="BN71" s="87">
        <v>1456</v>
      </c>
      <c r="BO71" s="87">
        <v>1524</v>
      </c>
      <c r="BP71" s="87">
        <v>1546</v>
      </c>
      <c r="BQ71" s="87">
        <v>1493</v>
      </c>
      <c r="BR71" s="87">
        <v>1413</v>
      </c>
      <c r="BS71" s="87">
        <v>1428</v>
      </c>
      <c r="BT71" s="87">
        <v>1410</v>
      </c>
      <c r="BU71" s="87">
        <v>1409</v>
      </c>
      <c r="BV71" s="87">
        <v>1252</v>
      </c>
      <c r="BW71" s="87">
        <v>1241</v>
      </c>
      <c r="BX71" s="87">
        <v>1185</v>
      </c>
      <c r="BY71" s="87">
        <v>1227</v>
      </c>
      <c r="BZ71" s="87">
        <v>1092</v>
      </c>
      <c r="CA71" s="87">
        <v>1089</v>
      </c>
      <c r="CB71" s="87">
        <v>996</v>
      </c>
      <c r="CC71" s="87">
        <v>1059</v>
      </c>
      <c r="CD71" s="87">
        <v>1057</v>
      </c>
      <c r="CE71" s="87">
        <v>1014</v>
      </c>
      <c r="CF71" s="87">
        <v>927</v>
      </c>
      <c r="CG71" s="87">
        <v>933</v>
      </c>
      <c r="CH71" s="87">
        <v>904</v>
      </c>
      <c r="CI71" s="87">
        <v>940</v>
      </c>
      <c r="CJ71" s="87">
        <v>1055</v>
      </c>
      <c r="CK71" s="87">
        <v>668</v>
      </c>
      <c r="CL71" s="87">
        <v>689</v>
      </c>
      <c r="CM71" s="87">
        <v>652</v>
      </c>
      <c r="CN71" s="87">
        <v>568</v>
      </c>
      <c r="CO71" s="87">
        <v>500</v>
      </c>
      <c r="CP71" s="87">
        <v>393</v>
      </c>
      <c r="CQ71" s="87">
        <v>417</v>
      </c>
      <c r="CR71" s="87">
        <v>394</v>
      </c>
      <c r="CS71" s="87">
        <v>334</v>
      </c>
      <c r="CT71" s="87">
        <v>299</v>
      </c>
      <c r="CU71" s="87">
        <v>241</v>
      </c>
      <c r="CV71" s="87">
        <v>199</v>
      </c>
      <c r="CW71" s="87">
        <v>172</v>
      </c>
      <c r="CX71" s="87">
        <v>151</v>
      </c>
      <c r="CY71" s="87">
        <v>463</v>
      </c>
      <c r="CZ71" s="88">
        <v>1425</v>
      </c>
      <c r="DA71" s="88">
        <v>1436</v>
      </c>
      <c r="DB71" s="88">
        <v>1485</v>
      </c>
      <c r="DC71" s="88">
        <v>1425</v>
      </c>
      <c r="DD71" s="88">
        <v>1408</v>
      </c>
      <c r="DE71" s="88">
        <v>1458</v>
      </c>
      <c r="DF71" s="88">
        <v>1551</v>
      </c>
      <c r="DG71" s="88">
        <v>1524</v>
      </c>
      <c r="DH71" s="88">
        <v>1521</v>
      </c>
      <c r="DI71" s="88">
        <v>1573</v>
      </c>
      <c r="DJ71" s="88">
        <v>1574</v>
      </c>
      <c r="DK71" s="88">
        <v>1528</v>
      </c>
      <c r="DL71" s="88">
        <v>1573</v>
      </c>
      <c r="DM71" s="88">
        <v>1630</v>
      </c>
      <c r="DN71" s="88">
        <v>1550</v>
      </c>
      <c r="DO71" s="88">
        <v>1471</v>
      </c>
      <c r="DP71" s="88">
        <v>1478</v>
      </c>
      <c r="DQ71" s="88">
        <v>1459</v>
      </c>
      <c r="DR71" s="88">
        <v>1374</v>
      </c>
      <c r="DS71" s="88">
        <v>992</v>
      </c>
      <c r="DT71" s="88">
        <v>1021</v>
      </c>
      <c r="DU71" s="88">
        <v>1059</v>
      </c>
      <c r="DV71" s="88">
        <v>1187</v>
      </c>
      <c r="DW71" s="88">
        <v>1337</v>
      </c>
      <c r="DX71" s="88">
        <v>1377</v>
      </c>
      <c r="DY71" s="88">
        <v>1416</v>
      </c>
      <c r="DZ71" s="88">
        <v>1427</v>
      </c>
      <c r="EA71" s="88">
        <v>1473</v>
      </c>
      <c r="EB71" s="88">
        <v>1524</v>
      </c>
      <c r="EC71" s="88">
        <v>1544</v>
      </c>
      <c r="ED71" s="88">
        <v>1584</v>
      </c>
      <c r="EE71" s="88">
        <v>1674</v>
      </c>
      <c r="EF71" s="88">
        <v>1752</v>
      </c>
      <c r="EG71" s="88">
        <v>1628</v>
      </c>
      <c r="EH71" s="88">
        <v>1802</v>
      </c>
      <c r="EI71" s="88">
        <v>1685</v>
      </c>
      <c r="EJ71" s="88">
        <v>1740</v>
      </c>
      <c r="EK71" s="88">
        <v>1650</v>
      </c>
      <c r="EL71" s="88">
        <v>1582</v>
      </c>
      <c r="EM71" s="88">
        <v>1666</v>
      </c>
      <c r="EN71" s="88">
        <v>1574</v>
      </c>
      <c r="EO71" s="88">
        <v>1643</v>
      </c>
      <c r="EP71" s="88">
        <v>1601</v>
      </c>
      <c r="EQ71" s="88">
        <v>1476</v>
      </c>
      <c r="ER71" s="88">
        <v>1391</v>
      </c>
      <c r="ES71" s="88">
        <v>1318</v>
      </c>
      <c r="ET71" s="88">
        <v>1331</v>
      </c>
      <c r="EU71" s="88">
        <v>1415</v>
      </c>
      <c r="EV71" s="88">
        <v>1332</v>
      </c>
      <c r="EW71" s="88">
        <v>1395</v>
      </c>
      <c r="EX71" s="88">
        <v>1465</v>
      </c>
      <c r="EY71" s="88">
        <v>1509</v>
      </c>
      <c r="EZ71" s="88">
        <v>1450</v>
      </c>
      <c r="FA71" s="88">
        <v>1515</v>
      </c>
      <c r="FB71" s="88">
        <v>1472</v>
      </c>
      <c r="FC71" s="88">
        <v>1553</v>
      </c>
      <c r="FD71" s="88">
        <v>1494</v>
      </c>
      <c r="FE71" s="88">
        <v>1462</v>
      </c>
      <c r="FF71" s="88">
        <v>1390</v>
      </c>
      <c r="FG71" s="88">
        <v>1422</v>
      </c>
      <c r="FH71" s="88">
        <v>1414</v>
      </c>
      <c r="FI71" s="88">
        <v>1385</v>
      </c>
      <c r="FJ71" s="88">
        <v>1329</v>
      </c>
      <c r="FK71" s="88">
        <v>1225</v>
      </c>
      <c r="FL71" s="88">
        <v>1219</v>
      </c>
      <c r="FM71" s="88">
        <v>1193</v>
      </c>
      <c r="FN71" s="88">
        <v>1151</v>
      </c>
      <c r="FO71" s="88">
        <v>1115</v>
      </c>
      <c r="FP71" s="88">
        <v>1080</v>
      </c>
      <c r="FQ71" s="88">
        <v>1056</v>
      </c>
      <c r="FR71" s="88">
        <v>1006</v>
      </c>
      <c r="FS71" s="88">
        <v>1007</v>
      </c>
      <c r="FT71" s="88">
        <v>1026</v>
      </c>
      <c r="FU71" s="88">
        <v>1021</v>
      </c>
      <c r="FV71" s="88">
        <v>1036</v>
      </c>
      <c r="FW71" s="88">
        <v>1155</v>
      </c>
      <c r="FX71" s="88">
        <v>824</v>
      </c>
      <c r="FY71" s="88">
        <v>791</v>
      </c>
      <c r="FZ71" s="88">
        <v>707</v>
      </c>
      <c r="GA71" s="88">
        <v>724</v>
      </c>
      <c r="GB71" s="88">
        <v>635</v>
      </c>
      <c r="GC71" s="88">
        <v>579</v>
      </c>
      <c r="GD71" s="88">
        <v>509</v>
      </c>
      <c r="GE71" s="88">
        <v>480</v>
      </c>
      <c r="GF71" s="88">
        <v>452</v>
      </c>
      <c r="GG71" s="88">
        <v>407</v>
      </c>
      <c r="GH71" s="88">
        <v>401</v>
      </c>
      <c r="GI71" s="88">
        <v>358</v>
      </c>
      <c r="GJ71" s="88">
        <v>292</v>
      </c>
      <c r="GK71" s="88">
        <v>269</v>
      </c>
      <c r="GL71" s="89">
        <v>1020</v>
      </c>
    </row>
    <row r="72" spans="1:194" s="1" customFormat="1" x14ac:dyDescent="0.2">
      <c r="A72" s="90" t="s">
        <v>94</v>
      </c>
      <c r="B72" s="146" t="s">
        <v>157</v>
      </c>
      <c r="C72" s="30" t="str">
        <f t="shared" si="4"/>
        <v xml:space="preserve">England – CCGs - Hull </v>
      </c>
      <c r="D72" s="51">
        <f t="shared" si="7"/>
        <v>113980</v>
      </c>
      <c r="E72" s="51">
        <f t="shared" si="7"/>
        <v>114532</v>
      </c>
      <c r="F72" s="52">
        <f t="shared" si="8"/>
        <v>268852</v>
      </c>
      <c r="G72" s="52">
        <f t="shared" si="9"/>
        <v>134568</v>
      </c>
      <c r="H72" s="52">
        <f t="shared" si="10"/>
        <v>134284</v>
      </c>
      <c r="I72" s="697">
        <f t="shared" si="5"/>
        <v>113980</v>
      </c>
      <c r="J72" s="53">
        <f t="shared" si="6"/>
        <v>114532</v>
      </c>
      <c r="K72" s="50">
        <f t="shared" si="11"/>
        <v>30800</v>
      </c>
      <c r="L72" s="51">
        <f t="shared" si="12"/>
        <v>29369</v>
      </c>
      <c r="M72" s="87">
        <v>1670</v>
      </c>
      <c r="N72" s="87">
        <v>1558</v>
      </c>
      <c r="O72" s="87">
        <v>1631</v>
      </c>
      <c r="P72" s="87">
        <v>1633</v>
      </c>
      <c r="Q72" s="87">
        <v>1592</v>
      </c>
      <c r="R72" s="87">
        <v>1762</v>
      </c>
      <c r="S72" s="87">
        <v>1767</v>
      </c>
      <c r="T72" s="87">
        <v>1674</v>
      </c>
      <c r="U72" s="87">
        <v>1764</v>
      </c>
      <c r="V72" s="87">
        <v>1861</v>
      </c>
      <c r="W72" s="87">
        <v>1861</v>
      </c>
      <c r="X72" s="87">
        <v>1815</v>
      </c>
      <c r="Y72" s="87">
        <v>1686</v>
      </c>
      <c r="Z72" s="87">
        <v>1709</v>
      </c>
      <c r="AA72" s="87">
        <v>1705</v>
      </c>
      <c r="AB72" s="87">
        <v>1751</v>
      </c>
      <c r="AC72" s="87">
        <v>1642</v>
      </c>
      <c r="AD72" s="87">
        <v>1719</v>
      </c>
      <c r="AE72" s="87">
        <v>1702</v>
      </c>
      <c r="AF72" s="87">
        <v>1694</v>
      </c>
      <c r="AG72" s="87">
        <v>1836</v>
      </c>
      <c r="AH72" s="87">
        <v>1944</v>
      </c>
      <c r="AI72" s="87">
        <v>1922</v>
      </c>
      <c r="AJ72" s="87">
        <v>1765</v>
      </c>
      <c r="AK72" s="87">
        <v>1858</v>
      </c>
      <c r="AL72" s="87">
        <v>1877</v>
      </c>
      <c r="AM72" s="87">
        <v>1859</v>
      </c>
      <c r="AN72" s="87">
        <v>2032</v>
      </c>
      <c r="AO72" s="87">
        <v>2121</v>
      </c>
      <c r="AP72" s="87">
        <v>2095</v>
      </c>
      <c r="AQ72" s="87">
        <v>2195</v>
      </c>
      <c r="AR72" s="87">
        <v>2177</v>
      </c>
      <c r="AS72" s="87">
        <v>2055</v>
      </c>
      <c r="AT72" s="87">
        <v>2093</v>
      </c>
      <c r="AU72" s="87">
        <v>2081</v>
      </c>
      <c r="AV72" s="87">
        <v>1927</v>
      </c>
      <c r="AW72" s="87">
        <v>2114</v>
      </c>
      <c r="AX72" s="87">
        <v>1999</v>
      </c>
      <c r="AY72" s="87">
        <v>1800</v>
      </c>
      <c r="AZ72" s="87">
        <v>1721</v>
      </c>
      <c r="BA72" s="87">
        <v>1912</v>
      </c>
      <c r="BB72" s="87">
        <v>1748</v>
      </c>
      <c r="BC72" s="87">
        <v>1672</v>
      </c>
      <c r="BD72" s="87">
        <v>1655</v>
      </c>
      <c r="BE72" s="87">
        <v>1535</v>
      </c>
      <c r="BF72" s="87">
        <v>1541</v>
      </c>
      <c r="BG72" s="87">
        <v>1702</v>
      </c>
      <c r="BH72" s="87">
        <v>1580</v>
      </c>
      <c r="BI72" s="87">
        <v>1524</v>
      </c>
      <c r="BJ72" s="87">
        <v>1664</v>
      </c>
      <c r="BK72" s="87">
        <v>1727</v>
      </c>
      <c r="BL72" s="87">
        <v>1801</v>
      </c>
      <c r="BM72" s="87">
        <v>1713</v>
      </c>
      <c r="BN72" s="87">
        <v>1737</v>
      </c>
      <c r="BO72" s="87">
        <v>1674</v>
      </c>
      <c r="BP72" s="87">
        <v>1798</v>
      </c>
      <c r="BQ72" s="87">
        <v>1735</v>
      </c>
      <c r="BR72" s="87">
        <v>1738</v>
      </c>
      <c r="BS72" s="87">
        <v>1705</v>
      </c>
      <c r="BT72" s="87">
        <v>1664</v>
      </c>
      <c r="BU72" s="87">
        <v>1678</v>
      </c>
      <c r="BV72" s="87">
        <v>1539</v>
      </c>
      <c r="BW72" s="87">
        <v>1486</v>
      </c>
      <c r="BX72" s="87">
        <v>1477</v>
      </c>
      <c r="BY72" s="87">
        <v>1452</v>
      </c>
      <c r="BZ72" s="87">
        <v>1387</v>
      </c>
      <c r="CA72" s="87">
        <v>1242</v>
      </c>
      <c r="CB72" s="87">
        <v>1208</v>
      </c>
      <c r="CC72" s="87">
        <v>1235</v>
      </c>
      <c r="CD72" s="87">
        <v>1179</v>
      </c>
      <c r="CE72" s="87">
        <v>1118</v>
      </c>
      <c r="CF72" s="87">
        <v>1095</v>
      </c>
      <c r="CG72" s="87">
        <v>997</v>
      </c>
      <c r="CH72" s="87">
        <v>999</v>
      </c>
      <c r="CI72" s="87">
        <v>1111</v>
      </c>
      <c r="CJ72" s="87">
        <v>1161</v>
      </c>
      <c r="CK72" s="87">
        <v>773</v>
      </c>
      <c r="CL72" s="87">
        <v>711</v>
      </c>
      <c r="CM72" s="87">
        <v>599</v>
      </c>
      <c r="CN72" s="87">
        <v>636</v>
      </c>
      <c r="CO72" s="87">
        <v>504</v>
      </c>
      <c r="CP72" s="87">
        <v>430</v>
      </c>
      <c r="CQ72" s="87">
        <v>421</v>
      </c>
      <c r="CR72" s="87">
        <v>455</v>
      </c>
      <c r="CS72" s="87">
        <v>398</v>
      </c>
      <c r="CT72" s="87">
        <v>352</v>
      </c>
      <c r="CU72" s="87">
        <v>289</v>
      </c>
      <c r="CV72" s="87">
        <v>258</v>
      </c>
      <c r="CW72" s="87">
        <v>195</v>
      </c>
      <c r="CX72" s="87">
        <v>163</v>
      </c>
      <c r="CY72" s="87">
        <v>528</v>
      </c>
      <c r="CZ72" s="88">
        <v>1558</v>
      </c>
      <c r="DA72" s="88">
        <v>1513</v>
      </c>
      <c r="DB72" s="88">
        <v>1635</v>
      </c>
      <c r="DC72" s="88">
        <v>1581</v>
      </c>
      <c r="DD72" s="88">
        <v>1574</v>
      </c>
      <c r="DE72" s="88">
        <v>1632</v>
      </c>
      <c r="DF72" s="88">
        <v>1672</v>
      </c>
      <c r="DG72" s="88">
        <v>1625</v>
      </c>
      <c r="DH72" s="88">
        <v>1667</v>
      </c>
      <c r="DI72" s="88">
        <v>1783</v>
      </c>
      <c r="DJ72" s="88">
        <v>1799</v>
      </c>
      <c r="DK72" s="88">
        <v>1713</v>
      </c>
      <c r="DL72" s="88">
        <v>1704</v>
      </c>
      <c r="DM72" s="88">
        <v>1634</v>
      </c>
      <c r="DN72" s="88">
        <v>1733</v>
      </c>
      <c r="DO72" s="88">
        <v>1540</v>
      </c>
      <c r="DP72" s="88">
        <v>1560</v>
      </c>
      <c r="DQ72" s="88">
        <v>1446</v>
      </c>
      <c r="DR72" s="88">
        <v>1460</v>
      </c>
      <c r="DS72" s="88">
        <v>1649</v>
      </c>
      <c r="DT72" s="88">
        <v>1633</v>
      </c>
      <c r="DU72" s="88">
        <v>1861</v>
      </c>
      <c r="DV72" s="88">
        <v>1785</v>
      </c>
      <c r="DW72" s="88">
        <v>1702</v>
      </c>
      <c r="DX72" s="88">
        <v>1814</v>
      </c>
      <c r="DY72" s="88">
        <v>1926</v>
      </c>
      <c r="DZ72" s="88">
        <v>2015</v>
      </c>
      <c r="EA72" s="88">
        <v>2006</v>
      </c>
      <c r="EB72" s="88">
        <v>2030</v>
      </c>
      <c r="EC72" s="88">
        <v>2190</v>
      </c>
      <c r="ED72" s="88">
        <v>2116</v>
      </c>
      <c r="EE72" s="88">
        <v>2303</v>
      </c>
      <c r="EF72" s="88">
        <v>2143</v>
      </c>
      <c r="EG72" s="88">
        <v>2095</v>
      </c>
      <c r="EH72" s="88">
        <v>2116</v>
      </c>
      <c r="EI72" s="88">
        <v>2084</v>
      </c>
      <c r="EJ72" s="88">
        <v>2008</v>
      </c>
      <c r="EK72" s="88">
        <v>2036</v>
      </c>
      <c r="EL72" s="88">
        <v>1816</v>
      </c>
      <c r="EM72" s="88">
        <v>1808</v>
      </c>
      <c r="EN72" s="88">
        <v>1706</v>
      </c>
      <c r="EO72" s="88">
        <v>1704</v>
      </c>
      <c r="EP72" s="88">
        <v>1696</v>
      </c>
      <c r="EQ72" s="88">
        <v>1543</v>
      </c>
      <c r="ER72" s="88">
        <v>1430</v>
      </c>
      <c r="ES72" s="88">
        <v>1396</v>
      </c>
      <c r="ET72" s="88">
        <v>1437</v>
      </c>
      <c r="EU72" s="88">
        <v>1535</v>
      </c>
      <c r="EV72" s="88">
        <v>1631</v>
      </c>
      <c r="EW72" s="88">
        <v>1599</v>
      </c>
      <c r="EX72" s="88">
        <v>1625</v>
      </c>
      <c r="EY72" s="88">
        <v>1705</v>
      </c>
      <c r="EZ72" s="88">
        <v>1625</v>
      </c>
      <c r="FA72" s="88">
        <v>1703</v>
      </c>
      <c r="FB72" s="88">
        <v>1649</v>
      </c>
      <c r="FC72" s="88">
        <v>1657</v>
      </c>
      <c r="FD72" s="88">
        <v>1621</v>
      </c>
      <c r="FE72" s="88">
        <v>1661</v>
      </c>
      <c r="FF72" s="88">
        <v>1740</v>
      </c>
      <c r="FG72" s="88">
        <v>1697</v>
      </c>
      <c r="FH72" s="88">
        <v>1689</v>
      </c>
      <c r="FI72" s="88">
        <v>1596</v>
      </c>
      <c r="FJ72" s="88">
        <v>1563</v>
      </c>
      <c r="FK72" s="88">
        <v>1384</v>
      </c>
      <c r="FL72" s="88">
        <v>1433</v>
      </c>
      <c r="FM72" s="88">
        <v>1407</v>
      </c>
      <c r="FN72" s="88">
        <v>1299</v>
      </c>
      <c r="FO72" s="88">
        <v>1192</v>
      </c>
      <c r="FP72" s="88">
        <v>1198</v>
      </c>
      <c r="FQ72" s="88">
        <v>1207</v>
      </c>
      <c r="FR72" s="88">
        <v>1169</v>
      </c>
      <c r="FS72" s="88">
        <v>1097</v>
      </c>
      <c r="FT72" s="88">
        <v>1088</v>
      </c>
      <c r="FU72" s="88">
        <v>1076</v>
      </c>
      <c r="FV72" s="88">
        <v>1158</v>
      </c>
      <c r="FW72" s="88">
        <v>1236</v>
      </c>
      <c r="FX72" s="88">
        <v>871</v>
      </c>
      <c r="FY72" s="88">
        <v>736</v>
      </c>
      <c r="FZ72" s="88">
        <v>718</v>
      </c>
      <c r="GA72" s="88">
        <v>787</v>
      </c>
      <c r="GB72" s="88">
        <v>618</v>
      </c>
      <c r="GC72" s="88">
        <v>571</v>
      </c>
      <c r="GD72" s="88">
        <v>576</v>
      </c>
      <c r="GE72" s="88">
        <v>566</v>
      </c>
      <c r="GF72" s="88">
        <v>514</v>
      </c>
      <c r="GG72" s="88">
        <v>493</v>
      </c>
      <c r="GH72" s="88">
        <v>442</v>
      </c>
      <c r="GI72" s="88">
        <v>400</v>
      </c>
      <c r="GJ72" s="88">
        <v>354</v>
      </c>
      <c r="GK72" s="88">
        <v>306</v>
      </c>
      <c r="GL72" s="89">
        <v>1215</v>
      </c>
    </row>
    <row r="73" spans="1:194" s="1" customFormat="1" x14ac:dyDescent="0.2">
      <c r="A73" s="90" t="s">
        <v>94</v>
      </c>
      <c r="B73" s="146" t="s">
        <v>158</v>
      </c>
      <c r="C73" s="30" t="str">
        <f t="shared" si="4"/>
        <v xml:space="preserve">England – CCGs - Ipswich and East Suffolk </v>
      </c>
      <c r="D73" s="51">
        <f t="shared" si="7"/>
        <v>177795</v>
      </c>
      <c r="E73" s="51">
        <f t="shared" si="7"/>
        <v>184900</v>
      </c>
      <c r="F73" s="52">
        <f t="shared" si="8"/>
        <v>414449</v>
      </c>
      <c r="G73" s="52">
        <f t="shared" si="9"/>
        <v>204167</v>
      </c>
      <c r="H73" s="52">
        <f t="shared" si="10"/>
        <v>210282</v>
      </c>
      <c r="I73" s="697">
        <f t="shared" si="5"/>
        <v>177795</v>
      </c>
      <c r="J73" s="53">
        <f t="shared" si="6"/>
        <v>184900</v>
      </c>
      <c r="K73" s="50">
        <f t="shared" si="11"/>
        <v>41168</v>
      </c>
      <c r="L73" s="51">
        <f t="shared" si="12"/>
        <v>39479</v>
      </c>
      <c r="M73" s="87">
        <v>1953</v>
      </c>
      <c r="N73" s="87">
        <v>1833</v>
      </c>
      <c r="O73" s="87">
        <v>2021</v>
      </c>
      <c r="P73" s="87">
        <v>2014</v>
      </c>
      <c r="Q73" s="87">
        <v>2123</v>
      </c>
      <c r="R73" s="87">
        <v>2231</v>
      </c>
      <c r="S73" s="87">
        <v>2353</v>
      </c>
      <c r="T73" s="87">
        <v>2296</v>
      </c>
      <c r="U73" s="87">
        <v>2314</v>
      </c>
      <c r="V73" s="87">
        <v>2287</v>
      </c>
      <c r="W73" s="87">
        <v>2442</v>
      </c>
      <c r="X73" s="87">
        <v>2505</v>
      </c>
      <c r="Y73" s="87">
        <v>2469</v>
      </c>
      <c r="Z73" s="87">
        <v>2494</v>
      </c>
      <c r="AA73" s="87">
        <v>2491</v>
      </c>
      <c r="AB73" s="87">
        <v>2481</v>
      </c>
      <c r="AC73" s="87">
        <v>2374</v>
      </c>
      <c r="AD73" s="87">
        <v>2487</v>
      </c>
      <c r="AE73" s="87">
        <v>2458</v>
      </c>
      <c r="AF73" s="87">
        <v>1915</v>
      </c>
      <c r="AG73" s="87">
        <v>1842</v>
      </c>
      <c r="AH73" s="87">
        <v>1923</v>
      </c>
      <c r="AI73" s="87">
        <v>2108</v>
      </c>
      <c r="AJ73" s="87">
        <v>2238</v>
      </c>
      <c r="AK73" s="87">
        <v>2239</v>
      </c>
      <c r="AL73" s="87">
        <v>2299</v>
      </c>
      <c r="AM73" s="87">
        <v>2272</v>
      </c>
      <c r="AN73" s="87">
        <v>2254</v>
      </c>
      <c r="AO73" s="87">
        <v>2301</v>
      </c>
      <c r="AP73" s="87">
        <v>2297</v>
      </c>
      <c r="AQ73" s="87">
        <v>2370</v>
      </c>
      <c r="AR73" s="87">
        <v>2352</v>
      </c>
      <c r="AS73" s="87">
        <v>2308</v>
      </c>
      <c r="AT73" s="87">
        <v>2343</v>
      </c>
      <c r="AU73" s="87">
        <v>2543</v>
      </c>
      <c r="AV73" s="87">
        <v>2481</v>
      </c>
      <c r="AW73" s="87">
        <v>2382</v>
      </c>
      <c r="AX73" s="87">
        <v>2409</v>
      </c>
      <c r="AY73" s="87">
        <v>2301</v>
      </c>
      <c r="AZ73" s="87">
        <v>2388</v>
      </c>
      <c r="BA73" s="87">
        <v>2431</v>
      </c>
      <c r="BB73" s="87">
        <v>2474</v>
      </c>
      <c r="BC73" s="87">
        <v>2489</v>
      </c>
      <c r="BD73" s="87">
        <v>2479</v>
      </c>
      <c r="BE73" s="87">
        <v>2222</v>
      </c>
      <c r="BF73" s="87">
        <v>2235</v>
      </c>
      <c r="BG73" s="87">
        <v>2293</v>
      </c>
      <c r="BH73" s="87">
        <v>2353</v>
      </c>
      <c r="BI73" s="87">
        <v>2497</v>
      </c>
      <c r="BJ73" s="87">
        <v>2748</v>
      </c>
      <c r="BK73" s="87">
        <v>2683</v>
      </c>
      <c r="BL73" s="87">
        <v>2811</v>
      </c>
      <c r="BM73" s="87">
        <v>2861</v>
      </c>
      <c r="BN73" s="87">
        <v>2847</v>
      </c>
      <c r="BO73" s="87">
        <v>2894</v>
      </c>
      <c r="BP73" s="87">
        <v>2913</v>
      </c>
      <c r="BQ73" s="87">
        <v>2973</v>
      </c>
      <c r="BR73" s="87">
        <v>3088</v>
      </c>
      <c r="BS73" s="87">
        <v>2972</v>
      </c>
      <c r="BT73" s="87">
        <v>3036</v>
      </c>
      <c r="BU73" s="87">
        <v>2863</v>
      </c>
      <c r="BV73" s="87">
        <v>2836</v>
      </c>
      <c r="BW73" s="87">
        <v>2652</v>
      </c>
      <c r="BX73" s="87">
        <v>2732</v>
      </c>
      <c r="BY73" s="87">
        <v>2679</v>
      </c>
      <c r="BZ73" s="87">
        <v>2610</v>
      </c>
      <c r="CA73" s="87">
        <v>2391</v>
      </c>
      <c r="CB73" s="87">
        <v>2329</v>
      </c>
      <c r="CC73" s="87">
        <v>2427</v>
      </c>
      <c r="CD73" s="87">
        <v>2360</v>
      </c>
      <c r="CE73" s="87">
        <v>2304</v>
      </c>
      <c r="CF73" s="87">
        <v>2315</v>
      </c>
      <c r="CG73" s="87">
        <v>2367</v>
      </c>
      <c r="CH73" s="87">
        <v>2400</v>
      </c>
      <c r="CI73" s="87">
        <v>2579</v>
      </c>
      <c r="CJ73" s="87">
        <v>2769</v>
      </c>
      <c r="CK73" s="87">
        <v>2073</v>
      </c>
      <c r="CL73" s="87">
        <v>2018</v>
      </c>
      <c r="CM73" s="87">
        <v>1866</v>
      </c>
      <c r="CN73" s="87">
        <v>1623</v>
      </c>
      <c r="CO73" s="87">
        <v>1465</v>
      </c>
      <c r="CP73" s="87">
        <v>1168</v>
      </c>
      <c r="CQ73" s="87">
        <v>1273</v>
      </c>
      <c r="CR73" s="87">
        <v>1151</v>
      </c>
      <c r="CS73" s="87">
        <v>1054</v>
      </c>
      <c r="CT73" s="87">
        <v>933</v>
      </c>
      <c r="CU73" s="87">
        <v>839</v>
      </c>
      <c r="CV73" s="87">
        <v>787</v>
      </c>
      <c r="CW73" s="87">
        <v>586</v>
      </c>
      <c r="CX73" s="87">
        <v>513</v>
      </c>
      <c r="CY73" s="87">
        <v>1715</v>
      </c>
      <c r="CZ73" s="88">
        <v>1843</v>
      </c>
      <c r="DA73" s="88">
        <v>1825</v>
      </c>
      <c r="DB73" s="88">
        <v>1927</v>
      </c>
      <c r="DC73" s="88">
        <v>1998</v>
      </c>
      <c r="DD73" s="88">
        <v>2119</v>
      </c>
      <c r="DE73" s="88">
        <v>2094</v>
      </c>
      <c r="DF73" s="88">
        <v>2233</v>
      </c>
      <c r="DG73" s="88">
        <v>2143</v>
      </c>
      <c r="DH73" s="88">
        <v>2262</v>
      </c>
      <c r="DI73" s="88">
        <v>2297</v>
      </c>
      <c r="DJ73" s="88">
        <v>2344</v>
      </c>
      <c r="DK73" s="88">
        <v>2297</v>
      </c>
      <c r="DL73" s="88">
        <v>2429</v>
      </c>
      <c r="DM73" s="88">
        <v>2329</v>
      </c>
      <c r="DN73" s="88">
        <v>2384</v>
      </c>
      <c r="DO73" s="88">
        <v>2282</v>
      </c>
      <c r="DP73" s="88">
        <v>2363</v>
      </c>
      <c r="DQ73" s="88">
        <v>2310</v>
      </c>
      <c r="DR73" s="88">
        <v>2223</v>
      </c>
      <c r="DS73" s="88">
        <v>1594</v>
      </c>
      <c r="DT73" s="88">
        <v>1457</v>
      </c>
      <c r="DU73" s="88">
        <v>1610</v>
      </c>
      <c r="DV73" s="88">
        <v>1862</v>
      </c>
      <c r="DW73" s="88">
        <v>2028</v>
      </c>
      <c r="DX73" s="88">
        <v>2059</v>
      </c>
      <c r="DY73" s="88">
        <v>2127</v>
      </c>
      <c r="DZ73" s="88">
        <v>2158</v>
      </c>
      <c r="EA73" s="88">
        <v>2285</v>
      </c>
      <c r="EB73" s="88">
        <v>2284</v>
      </c>
      <c r="EC73" s="88">
        <v>2342</v>
      </c>
      <c r="ED73" s="88">
        <v>2430</v>
      </c>
      <c r="EE73" s="88">
        <v>2483</v>
      </c>
      <c r="EF73" s="88">
        <v>2605</v>
      </c>
      <c r="EG73" s="88">
        <v>2578</v>
      </c>
      <c r="EH73" s="88">
        <v>2591</v>
      </c>
      <c r="EI73" s="88">
        <v>2566</v>
      </c>
      <c r="EJ73" s="88">
        <v>2456</v>
      </c>
      <c r="EK73" s="88">
        <v>2461</v>
      </c>
      <c r="EL73" s="88">
        <v>2382</v>
      </c>
      <c r="EM73" s="88">
        <v>2430</v>
      </c>
      <c r="EN73" s="88">
        <v>2483</v>
      </c>
      <c r="EO73" s="88">
        <v>2503</v>
      </c>
      <c r="EP73" s="88">
        <v>2719</v>
      </c>
      <c r="EQ73" s="88">
        <v>2473</v>
      </c>
      <c r="ER73" s="88">
        <v>2305</v>
      </c>
      <c r="ES73" s="88">
        <v>2283</v>
      </c>
      <c r="ET73" s="88">
        <v>2257</v>
      </c>
      <c r="EU73" s="88">
        <v>2490</v>
      </c>
      <c r="EV73" s="88">
        <v>2670</v>
      </c>
      <c r="EW73" s="88">
        <v>2721</v>
      </c>
      <c r="EX73" s="88">
        <v>2930</v>
      </c>
      <c r="EY73" s="88">
        <v>3016</v>
      </c>
      <c r="EZ73" s="88">
        <v>2912</v>
      </c>
      <c r="FA73" s="88">
        <v>3056</v>
      </c>
      <c r="FB73" s="88">
        <v>3046</v>
      </c>
      <c r="FC73" s="88">
        <v>2980</v>
      </c>
      <c r="FD73" s="88">
        <v>3127</v>
      </c>
      <c r="FE73" s="88">
        <v>3199</v>
      </c>
      <c r="FF73" s="88">
        <v>3218</v>
      </c>
      <c r="FG73" s="88">
        <v>3074</v>
      </c>
      <c r="FH73" s="88">
        <v>2888</v>
      </c>
      <c r="FI73" s="88">
        <v>2932</v>
      </c>
      <c r="FJ73" s="88">
        <v>2734</v>
      </c>
      <c r="FK73" s="88">
        <v>2803</v>
      </c>
      <c r="FL73" s="88">
        <v>2769</v>
      </c>
      <c r="FM73" s="88">
        <v>2678</v>
      </c>
      <c r="FN73" s="88">
        <v>2573</v>
      </c>
      <c r="FO73" s="88">
        <v>2523</v>
      </c>
      <c r="FP73" s="88">
        <v>2519</v>
      </c>
      <c r="FQ73" s="88">
        <v>2441</v>
      </c>
      <c r="FR73" s="88">
        <v>2472</v>
      </c>
      <c r="FS73" s="88">
        <v>2500</v>
      </c>
      <c r="FT73" s="88">
        <v>2535</v>
      </c>
      <c r="FU73" s="88">
        <v>2528</v>
      </c>
      <c r="FV73" s="88">
        <v>2621</v>
      </c>
      <c r="FW73" s="88">
        <v>3076</v>
      </c>
      <c r="FX73" s="88">
        <v>2246</v>
      </c>
      <c r="FY73" s="88">
        <v>2113</v>
      </c>
      <c r="FZ73" s="88">
        <v>2052</v>
      </c>
      <c r="GA73" s="88">
        <v>1775</v>
      </c>
      <c r="GB73" s="88">
        <v>1713</v>
      </c>
      <c r="GC73" s="88">
        <v>1418</v>
      </c>
      <c r="GD73" s="88">
        <v>1345</v>
      </c>
      <c r="GE73" s="88">
        <v>1441</v>
      </c>
      <c r="GF73" s="88">
        <v>1288</v>
      </c>
      <c r="GG73" s="88">
        <v>1230</v>
      </c>
      <c r="GH73" s="88">
        <v>1112</v>
      </c>
      <c r="GI73" s="88">
        <v>1021</v>
      </c>
      <c r="GJ73" s="88">
        <v>846</v>
      </c>
      <c r="GK73" s="88">
        <v>770</v>
      </c>
      <c r="GL73" s="89">
        <v>3368</v>
      </c>
    </row>
    <row r="74" spans="1:194" s="1" customFormat="1" x14ac:dyDescent="0.2">
      <c r="A74" s="90" t="s">
        <v>94</v>
      </c>
      <c r="B74" s="146" t="s">
        <v>159</v>
      </c>
      <c r="C74" s="30" t="str">
        <f t="shared" si="4"/>
        <v xml:space="preserve">England – CCGs - Kent and Medway </v>
      </c>
      <c r="D74" s="51">
        <f t="shared" si="7"/>
        <v>776852</v>
      </c>
      <c r="E74" s="51">
        <f t="shared" si="7"/>
        <v>830618</v>
      </c>
      <c r="F74" s="52">
        <f t="shared" si="8"/>
        <v>1875893</v>
      </c>
      <c r="G74" s="52">
        <f t="shared" si="9"/>
        <v>914637</v>
      </c>
      <c r="H74" s="52">
        <f t="shared" si="10"/>
        <v>961256</v>
      </c>
      <c r="I74" s="697">
        <f t="shared" si="5"/>
        <v>776852</v>
      </c>
      <c r="J74" s="53">
        <f t="shared" si="6"/>
        <v>830618</v>
      </c>
      <c r="K74" s="50">
        <f t="shared" si="11"/>
        <v>209246</v>
      </c>
      <c r="L74" s="51">
        <f t="shared" si="12"/>
        <v>198454</v>
      </c>
      <c r="M74" s="87">
        <v>10274</v>
      </c>
      <c r="N74" s="87">
        <v>10208</v>
      </c>
      <c r="O74" s="87">
        <v>10865</v>
      </c>
      <c r="P74" s="87">
        <v>11173</v>
      </c>
      <c r="Q74" s="87">
        <v>11560</v>
      </c>
      <c r="R74" s="87">
        <v>11593</v>
      </c>
      <c r="S74" s="87">
        <v>11671</v>
      </c>
      <c r="T74" s="87">
        <v>11606</v>
      </c>
      <c r="U74" s="87">
        <v>11679</v>
      </c>
      <c r="V74" s="87">
        <v>12081</v>
      </c>
      <c r="W74" s="87">
        <v>12549</v>
      </c>
      <c r="X74" s="87">
        <v>12526</v>
      </c>
      <c r="Y74" s="87">
        <v>12366</v>
      </c>
      <c r="Z74" s="87">
        <v>12278</v>
      </c>
      <c r="AA74" s="87">
        <v>12022</v>
      </c>
      <c r="AB74" s="87">
        <v>11921</v>
      </c>
      <c r="AC74" s="87">
        <v>11556</v>
      </c>
      <c r="AD74" s="87">
        <v>11318</v>
      </c>
      <c r="AE74" s="87">
        <v>11096</v>
      </c>
      <c r="AF74" s="87">
        <v>9308</v>
      </c>
      <c r="AG74" s="87">
        <v>9276</v>
      </c>
      <c r="AH74" s="87">
        <v>9375</v>
      </c>
      <c r="AI74" s="87">
        <v>9537</v>
      </c>
      <c r="AJ74" s="87">
        <v>9985</v>
      </c>
      <c r="AK74" s="87">
        <v>10170</v>
      </c>
      <c r="AL74" s="87">
        <v>10094</v>
      </c>
      <c r="AM74" s="87">
        <v>9938</v>
      </c>
      <c r="AN74" s="87">
        <v>10082</v>
      </c>
      <c r="AO74" s="87">
        <v>10728</v>
      </c>
      <c r="AP74" s="87">
        <v>10817</v>
      </c>
      <c r="AQ74" s="87">
        <v>11393</v>
      </c>
      <c r="AR74" s="87">
        <v>11526</v>
      </c>
      <c r="AS74" s="87">
        <v>11547</v>
      </c>
      <c r="AT74" s="87">
        <v>11768</v>
      </c>
      <c r="AU74" s="87">
        <v>12043</v>
      </c>
      <c r="AV74" s="87">
        <v>11842</v>
      </c>
      <c r="AW74" s="87">
        <v>11947</v>
      </c>
      <c r="AX74" s="87">
        <v>11946</v>
      </c>
      <c r="AY74" s="87">
        <v>11432</v>
      </c>
      <c r="AZ74" s="87">
        <v>11495</v>
      </c>
      <c r="BA74" s="87">
        <v>11693</v>
      </c>
      <c r="BB74" s="87">
        <v>11952</v>
      </c>
      <c r="BC74" s="87">
        <v>12071</v>
      </c>
      <c r="BD74" s="87">
        <v>11725</v>
      </c>
      <c r="BE74" s="87">
        <v>10970</v>
      </c>
      <c r="BF74" s="87">
        <v>10876</v>
      </c>
      <c r="BG74" s="87">
        <v>10976</v>
      </c>
      <c r="BH74" s="87">
        <v>11264</v>
      </c>
      <c r="BI74" s="87">
        <v>11452</v>
      </c>
      <c r="BJ74" s="87">
        <v>11868</v>
      </c>
      <c r="BK74" s="87">
        <v>12261</v>
      </c>
      <c r="BL74" s="87">
        <v>12804</v>
      </c>
      <c r="BM74" s="87">
        <v>12327</v>
      </c>
      <c r="BN74" s="87">
        <v>12866</v>
      </c>
      <c r="BO74" s="87">
        <v>12923</v>
      </c>
      <c r="BP74" s="87">
        <v>12922</v>
      </c>
      <c r="BQ74" s="87">
        <v>13180</v>
      </c>
      <c r="BR74" s="87">
        <v>13117</v>
      </c>
      <c r="BS74" s="87">
        <v>12657</v>
      </c>
      <c r="BT74" s="87">
        <v>12319</v>
      </c>
      <c r="BU74" s="87">
        <v>12095</v>
      </c>
      <c r="BV74" s="87">
        <v>11521</v>
      </c>
      <c r="BW74" s="87">
        <v>10787</v>
      </c>
      <c r="BX74" s="87">
        <v>10828</v>
      </c>
      <c r="BY74" s="87">
        <v>10211</v>
      </c>
      <c r="BZ74" s="87">
        <v>9933</v>
      </c>
      <c r="CA74" s="87">
        <v>9352</v>
      </c>
      <c r="CB74" s="87">
        <v>9247</v>
      </c>
      <c r="CC74" s="87">
        <v>9077</v>
      </c>
      <c r="CD74" s="87">
        <v>8837</v>
      </c>
      <c r="CE74" s="87">
        <v>8445</v>
      </c>
      <c r="CF74" s="87">
        <v>8510</v>
      </c>
      <c r="CG74" s="87">
        <v>8681</v>
      </c>
      <c r="CH74" s="87">
        <v>8907</v>
      </c>
      <c r="CI74" s="87">
        <v>9676</v>
      </c>
      <c r="CJ74" s="87">
        <v>10530</v>
      </c>
      <c r="CK74" s="87">
        <v>7845</v>
      </c>
      <c r="CL74" s="87">
        <v>7236</v>
      </c>
      <c r="CM74" s="87">
        <v>6970</v>
      </c>
      <c r="CN74" s="87">
        <v>6190</v>
      </c>
      <c r="CO74" s="87">
        <v>5340</v>
      </c>
      <c r="CP74" s="87">
        <v>4573</v>
      </c>
      <c r="CQ74" s="87">
        <v>4488</v>
      </c>
      <c r="CR74" s="87">
        <v>4333</v>
      </c>
      <c r="CS74" s="87">
        <v>3808</v>
      </c>
      <c r="CT74" s="87">
        <v>3319</v>
      </c>
      <c r="CU74" s="87">
        <v>2975</v>
      </c>
      <c r="CV74" s="87">
        <v>2509</v>
      </c>
      <c r="CW74" s="87">
        <v>2058</v>
      </c>
      <c r="CX74" s="87">
        <v>1752</v>
      </c>
      <c r="CY74" s="87">
        <v>5790</v>
      </c>
      <c r="CZ74" s="88">
        <v>9770</v>
      </c>
      <c r="DA74" s="88">
        <v>9762</v>
      </c>
      <c r="DB74" s="88">
        <v>10200</v>
      </c>
      <c r="DC74" s="88">
        <v>10463</v>
      </c>
      <c r="DD74" s="88">
        <v>10830</v>
      </c>
      <c r="DE74" s="88">
        <v>11166</v>
      </c>
      <c r="DF74" s="88">
        <v>11046</v>
      </c>
      <c r="DG74" s="88">
        <v>11275</v>
      </c>
      <c r="DH74" s="88">
        <v>11174</v>
      </c>
      <c r="DI74" s="88">
        <v>11324</v>
      </c>
      <c r="DJ74" s="88">
        <v>11742</v>
      </c>
      <c r="DK74" s="88">
        <v>11886</v>
      </c>
      <c r="DL74" s="88">
        <v>11844</v>
      </c>
      <c r="DM74" s="88">
        <v>11498</v>
      </c>
      <c r="DN74" s="88">
        <v>11802</v>
      </c>
      <c r="DO74" s="88">
        <v>11197</v>
      </c>
      <c r="DP74" s="88">
        <v>10800</v>
      </c>
      <c r="DQ74" s="88">
        <v>10675</v>
      </c>
      <c r="DR74" s="88">
        <v>10178</v>
      </c>
      <c r="DS74" s="88">
        <v>8335</v>
      </c>
      <c r="DT74" s="88">
        <v>8509</v>
      </c>
      <c r="DU74" s="88">
        <v>8947</v>
      </c>
      <c r="DV74" s="88">
        <v>8945</v>
      </c>
      <c r="DW74" s="88">
        <v>9722</v>
      </c>
      <c r="DX74" s="88">
        <v>10346</v>
      </c>
      <c r="DY74" s="88">
        <v>10399</v>
      </c>
      <c r="DZ74" s="88">
        <v>10327</v>
      </c>
      <c r="EA74" s="88">
        <v>10896</v>
      </c>
      <c r="EB74" s="88">
        <v>11433</v>
      </c>
      <c r="EC74" s="88">
        <v>11800</v>
      </c>
      <c r="ED74" s="88">
        <v>12396</v>
      </c>
      <c r="EE74" s="88">
        <v>12649</v>
      </c>
      <c r="EF74" s="88">
        <v>13228</v>
      </c>
      <c r="EG74" s="88">
        <v>13273</v>
      </c>
      <c r="EH74" s="88">
        <v>13137</v>
      </c>
      <c r="EI74" s="88">
        <v>13062</v>
      </c>
      <c r="EJ74" s="88">
        <v>13061</v>
      </c>
      <c r="EK74" s="88">
        <v>12833</v>
      </c>
      <c r="EL74" s="88">
        <v>12690</v>
      </c>
      <c r="EM74" s="88">
        <v>12614</v>
      </c>
      <c r="EN74" s="88">
        <v>12650</v>
      </c>
      <c r="EO74" s="88">
        <v>12893</v>
      </c>
      <c r="EP74" s="88">
        <v>12962</v>
      </c>
      <c r="EQ74" s="88">
        <v>12349</v>
      </c>
      <c r="ER74" s="88">
        <v>11408</v>
      </c>
      <c r="ES74" s="88">
        <v>11378</v>
      </c>
      <c r="ET74" s="88">
        <v>11502</v>
      </c>
      <c r="EU74" s="88">
        <v>11821</v>
      </c>
      <c r="EV74" s="88">
        <v>12036</v>
      </c>
      <c r="EW74" s="88">
        <v>12575</v>
      </c>
      <c r="EX74" s="88">
        <v>12824</v>
      </c>
      <c r="EY74" s="88">
        <v>13207</v>
      </c>
      <c r="EZ74" s="88">
        <v>13080</v>
      </c>
      <c r="FA74" s="88">
        <v>13506</v>
      </c>
      <c r="FB74" s="88">
        <v>13327</v>
      </c>
      <c r="FC74" s="88">
        <v>13537</v>
      </c>
      <c r="FD74" s="88">
        <v>13351</v>
      </c>
      <c r="FE74" s="88">
        <v>13501</v>
      </c>
      <c r="FF74" s="88">
        <v>13095</v>
      </c>
      <c r="FG74" s="88">
        <v>12800</v>
      </c>
      <c r="FH74" s="88">
        <v>12404</v>
      </c>
      <c r="FI74" s="88">
        <v>11834</v>
      </c>
      <c r="FJ74" s="88">
        <v>11344</v>
      </c>
      <c r="FK74" s="88">
        <v>11172</v>
      </c>
      <c r="FL74" s="88">
        <v>10823</v>
      </c>
      <c r="FM74" s="88">
        <v>10402</v>
      </c>
      <c r="FN74" s="88">
        <v>10065</v>
      </c>
      <c r="FO74" s="88">
        <v>9842</v>
      </c>
      <c r="FP74" s="88">
        <v>9778</v>
      </c>
      <c r="FQ74" s="88">
        <v>9485</v>
      </c>
      <c r="FR74" s="88">
        <v>9357</v>
      </c>
      <c r="FS74" s="88">
        <v>9444</v>
      </c>
      <c r="FT74" s="88">
        <v>9672</v>
      </c>
      <c r="FU74" s="88">
        <v>10157</v>
      </c>
      <c r="FV74" s="88">
        <v>10753</v>
      </c>
      <c r="FW74" s="88">
        <v>11945</v>
      </c>
      <c r="FX74" s="88">
        <v>8875</v>
      </c>
      <c r="FY74" s="88">
        <v>8159</v>
      </c>
      <c r="FZ74" s="88">
        <v>8192</v>
      </c>
      <c r="GA74" s="88">
        <v>7423</v>
      </c>
      <c r="GB74" s="88">
        <v>6428</v>
      </c>
      <c r="GC74" s="88">
        <v>5513</v>
      </c>
      <c r="GD74" s="88">
        <v>5705</v>
      </c>
      <c r="GE74" s="88">
        <v>5481</v>
      </c>
      <c r="GF74" s="88">
        <v>5027</v>
      </c>
      <c r="GG74" s="88">
        <v>4656</v>
      </c>
      <c r="GH74" s="88">
        <v>4213</v>
      </c>
      <c r="GI74" s="88">
        <v>3637</v>
      </c>
      <c r="GJ74" s="88">
        <v>3211</v>
      </c>
      <c r="GK74" s="88">
        <v>2881</v>
      </c>
      <c r="GL74" s="89">
        <v>12342</v>
      </c>
    </row>
    <row r="75" spans="1:194" s="1" customFormat="1" x14ac:dyDescent="0.2">
      <c r="A75" s="90" t="s">
        <v>94</v>
      </c>
      <c r="B75" s="146" t="s">
        <v>160</v>
      </c>
      <c r="C75" s="30" t="str">
        <f t="shared" si="4"/>
        <v xml:space="preserve">England – CCGs - Kernow </v>
      </c>
      <c r="D75" s="51">
        <f t="shared" si="7"/>
        <v>245288</v>
      </c>
      <c r="E75" s="51">
        <f t="shared" si="7"/>
        <v>263949</v>
      </c>
      <c r="F75" s="52">
        <f t="shared" si="8"/>
        <v>577694</v>
      </c>
      <c r="G75" s="52">
        <f t="shared" si="9"/>
        <v>280361</v>
      </c>
      <c r="H75" s="52">
        <f t="shared" si="10"/>
        <v>297333</v>
      </c>
      <c r="I75" s="697">
        <f t="shared" si="5"/>
        <v>245288</v>
      </c>
      <c r="J75" s="53">
        <f t="shared" si="6"/>
        <v>263949</v>
      </c>
      <c r="K75" s="50">
        <f t="shared" si="11"/>
        <v>54268</v>
      </c>
      <c r="L75" s="51">
        <f t="shared" si="12"/>
        <v>51491</v>
      </c>
      <c r="M75" s="87">
        <v>2456</v>
      </c>
      <c r="N75" s="87">
        <v>2425</v>
      </c>
      <c r="O75" s="87">
        <v>2607</v>
      </c>
      <c r="P75" s="87">
        <v>2645</v>
      </c>
      <c r="Q75" s="87">
        <v>2871</v>
      </c>
      <c r="R75" s="87">
        <v>2877</v>
      </c>
      <c r="S75" s="87">
        <v>3061</v>
      </c>
      <c r="T75" s="87">
        <v>3022</v>
      </c>
      <c r="U75" s="87">
        <v>2990</v>
      </c>
      <c r="V75" s="87">
        <v>3291</v>
      </c>
      <c r="W75" s="87">
        <v>3395</v>
      </c>
      <c r="X75" s="87">
        <v>3433</v>
      </c>
      <c r="Y75" s="87">
        <v>3233</v>
      </c>
      <c r="Z75" s="87">
        <v>3316</v>
      </c>
      <c r="AA75" s="87">
        <v>3240</v>
      </c>
      <c r="AB75" s="87">
        <v>3273</v>
      </c>
      <c r="AC75" s="87">
        <v>3049</v>
      </c>
      <c r="AD75" s="87">
        <v>3084</v>
      </c>
      <c r="AE75" s="87">
        <v>3123</v>
      </c>
      <c r="AF75" s="87">
        <v>3041</v>
      </c>
      <c r="AG75" s="87">
        <v>2902</v>
      </c>
      <c r="AH75" s="87">
        <v>3054</v>
      </c>
      <c r="AI75" s="87">
        <v>2772</v>
      </c>
      <c r="AJ75" s="87">
        <v>2855</v>
      </c>
      <c r="AK75" s="87">
        <v>2756</v>
      </c>
      <c r="AL75" s="87">
        <v>2759</v>
      </c>
      <c r="AM75" s="87">
        <v>2664</v>
      </c>
      <c r="AN75" s="87">
        <v>2749</v>
      </c>
      <c r="AO75" s="87">
        <v>2810</v>
      </c>
      <c r="AP75" s="87">
        <v>2858</v>
      </c>
      <c r="AQ75" s="87">
        <v>2989</v>
      </c>
      <c r="AR75" s="87">
        <v>3133</v>
      </c>
      <c r="AS75" s="87">
        <v>3161</v>
      </c>
      <c r="AT75" s="87">
        <v>3088</v>
      </c>
      <c r="AU75" s="87">
        <v>3166</v>
      </c>
      <c r="AV75" s="87">
        <v>3082</v>
      </c>
      <c r="AW75" s="87">
        <v>3052</v>
      </c>
      <c r="AX75" s="87">
        <v>3057</v>
      </c>
      <c r="AY75" s="87">
        <v>2997</v>
      </c>
      <c r="AZ75" s="87">
        <v>3058</v>
      </c>
      <c r="BA75" s="87">
        <v>3137</v>
      </c>
      <c r="BB75" s="87">
        <v>3347</v>
      </c>
      <c r="BC75" s="87">
        <v>3285</v>
      </c>
      <c r="BD75" s="87">
        <v>2982</v>
      </c>
      <c r="BE75" s="87">
        <v>2949</v>
      </c>
      <c r="BF75" s="87">
        <v>3004</v>
      </c>
      <c r="BG75" s="87">
        <v>2976</v>
      </c>
      <c r="BH75" s="87">
        <v>3067</v>
      </c>
      <c r="BI75" s="87">
        <v>3304</v>
      </c>
      <c r="BJ75" s="87">
        <v>3623</v>
      </c>
      <c r="BK75" s="87">
        <v>3786</v>
      </c>
      <c r="BL75" s="87">
        <v>3895</v>
      </c>
      <c r="BM75" s="87">
        <v>3805</v>
      </c>
      <c r="BN75" s="87">
        <v>3971</v>
      </c>
      <c r="BO75" s="87">
        <v>3957</v>
      </c>
      <c r="BP75" s="87">
        <v>4195</v>
      </c>
      <c r="BQ75" s="87">
        <v>4211</v>
      </c>
      <c r="BR75" s="87">
        <v>4279</v>
      </c>
      <c r="BS75" s="87">
        <v>4418</v>
      </c>
      <c r="BT75" s="87">
        <v>4198</v>
      </c>
      <c r="BU75" s="87">
        <v>4162</v>
      </c>
      <c r="BV75" s="87">
        <v>4118</v>
      </c>
      <c r="BW75" s="87">
        <v>4018</v>
      </c>
      <c r="BX75" s="87">
        <v>4053</v>
      </c>
      <c r="BY75" s="87">
        <v>3856</v>
      </c>
      <c r="BZ75" s="87">
        <v>3884</v>
      </c>
      <c r="CA75" s="87">
        <v>3767</v>
      </c>
      <c r="CB75" s="87">
        <v>3567</v>
      </c>
      <c r="CC75" s="87">
        <v>3564</v>
      </c>
      <c r="CD75" s="87">
        <v>3557</v>
      </c>
      <c r="CE75" s="87">
        <v>3478</v>
      </c>
      <c r="CF75" s="87">
        <v>3544</v>
      </c>
      <c r="CG75" s="87">
        <v>3556</v>
      </c>
      <c r="CH75" s="87">
        <v>3684</v>
      </c>
      <c r="CI75" s="87">
        <v>3881</v>
      </c>
      <c r="CJ75" s="87">
        <v>4238</v>
      </c>
      <c r="CK75" s="87">
        <v>3236</v>
      </c>
      <c r="CL75" s="87">
        <v>3013</v>
      </c>
      <c r="CM75" s="87">
        <v>2870</v>
      </c>
      <c r="CN75" s="87">
        <v>2584</v>
      </c>
      <c r="CO75" s="87">
        <v>2076</v>
      </c>
      <c r="CP75" s="87">
        <v>1767</v>
      </c>
      <c r="CQ75" s="87">
        <v>1812</v>
      </c>
      <c r="CR75" s="87">
        <v>1661</v>
      </c>
      <c r="CS75" s="87">
        <v>1412</v>
      </c>
      <c r="CT75" s="87">
        <v>1270</v>
      </c>
      <c r="CU75" s="87">
        <v>1099</v>
      </c>
      <c r="CV75" s="87">
        <v>1055</v>
      </c>
      <c r="CW75" s="87">
        <v>734</v>
      </c>
      <c r="CX75" s="87">
        <v>717</v>
      </c>
      <c r="CY75" s="87">
        <v>2345</v>
      </c>
      <c r="CZ75" s="88">
        <v>2318</v>
      </c>
      <c r="DA75" s="88">
        <v>2460</v>
      </c>
      <c r="DB75" s="88">
        <v>2451</v>
      </c>
      <c r="DC75" s="88">
        <v>2584</v>
      </c>
      <c r="DD75" s="88">
        <v>2637</v>
      </c>
      <c r="DE75" s="88">
        <v>2638</v>
      </c>
      <c r="DF75" s="88">
        <v>2891</v>
      </c>
      <c r="DG75" s="88">
        <v>2963</v>
      </c>
      <c r="DH75" s="88">
        <v>3029</v>
      </c>
      <c r="DI75" s="88">
        <v>3048</v>
      </c>
      <c r="DJ75" s="88">
        <v>3198</v>
      </c>
      <c r="DK75" s="88">
        <v>3167</v>
      </c>
      <c r="DL75" s="88">
        <v>3108</v>
      </c>
      <c r="DM75" s="88">
        <v>3011</v>
      </c>
      <c r="DN75" s="88">
        <v>3090</v>
      </c>
      <c r="DO75" s="88">
        <v>3034</v>
      </c>
      <c r="DP75" s="88">
        <v>2937</v>
      </c>
      <c r="DQ75" s="88">
        <v>2927</v>
      </c>
      <c r="DR75" s="88">
        <v>2942</v>
      </c>
      <c r="DS75" s="88">
        <v>2817</v>
      </c>
      <c r="DT75" s="88">
        <v>2943</v>
      </c>
      <c r="DU75" s="88">
        <v>2748</v>
      </c>
      <c r="DV75" s="88">
        <v>2825</v>
      </c>
      <c r="DW75" s="88">
        <v>2626</v>
      </c>
      <c r="DX75" s="88">
        <v>2758</v>
      </c>
      <c r="DY75" s="88">
        <v>2766</v>
      </c>
      <c r="DZ75" s="88">
        <v>2742</v>
      </c>
      <c r="EA75" s="88">
        <v>2719</v>
      </c>
      <c r="EB75" s="88">
        <v>2883</v>
      </c>
      <c r="EC75" s="88">
        <v>3061</v>
      </c>
      <c r="ED75" s="88">
        <v>3211</v>
      </c>
      <c r="EE75" s="88">
        <v>3248</v>
      </c>
      <c r="EF75" s="88">
        <v>3316</v>
      </c>
      <c r="EG75" s="88">
        <v>3347</v>
      </c>
      <c r="EH75" s="88">
        <v>3570</v>
      </c>
      <c r="EI75" s="88">
        <v>3344</v>
      </c>
      <c r="EJ75" s="88">
        <v>3117</v>
      </c>
      <c r="EK75" s="88">
        <v>3326</v>
      </c>
      <c r="EL75" s="88">
        <v>3329</v>
      </c>
      <c r="EM75" s="88">
        <v>3289</v>
      </c>
      <c r="EN75" s="88">
        <v>3287</v>
      </c>
      <c r="EO75" s="88">
        <v>3422</v>
      </c>
      <c r="EP75" s="88">
        <v>3445</v>
      </c>
      <c r="EQ75" s="88">
        <v>3343</v>
      </c>
      <c r="ER75" s="88">
        <v>3093</v>
      </c>
      <c r="ES75" s="88">
        <v>3104</v>
      </c>
      <c r="ET75" s="88">
        <v>3222</v>
      </c>
      <c r="EU75" s="88">
        <v>3438</v>
      </c>
      <c r="EV75" s="88">
        <v>3591</v>
      </c>
      <c r="EW75" s="88">
        <v>3829</v>
      </c>
      <c r="EX75" s="88">
        <v>4111</v>
      </c>
      <c r="EY75" s="88">
        <v>4319</v>
      </c>
      <c r="EZ75" s="88">
        <v>4213</v>
      </c>
      <c r="FA75" s="88">
        <v>4277</v>
      </c>
      <c r="FB75" s="88">
        <v>4382</v>
      </c>
      <c r="FC75" s="88">
        <v>4508</v>
      </c>
      <c r="FD75" s="88">
        <v>4646</v>
      </c>
      <c r="FE75" s="88">
        <v>4551</v>
      </c>
      <c r="FF75" s="88">
        <v>4677</v>
      </c>
      <c r="FG75" s="88">
        <v>4522</v>
      </c>
      <c r="FH75" s="88">
        <v>4490</v>
      </c>
      <c r="FI75" s="88">
        <v>4295</v>
      </c>
      <c r="FJ75" s="88">
        <v>4268</v>
      </c>
      <c r="FK75" s="88">
        <v>4237</v>
      </c>
      <c r="FL75" s="88">
        <v>4212</v>
      </c>
      <c r="FM75" s="88">
        <v>4137</v>
      </c>
      <c r="FN75" s="88">
        <v>4032</v>
      </c>
      <c r="FO75" s="88">
        <v>3762</v>
      </c>
      <c r="FP75" s="88">
        <v>3995</v>
      </c>
      <c r="FQ75" s="88">
        <v>3888</v>
      </c>
      <c r="FR75" s="88">
        <v>3837</v>
      </c>
      <c r="FS75" s="88">
        <v>3814</v>
      </c>
      <c r="FT75" s="88">
        <v>3913</v>
      </c>
      <c r="FU75" s="88">
        <v>4008</v>
      </c>
      <c r="FV75" s="88">
        <v>4242</v>
      </c>
      <c r="FW75" s="88">
        <v>4647</v>
      </c>
      <c r="FX75" s="88">
        <v>3492</v>
      </c>
      <c r="FY75" s="88">
        <v>3291</v>
      </c>
      <c r="FZ75" s="88">
        <v>3351</v>
      </c>
      <c r="GA75" s="88">
        <v>2929</v>
      </c>
      <c r="GB75" s="88">
        <v>2518</v>
      </c>
      <c r="GC75" s="88">
        <v>2201</v>
      </c>
      <c r="GD75" s="88">
        <v>2021</v>
      </c>
      <c r="GE75" s="88">
        <v>1966</v>
      </c>
      <c r="GF75" s="88">
        <v>1829</v>
      </c>
      <c r="GG75" s="88">
        <v>1754</v>
      </c>
      <c r="GH75" s="88">
        <v>1562</v>
      </c>
      <c r="GI75" s="88">
        <v>1382</v>
      </c>
      <c r="GJ75" s="88">
        <v>1190</v>
      </c>
      <c r="GK75" s="88">
        <v>1102</v>
      </c>
      <c r="GL75" s="89">
        <v>4570</v>
      </c>
    </row>
    <row r="76" spans="1:194" s="1" customFormat="1" x14ac:dyDescent="0.2">
      <c r="A76" s="90" t="s">
        <v>94</v>
      </c>
      <c r="B76" s="146" t="s">
        <v>161</v>
      </c>
      <c r="C76" s="30" t="str">
        <f t="shared" si="4"/>
        <v xml:space="preserve">England – CCGs - Kirklees </v>
      </c>
      <c r="D76" s="51">
        <f t="shared" si="7"/>
        <v>182141</v>
      </c>
      <c r="E76" s="51">
        <f t="shared" si="7"/>
        <v>191145</v>
      </c>
      <c r="F76" s="52">
        <f t="shared" si="8"/>
        <v>437593</v>
      </c>
      <c r="G76" s="52">
        <f t="shared" si="9"/>
        <v>215001</v>
      </c>
      <c r="H76" s="52">
        <f t="shared" si="10"/>
        <v>222592</v>
      </c>
      <c r="I76" s="697">
        <f t="shared" si="5"/>
        <v>182141</v>
      </c>
      <c r="J76" s="53">
        <f t="shared" si="6"/>
        <v>191145</v>
      </c>
      <c r="K76" s="50">
        <f t="shared" si="11"/>
        <v>50483</v>
      </c>
      <c r="L76" s="51">
        <f t="shared" si="12"/>
        <v>47993</v>
      </c>
      <c r="M76" s="87">
        <v>2486</v>
      </c>
      <c r="N76" s="87">
        <v>2420</v>
      </c>
      <c r="O76" s="87">
        <v>2559</v>
      </c>
      <c r="P76" s="87">
        <v>2599</v>
      </c>
      <c r="Q76" s="87">
        <v>2631</v>
      </c>
      <c r="R76" s="87">
        <v>2782</v>
      </c>
      <c r="S76" s="87">
        <v>2808</v>
      </c>
      <c r="T76" s="87">
        <v>2784</v>
      </c>
      <c r="U76" s="87">
        <v>2863</v>
      </c>
      <c r="V76" s="87">
        <v>2954</v>
      </c>
      <c r="W76" s="87">
        <v>2914</v>
      </c>
      <c r="X76" s="87">
        <v>3060</v>
      </c>
      <c r="Y76" s="87">
        <v>3026</v>
      </c>
      <c r="Z76" s="87">
        <v>3010</v>
      </c>
      <c r="AA76" s="87">
        <v>2973</v>
      </c>
      <c r="AB76" s="87">
        <v>2816</v>
      </c>
      <c r="AC76" s="87">
        <v>2940</v>
      </c>
      <c r="AD76" s="87">
        <v>2858</v>
      </c>
      <c r="AE76" s="87">
        <v>2835</v>
      </c>
      <c r="AF76" s="87">
        <v>2569</v>
      </c>
      <c r="AG76" s="87">
        <v>2602</v>
      </c>
      <c r="AH76" s="87">
        <v>2747</v>
      </c>
      <c r="AI76" s="87">
        <v>2615</v>
      </c>
      <c r="AJ76" s="87">
        <v>2706</v>
      </c>
      <c r="AK76" s="87">
        <v>2667</v>
      </c>
      <c r="AL76" s="87">
        <v>2433</v>
      </c>
      <c r="AM76" s="87">
        <v>2623</v>
      </c>
      <c r="AN76" s="87">
        <v>2567</v>
      </c>
      <c r="AO76" s="87">
        <v>2578</v>
      </c>
      <c r="AP76" s="87">
        <v>2677</v>
      </c>
      <c r="AQ76" s="87">
        <v>2747</v>
      </c>
      <c r="AR76" s="87">
        <v>2690</v>
      </c>
      <c r="AS76" s="87">
        <v>2752</v>
      </c>
      <c r="AT76" s="87">
        <v>2662</v>
      </c>
      <c r="AU76" s="87">
        <v>2810</v>
      </c>
      <c r="AV76" s="87">
        <v>2833</v>
      </c>
      <c r="AW76" s="87">
        <v>2796</v>
      </c>
      <c r="AX76" s="87">
        <v>2836</v>
      </c>
      <c r="AY76" s="87">
        <v>2822</v>
      </c>
      <c r="AZ76" s="87">
        <v>2732</v>
      </c>
      <c r="BA76" s="87">
        <v>2696</v>
      </c>
      <c r="BB76" s="87">
        <v>2791</v>
      </c>
      <c r="BC76" s="87">
        <v>2843</v>
      </c>
      <c r="BD76" s="87">
        <v>2829</v>
      </c>
      <c r="BE76" s="87">
        <v>2508</v>
      </c>
      <c r="BF76" s="87">
        <v>2499</v>
      </c>
      <c r="BG76" s="87">
        <v>2527</v>
      </c>
      <c r="BH76" s="87">
        <v>2556</v>
      </c>
      <c r="BI76" s="87">
        <v>2705</v>
      </c>
      <c r="BJ76" s="87">
        <v>2801</v>
      </c>
      <c r="BK76" s="87">
        <v>3037</v>
      </c>
      <c r="BL76" s="87">
        <v>3084</v>
      </c>
      <c r="BM76" s="87">
        <v>3076</v>
      </c>
      <c r="BN76" s="87">
        <v>3068</v>
      </c>
      <c r="BO76" s="87">
        <v>3140</v>
      </c>
      <c r="BP76" s="87">
        <v>2994</v>
      </c>
      <c r="BQ76" s="87">
        <v>2944</v>
      </c>
      <c r="BR76" s="87">
        <v>2881</v>
      </c>
      <c r="BS76" s="87">
        <v>2825</v>
      </c>
      <c r="BT76" s="87">
        <v>2756</v>
      </c>
      <c r="BU76" s="87">
        <v>2636</v>
      </c>
      <c r="BV76" s="87">
        <v>2606</v>
      </c>
      <c r="BW76" s="87">
        <v>2495</v>
      </c>
      <c r="BX76" s="87">
        <v>2355</v>
      </c>
      <c r="BY76" s="87">
        <v>2404</v>
      </c>
      <c r="BZ76" s="87">
        <v>2300</v>
      </c>
      <c r="CA76" s="87">
        <v>2151</v>
      </c>
      <c r="CB76" s="87">
        <v>2020</v>
      </c>
      <c r="CC76" s="87">
        <v>2006</v>
      </c>
      <c r="CD76" s="87">
        <v>1990</v>
      </c>
      <c r="CE76" s="87">
        <v>1951</v>
      </c>
      <c r="CF76" s="87">
        <v>1954</v>
      </c>
      <c r="CG76" s="87">
        <v>1970</v>
      </c>
      <c r="CH76" s="87">
        <v>1903</v>
      </c>
      <c r="CI76" s="87">
        <v>1995</v>
      </c>
      <c r="CJ76" s="87">
        <v>2146</v>
      </c>
      <c r="CK76" s="87">
        <v>1537</v>
      </c>
      <c r="CL76" s="87">
        <v>1505</v>
      </c>
      <c r="CM76" s="87">
        <v>1349</v>
      </c>
      <c r="CN76" s="87">
        <v>1232</v>
      </c>
      <c r="CO76" s="87">
        <v>1055</v>
      </c>
      <c r="CP76" s="87">
        <v>910</v>
      </c>
      <c r="CQ76" s="87">
        <v>892</v>
      </c>
      <c r="CR76" s="87">
        <v>919</v>
      </c>
      <c r="CS76" s="87">
        <v>829</v>
      </c>
      <c r="CT76" s="87">
        <v>657</v>
      </c>
      <c r="CU76" s="87">
        <v>605</v>
      </c>
      <c r="CV76" s="87">
        <v>506</v>
      </c>
      <c r="CW76" s="87">
        <v>391</v>
      </c>
      <c r="CX76" s="87">
        <v>310</v>
      </c>
      <c r="CY76" s="87">
        <v>1080</v>
      </c>
      <c r="CZ76" s="88">
        <v>2426</v>
      </c>
      <c r="DA76" s="88">
        <v>2376</v>
      </c>
      <c r="DB76" s="88">
        <v>2500</v>
      </c>
      <c r="DC76" s="88">
        <v>2422</v>
      </c>
      <c r="DD76" s="88">
        <v>2574</v>
      </c>
      <c r="DE76" s="88">
        <v>2577</v>
      </c>
      <c r="DF76" s="88">
        <v>2672</v>
      </c>
      <c r="DG76" s="88">
        <v>2755</v>
      </c>
      <c r="DH76" s="88">
        <v>2578</v>
      </c>
      <c r="DI76" s="88">
        <v>2763</v>
      </c>
      <c r="DJ76" s="88">
        <v>2903</v>
      </c>
      <c r="DK76" s="88">
        <v>2901</v>
      </c>
      <c r="DL76" s="88">
        <v>2750</v>
      </c>
      <c r="DM76" s="88">
        <v>2781</v>
      </c>
      <c r="DN76" s="88">
        <v>2863</v>
      </c>
      <c r="DO76" s="88">
        <v>2717</v>
      </c>
      <c r="DP76" s="88">
        <v>2682</v>
      </c>
      <c r="DQ76" s="88">
        <v>2753</v>
      </c>
      <c r="DR76" s="88">
        <v>2668</v>
      </c>
      <c r="DS76" s="88">
        <v>2421</v>
      </c>
      <c r="DT76" s="88">
        <v>2457</v>
      </c>
      <c r="DU76" s="88">
        <v>2579</v>
      </c>
      <c r="DV76" s="88">
        <v>2600</v>
      </c>
      <c r="DW76" s="88">
        <v>2499</v>
      </c>
      <c r="DX76" s="88">
        <v>2496</v>
      </c>
      <c r="DY76" s="88">
        <v>2551</v>
      </c>
      <c r="DZ76" s="88">
        <v>2618</v>
      </c>
      <c r="EA76" s="88">
        <v>2586</v>
      </c>
      <c r="EB76" s="88">
        <v>2826</v>
      </c>
      <c r="EC76" s="88">
        <v>2868</v>
      </c>
      <c r="ED76" s="88">
        <v>3007</v>
      </c>
      <c r="EE76" s="88">
        <v>2995</v>
      </c>
      <c r="EF76" s="88">
        <v>3040</v>
      </c>
      <c r="EG76" s="88">
        <v>3024</v>
      </c>
      <c r="EH76" s="88">
        <v>3115</v>
      </c>
      <c r="EI76" s="88">
        <v>3076</v>
      </c>
      <c r="EJ76" s="88">
        <v>3015</v>
      </c>
      <c r="EK76" s="88">
        <v>3022</v>
      </c>
      <c r="EL76" s="88">
        <v>2888</v>
      </c>
      <c r="EM76" s="88">
        <v>2963</v>
      </c>
      <c r="EN76" s="88">
        <v>2982</v>
      </c>
      <c r="EO76" s="88">
        <v>3040</v>
      </c>
      <c r="EP76" s="88">
        <v>2976</v>
      </c>
      <c r="EQ76" s="88">
        <v>2925</v>
      </c>
      <c r="ER76" s="88">
        <v>2615</v>
      </c>
      <c r="ES76" s="88">
        <v>2500</v>
      </c>
      <c r="ET76" s="88">
        <v>2714</v>
      </c>
      <c r="EU76" s="88">
        <v>2678</v>
      </c>
      <c r="EV76" s="88">
        <v>2762</v>
      </c>
      <c r="EW76" s="88">
        <v>2861</v>
      </c>
      <c r="EX76" s="88">
        <v>3151</v>
      </c>
      <c r="EY76" s="88">
        <v>3202</v>
      </c>
      <c r="EZ76" s="88">
        <v>3098</v>
      </c>
      <c r="FA76" s="88">
        <v>3096</v>
      </c>
      <c r="FB76" s="88">
        <v>3107</v>
      </c>
      <c r="FC76" s="88">
        <v>2950</v>
      </c>
      <c r="FD76" s="88">
        <v>2998</v>
      </c>
      <c r="FE76" s="88">
        <v>2879</v>
      </c>
      <c r="FF76" s="88">
        <v>2956</v>
      </c>
      <c r="FG76" s="88">
        <v>2847</v>
      </c>
      <c r="FH76" s="88">
        <v>2721</v>
      </c>
      <c r="FI76" s="88">
        <v>2536</v>
      </c>
      <c r="FJ76" s="88">
        <v>2544</v>
      </c>
      <c r="FK76" s="88">
        <v>2479</v>
      </c>
      <c r="FL76" s="88">
        <v>2424</v>
      </c>
      <c r="FM76" s="88">
        <v>2364</v>
      </c>
      <c r="FN76" s="88">
        <v>2221</v>
      </c>
      <c r="FO76" s="88">
        <v>2094</v>
      </c>
      <c r="FP76" s="88">
        <v>2122</v>
      </c>
      <c r="FQ76" s="88">
        <v>2053</v>
      </c>
      <c r="FR76" s="88">
        <v>2047</v>
      </c>
      <c r="FS76" s="88">
        <v>2111</v>
      </c>
      <c r="FT76" s="88">
        <v>2047</v>
      </c>
      <c r="FU76" s="88">
        <v>2088</v>
      </c>
      <c r="FV76" s="88">
        <v>2262</v>
      </c>
      <c r="FW76" s="88">
        <v>2472</v>
      </c>
      <c r="FX76" s="88">
        <v>1704</v>
      </c>
      <c r="FY76" s="88">
        <v>1665</v>
      </c>
      <c r="FZ76" s="88">
        <v>1623</v>
      </c>
      <c r="GA76" s="88">
        <v>1518</v>
      </c>
      <c r="GB76" s="88">
        <v>1372</v>
      </c>
      <c r="GC76" s="88">
        <v>1069</v>
      </c>
      <c r="GD76" s="88">
        <v>1172</v>
      </c>
      <c r="GE76" s="88">
        <v>1083</v>
      </c>
      <c r="GF76" s="88">
        <v>1105</v>
      </c>
      <c r="GG76" s="88">
        <v>952</v>
      </c>
      <c r="GH76" s="88">
        <v>827</v>
      </c>
      <c r="GI76" s="88">
        <v>720</v>
      </c>
      <c r="GJ76" s="88">
        <v>653</v>
      </c>
      <c r="GK76" s="88">
        <v>552</v>
      </c>
      <c r="GL76" s="89">
        <v>2348</v>
      </c>
    </row>
    <row r="77" spans="1:194" s="1" customFormat="1" x14ac:dyDescent="0.2">
      <c r="A77" s="90" t="s">
        <v>94</v>
      </c>
      <c r="B77" s="146" t="s">
        <v>162</v>
      </c>
      <c r="C77" s="30" t="str">
        <f t="shared" si="4"/>
        <v xml:space="preserve">England – CCGs - Knowsley </v>
      </c>
      <c r="D77" s="51">
        <f t="shared" si="7"/>
        <v>63059</v>
      </c>
      <c r="E77" s="51">
        <f t="shared" si="7"/>
        <v>70382</v>
      </c>
      <c r="F77" s="52">
        <f t="shared" si="8"/>
        <v>157103</v>
      </c>
      <c r="G77" s="52">
        <f t="shared" si="9"/>
        <v>75222</v>
      </c>
      <c r="H77" s="52">
        <f t="shared" si="10"/>
        <v>81881</v>
      </c>
      <c r="I77" s="697">
        <f t="shared" si="5"/>
        <v>63059</v>
      </c>
      <c r="J77" s="53">
        <f t="shared" si="6"/>
        <v>70382</v>
      </c>
      <c r="K77" s="50">
        <f t="shared" si="11"/>
        <v>17882</v>
      </c>
      <c r="L77" s="51">
        <f t="shared" si="12"/>
        <v>16926</v>
      </c>
      <c r="M77" s="87">
        <v>1052</v>
      </c>
      <c r="N77" s="87">
        <v>965</v>
      </c>
      <c r="O77" s="87">
        <v>1027</v>
      </c>
      <c r="P77" s="87">
        <v>1039</v>
      </c>
      <c r="Q77" s="87">
        <v>1060</v>
      </c>
      <c r="R77" s="87">
        <v>1024</v>
      </c>
      <c r="S77" s="87">
        <v>1015</v>
      </c>
      <c r="T77" s="87">
        <v>1030</v>
      </c>
      <c r="U77" s="87">
        <v>962</v>
      </c>
      <c r="V77" s="87">
        <v>999</v>
      </c>
      <c r="W77" s="87">
        <v>1000</v>
      </c>
      <c r="X77" s="87">
        <v>990</v>
      </c>
      <c r="Y77" s="87">
        <v>973</v>
      </c>
      <c r="Z77" s="87">
        <v>960</v>
      </c>
      <c r="AA77" s="87">
        <v>947</v>
      </c>
      <c r="AB77" s="87">
        <v>947</v>
      </c>
      <c r="AC77" s="87">
        <v>946</v>
      </c>
      <c r="AD77" s="87">
        <v>946</v>
      </c>
      <c r="AE77" s="87">
        <v>857</v>
      </c>
      <c r="AF77" s="87">
        <v>814</v>
      </c>
      <c r="AG77" s="87">
        <v>703</v>
      </c>
      <c r="AH77" s="87">
        <v>807</v>
      </c>
      <c r="AI77" s="87">
        <v>798</v>
      </c>
      <c r="AJ77" s="87">
        <v>847</v>
      </c>
      <c r="AK77" s="87">
        <v>931</v>
      </c>
      <c r="AL77" s="87">
        <v>886</v>
      </c>
      <c r="AM77" s="87">
        <v>970</v>
      </c>
      <c r="AN77" s="87">
        <v>1012</v>
      </c>
      <c r="AO77" s="87">
        <v>1056</v>
      </c>
      <c r="AP77" s="87">
        <v>984</v>
      </c>
      <c r="AQ77" s="87">
        <v>1139</v>
      </c>
      <c r="AR77" s="87">
        <v>1117</v>
      </c>
      <c r="AS77" s="87">
        <v>1191</v>
      </c>
      <c r="AT77" s="87">
        <v>1130</v>
      </c>
      <c r="AU77" s="87">
        <v>1099</v>
      </c>
      <c r="AV77" s="87">
        <v>1057</v>
      </c>
      <c r="AW77" s="87">
        <v>1008</v>
      </c>
      <c r="AX77" s="87">
        <v>1064</v>
      </c>
      <c r="AY77" s="87">
        <v>1034</v>
      </c>
      <c r="AZ77" s="87">
        <v>1009</v>
      </c>
      <c r="BA77" s="87">
        <v>915</v>
      </c>
      <c r="BB77" s="87">
        <v>870</v>
      </c>
      <c r="BC77" s="87">
        <v>870</v>
      </c>
      <c r="BD77" s="87">
        <v>818</v>
      </c>
      <c r="BE77" s="87">
        <v>759</v>
      </c>
      <c r="BF77" s="87">
        <v>707</v>
      </c>
      <c r="BG77" s="87">
        <v>768</v>
      </c>
      <c r="BH77" s="87">
        <v>791</v>
      </c>
      <c r="BI77" s="87">
        <v>850</v>
      </c>
      <c r="BJ77" s="87">
        <v>829</v>
      </c>
      <c r="BK77" s="87">
        <v>927</v>
      </c>
      <c r="BL77" s="87">
        <v>992</v>
      </c>
      <c r="BM77" s="87">
        <v>998</v>
      </c>
      <c r="BN77" s="87">
        <v>962</v>
      </c>
      <c r="BO77" s="87">
        <v>961</v>
      </c>
      <c r="BP77" s="87">
        <v>1066</v>
      </c>
      <c r="BQ77" s="87">
        <v>1057</v>
      </c>
      <c r="BR77" s="87">
        <v>1078</v>
      </c>
      <c r="BS77" s="87">
        <v>1133</v>
      </c>
      <c r="BT77" s="87">
        <v>1130</v>
      </c>
      <c r="BU77" s="87">
        <v>1056</v>
      </c>
      <c r="BV77" s="87">
        <v>1088</v>
      </c>
      <c r="BW77" s="87">
        <v>1069</v>
      </c>
      <c r="BX77" s="87">
        <v>962</v>
      </c>
      <c r="BY77" s="87">
        <v>988</v>
      </c>
      <c r="BZ77" s="87">
        <v>948</v>
      </c>
      <c r="CA77" s="87">
        <v>853</v>
      </c>
      <c r="CB77" s="87">
        <v>824</v>
      </c>
      <c r="CC77" s="87">
        <v>784</v>
      </c>
      <c r="CD77" s="87">
        <v>791</v>
      </c>
      <c r="CE77" s="87">
        <v>648</v>
      </c>
      <c r="CF77" s="87">
        <v>657</v>
      </c>
      <c r="CG77" s="87">
        <v>629</v>
      </c>
      <c r="CH77" s="87">
        <v>669</v>
      </c>
      <c r="CI77" s="87">
        <v>591</v>
      </c>
      <c r="CJ77" s="87">
        <v>636</v>
      </c>
      <c r="CK77" s="87">
        <v>458</v>
      </c>
      <c r="CL77" s="87">
        <v>395</v>
      </c>
      <c r="CM77" s="87">
        <v>389</v>
      </c>
      <c r="CN77" s="87">
        <v>327</v>
      </c>
      <c r="CO77" s="87">
        <v>309</v>
      </c>
      <c r="CP77" s="87">
        <v>288</v>
      </c>
      <c r="CQ77" s="87">
        <v>279</v>
      </c>
      <c r="CR77" s="87">
        <v>283</v>
      </c>
      <c r="CS77" s="87">
        <v>252</v>
      </c>
      <c r="CT77" s="87">
        <v>218</v>
      </c>
      <c r="CU77" s="87">
        <v>212</v>
      </c>
      <c r="CV77" s="87">
        <v>158</v>
      </c>
      <c r="CW77" s="87">
        <v>151</v>
      </c>
      <c r="CX77" s="87">
        <v>105</v>
      </c>
      <c r="CY77" s="87">
        <v>329</v>
      </c>
      <c r="CZ77" s="88">
        <v>992</v>
      </c>
      <c r="DA77" s="88">
        <v>947</v>
      </c>
      <c r="DB77" s="88">
        <v>993</v>
      </c>
      <c r="DC77" s="88">
        <v>962</v>
      </c>
      <c r="DD77" s="88">
        <v>979</v>
      </c>
      <c r="DE77" s="88">
        <v>1011</v>
      </c>
      <c r="DF77" s="88">
        <v>937</v>
      </c>
      <c r="DG77" s="88">
        <v>923</v>
      </c>
      <c r="DH77" s="88">
        <v>918</v>
      </c>
      <c r="DI77" s="88">
        <v>923</v>
      </c>
      <c r="DJ77" s="88">
        <v>982</v>
      </c>
      <c r="DK77" s="88">
        <v>932</v>
      </c>
      <c r="DL77" s="88">
        <v>892</v>
      </c>
      <c r="DM77" s="88">
        <v>924</v>
      </c>
      <c r="DN77" s="88">
        <v>926</v>
      </c>
      <c r="DO77" s="88">
        <v>816</v>
      </c>
      <c r="DP77" s="88">
        <v>895</v>
      </c>
      <c r="DQ77" s="88">
        <v>974</v>
      </c>
      <c r="DR77" s="88">
        <v>820</v>
      </c>
      <c r="DS77" s="88">
        <v>758</v>
      </c>
      <c r="DT77" s="88">
        <v>685</v>
      </c>
      <c r="DU77" s="88">
        <v>697</v>
      </c>
      <c r="DV77" s="88">
        <v>820</v>
      </c>
      <c r="DW77" s="88">
        <v>919</v>
      </c>
      <c r="DX77" s="88">
        <v>944</v>
      </c>
      <c r="DY77" s="88">
        <v>1227</v>
      </c>
      <c r="DZ77" s="88">
        <v>1092</v>
      </c>
      <c r="EA77" s="88">
        <v>1150</v>
      </c>
      <c r="EB77" s="88">
        <v>1182</v>
      </c>
      <c r="EC77" s="88">
        <v>1204</v>
      </c>
      <c r="ED77" s="88">
        <v>1323</v>
      </c>
      <c r="EE77" s="88">
        <v>1359</v>
      </c>
      <c r="EF77" s="88">
        <v>1322</v>
      </c>
      <c r="EG77" s="88">
        <v>1259</v>
      </c>
      <c r="EH77" s="88">
        <v>1272</v>
      </c>
      <c r="EI77" s="88">
        <v>1313</v>
      </c>
      <c r="EJ77" s="88">
        <v>1195</v>
      </c>
      <c r="EK77" s="88">
        <v>1143</v>
      </c>
      <c r="EL77" s="88">
        <v>1111</v>
      </c>
      <c r="EM77" s="88">
        <v>1034</v>
      </c>
      <c r="EN77" s="88">
        <v>1042</v>
      </c>
      <c r="EO77" s="88">
        <v>1002</v>
      </c>
      <c r="EP77" s="88">
        <v>1044</v>
      </c>
      <c r="EQ77" s="88">
        <v>995</v>
      </c>
      <c r="ER77" s="88">
        <v>854</v>
      </c>
      <c r="ES77" s="88">
        <v>787</v>
      </c>
      <c r="ET77" s="88">
        <v>868</v>
      </c>
      <c r="EU77" s="88">
        <v>869</v>
      </c>
      <c r="EV77" s="88">
        <v>894</v>
      </c>
      <c r="EW77" s="88">
        <v>886</v>
      </c>
      <c r="EX77" s="88">
        <v>1027</v>
      </c>
      <c r="EY77" s="88">
        <v>1115</v>
      </c>
      <c r="EZ77" s="88">
        <v>1102</v>
      </c>
      <c r="FA77" s="88">
        <v>1138</v>
      </c>
      <c r="FB77" s="88">
        <v>1102</v>
      </c>
      <c r="FC77" s="88">
        <v>1213</v>
      </c>
      <c r="FD77" s="88">
        <v>1168</v>
      </c>
      <c r="FE77" s="88">
        <v>1271</v>
      </c>
      <c r="FF77" s="88">
        <v>1253</v>
      </c>
      <c r="FG77" s="88">
        <v>1180</v>
      </c>
      <c r="FH77" s="88">
        <v>1277</v>
      </c>
      <c r="FI77" s="88">
        <v>1165</v>
      </c>
      <c r="FJ77" s="88">
        <v>1066</v>
      </c>
      <c r="FK77" s="88">
        <v>1012</v>
      </c>
      <c r="FL77" s="88">
        <v>1054</v>
      </c>
      <c r="FM77" s="88">
        <v>1057</v>
      </c>
      <c r="FN77" s="88">
        <v>921</v>
      </c>
      <c r="FO77" s="88">
        <v>857</v>
      </c>
      <c r="FP77" s="88">
        <v>856</v>
      </c>
      <c r="FQ77" s="88">
        <v>826</v>
      </c>
      <c r="FR77" s="88">
        <v>768</v>
      </c>
      <c r="FS77" s="88">
        <v>761</v>
      </c>
      <c r="FT77" s="88">
        <v>733</v>
      </c>
      <c r="FU77" s="88">
        <v>662</v>
      </c>
      <c r="FV77" s="88">
        <v>715</v>
      </c>
      <c r="FW77" s="88">
        <v>692</v>
      </c>
      <c r="FX77" s="88">
        <v>568</v>
      </c>
      <c r="FY77" s="88">
        <v>493</v>
      </c>
      <c r="FZ77" s="88">
        <v>470</v>
      </c>
      <c r="GA77" s="88">
        <v>414</v>
      </c>
      <c r="GB77" s="88">
        <v>402</v>
      </c>
      <c r="GC77" s="88">
        <v>373</v>
      </c>
      <c r="GD77" s="88">
        <v>400</v>
      </c>
      <c r="GE77" s="88">
        <v>393</v>
      </c>
      <c r="GF77" s="88">
        <v>382</v>
      </c>
      <c r="GG77" s="88">
        <v>353</v>
      </c>
      <c r="GH77" s="88">
        <v>300</v>
      </c>
      <c r="GI77" s="88">
        <v>266</v>
      </c>
      <c r="GJ77" s="88">
        <v>216</v>
      </c>
      <c r="GK77" s="88">
        <v>195</v>
      </c>
      <c r="GL77" s="89">
        <v>669</v>
      </c>
    </row>
    <row r="78" spans="1:194" s="1" customFormat="1" x14ac:dyDescent="0.2">
      <c r="A78" s="90" t="s">
        <v>94</v>
      </c>
      <c r="B78" s="146" t="s">
        <v>163</v>
      </c>
      <c r="C78" s="30" t="str">
        <f t="shared" si="4"/>
        <v xml:space="preserve">England – CCGs - Leeds </v>
      </c>
      <c r="D78" s="51">
        <f t="shared" si="7"/>
        <v>342974</v>
      </c>
      <c r="E78" s="51">
        <f t="shared" si="7"/>
        <v>363499</v>
      </c>
      <c r="F78" s="52">
        <f t="shared" si="8"/>
        <v>822483</v>
      </c>
      <c r="G78" s="52">
        <f t="shared" si="9"/>
        <v>402324</v>
      </c>
      <c r="H78" s="52">
        <f t="shared" si="10"/>
        <v>420159</v>
      </c>
      <c r="I78" s="697">
        <f t="shared" si="5"/>
        <v>342974</v>
      </c>
      <c r="J78" s="53">
        <f t="shared" si="6"/>
        <v>363499</v>
      </c>
      <c r="K78" s="50">
        <f t="shared" si="11"/>
        <v>88464</v>
      </c>
      <c r="L78" s="51">
        <f t="shared" si="12"/>
        <v>84187</v>
      </c>
      <c r="M78" s="87">
        <v>4443</v>
      </c>
      <c r="N78" s="87">
        <v>4529</v>
      </c>
      <c r="O78" s="87">
        <v>4704</v>
      </c>
      <c r="P78" s="87">
        <v>4900</v>
      </c>
      <c r="Q78" s="87">
        <v>4864</v>
      </c>
      <c r="R78" s="87">
        <v>5037</v>
      </c>
      <c r="S78" s="87">
        <v>5185</v>
      </c>
      <c r="T78" s="87">
        <v>5123</v>
      </c>
      <c r="U78" s="87">
        <v>4981</v>
      </c>
      <c r="V78" s="87">
        <v>5228</v>
      </c>
      <c r="W78" s="87">
        <v>5246</v>
      </c>
      <c r="X78" s="87">
        <v>5110</v>
      </c>
      <c r="Y78" s="87">
        <v>5126</v>
      </c>
      <c r="Z78" s="87">
        <v>5088</v>
      </c>
      <c r="AA78" s="87">
        <v>4818</v>
      </c>
      <c r="AB78" s="87">
        <v>4887</v>
      </c>
      <c r="AC78" s="87">
        <v>4682</v>
      </c>
      <c r="AD78" s="87">
        <v>4513</v>
      </c>
      <c r="AE78" s="87">
        <v>5168</v>
      </c>
      <c r="AF78" s="87">
        <v>7685</v>
      </c>
      <c r="AG78" s="87">
        <v>7855</v>
      </c>
      <c r="AH78" s="87">
        <v>7279</v>
      </c>
      <c r="AI78" s="87">
        <v>6931</v>
      </c>
      <c r="AJ78" s="87">
        <v>6792</v>
      </c>
      <c r="AK78" s="87">
        <v>6565</v>
      </c>
      <c r="AL78" s="87">
        <v>6297</v>
      </c>
      <c r="AM78" s="87">
        <v>5985</v>
      </c>
      <c r="AN78" s="87">
        <v>6048</v>
      </c>
      <c r="AO78" s="87">
        <v>6195</v>
      </c>
      <c r="AP78" s="87">
        <v>5881</v>
      </c>
      <c r="AQ78" s="87">
        <v>5928</v>
      </c>
      <c r="AR78" s="87">
        <v>6284</v>
      </c>
      <c r="AS78" s="87">
        <v>5868</v>
      </c>
      <c r="AT78" s="87">
        <v>5690</v>
      </c>
      <c r="AU78" s="87">
        <v>5756</v>
      </c>
      <c r="AV78" s="87">
        <v>5657</v>
      </c>
      <c r="AW78" s="87">
        <v>5757</v>
      </c>
      <c r="AX78" s="87">
        <v>5520</v>
      </c>
      <c r="AY78" s="87">
        <v>5452</v>
      </c>
      <c r="AZ78" s="87">
        <v>5418</v>
      </c>
      <c r="BA78" s="87">
        <v>5430</v>
      </c>
      <c r="BB78" s="87">
        <v>5442</v>
      </c>
      <c r="BC78" s="87">
        <v>5478</v>
      </c>
      <c r="BD78" s="87">
        <v>5198</v>
      </c>
      <c r="BE78" s="87">
        <v>4734</v>
      </c>
      <c r="BF78" s="87">
        <v>4675</v>
      </c>
      <c r="BG78" s="87">
        <v>4840</v>
      </c>
      <c r="BH78" s="87">
        <v>4665</v>
      </c>
      <c r="BI78" s="87">
        <v>4760</v>
      </c>
      <c r="BJ78" s="87">
        <v>5090</v>
      </c>
      <c r="BK78" s="87">
        <v>4984</v>
      </c>
      <c r="BL78" s="87">
        <v>5303</v>
      </c>
      <c r="BM78" s="87">
        <v>5019</v>
      </c>
      <c r="BN78" s="87">
        <v>4869</v>
      </c>
      <c r="BO78" s="87">
        <v>4825</v>
      </c>
      <c r="BP78" s="87">
        <v>4914</v>
      </c>
      <c r="BQ78" s="87">
        <v>4821</v>
      </c>
      <c r="BR78" s="87">
        <v>4905</v>
      </c>
      <c r="BS78" s="87">
        <v>4790</v>
      </c>
      <c r="BT78" s="87">
        <v>4487</v>
      </c>
      <c r="BU78" s="87">
        <v>4390</v>
      </c>
      <c r="BV78" s="87">
        <v>4226</v>
      </c>
      <c r="BW78" s="87">
        <v>3935</v>
      </c>
      <c r="BX78" s="87">
        <v>3997</v>
      </c>
      <c r="BY78" s="87">
        <v>3775</v>
      </c>
      <c r="BZ78" s="87">
        <v>3578</v>
      </c>
      <c r="CA78" s="87">
        <v>3430</v>
      </c>
      <c r="CB78" s="87">
        <v>3157</v>
      </c>
      <c r="CC78" s="87">
        <v>3314</v>
      </c>
      <c r="CD78" s="87">
        <v>3196</v>
      </c>
      <c r="CE78" s="87">
        <v>2973</v>
      </c>
      <c r="CF78" s="87">
        <v>3055</v>
      </c>
      <c r="CG78" s="87">
        <v>2950</v>
      </c>
      <c r="CH78" s="87">
        <v>3144</v>
      </c>
      <c r="CI78" s="87">
        <v>3193</v>
      </c>
      <c r="CJ78" s="87">
        <v>3290</v>
      </c>
      <c r="CK78" s="87">
        <v>2411</v>
      </c>
      <c r="CL78" s="87">
        <v>2347</v>
      </c>
      <c r="CM78" s="87">
        <v>2198</v>
      </c>
      <c r="CN78" s="87">
        <v>2063</v>
      </c>
      <c r="CO78" s="87">
        <v>1716</v>
      </c>
      <c r="CP78" s="87">
        <v>1448</v>
      </c>
      <c r="CQ78" s="87">
        <v>1521</v>
      </c>
      <c r="CR78" s="87">
        <v>1411</v>
      </c>
      <c r="CS78" s="87">
        <v>1353</v>
      </c>
      <c r="CT78" s="87">
        <v>1202</v>
      </c>
      <c r="CU78" s="87">
        <v>1066</v>
      </c>
      <c r="CV78" s="87">
        <v>899</v>
      </c>
      <c r="CW78" s="87">
        <v>782</v>
      </c>
      <c r="CX78" s="87">
        <v>649</v>
      </c>
      <c r="CY78" s="87">
        <v>1951</v>
      </c>
      <c r="CZ78" s="88">
        <v>4295</v>
      </c>
      <c r="DA78" s="88">
        <v>4217</v>
      </c>
      <c r="DB78" s="88">
        <v>4526</v>
      </c>
      <c r="DC78" s="88">
        <v>4601</v>
      </c>
      <c r="DD78" s="88">
        <v>4767</v>
      </c>
      <c r="DE78" s="88">
        <v>4809</v>
      </c>
      <c r="DF78" s="88">
        <v>4915</v>
      </c>
      <c r="DG78" s="88">
        <v>4858</v>
      </c>
      <c r="DH78" s="88">
        <v>4879</v>
      </c>
      <c r="DI78" s="88">
        <v>4767</v>
      </c>
      <c r="DJ78" s="88">
        <v>5036</v>
      </c>
      <c r="DK78" s="88">
        <v>4990</v>
      </c>
      <c r="DL78" s="88">
        <v>5024</v>
      </c>
      <c r="DM78" s="88">
        <v>4783</v>
      </c>
      <c r="DN78" s="88">
        <v>4552</v>
      </c>
      <c r="DO78" s="88">
        <v>4482</v>
      </c>
      <c r="DP78" s="88">
        <v>4361</v>
      </c>
      <c r="DQ78" s="88">
        <v>4325</v>
      </c>
      <c r="DR78" s="88">
        <v>5088</v>
      </c>
      <c r="DS78" s="88">
        <v>8603</v>
      </c>
      <c r="DT78" s="88">
        <v>8625</v>
      </c>
      <c r="DU78" s="88">
        <v>7705</v>
      </c>
      <c r="DV78" s="88">
        <v>7457</v>
      </c>
      <c r="DW78" s="88">
        <v>6999</v>
      </c>
      <c r="DX78" s="88">
        <v>6897</v>
      </c>
      <c r="DY78" s="88">
        <v>6550</v>
      </c>
      <c r="DZ78" s="88">
        <v>6016</v>
      </c>
      <c r="EA78" s="88">
        <v>6162</v>
      </c>
      <c r="EB78" s="88">
        <v>6298</v>
      </c>
      <c r="EC78" s="88">
        <v>6262</v>
      </c>
      <c r="ED78" s="88">
        <v>6306</v>
      </c>
      <c r="EE78" s="88">
        <v>6342</v>
      </c>
      <c r="EF78" s="88">
        <v>6141</v>
      </c>
      <c r="EG78" s="88">
        <v>6069</v>
      </c>
      <c r="EH78" s="88">
        <v>6332</v>
      </c>
      <c r="EI78" s="88">
        <v>6082</v>
      </c>
      <c r="EJ78" s="88">
        <v>6092</v>
      </c>
      <c r="EK78" s="88">
        <v>5917</v>
      </c>
      <c r="EL78" s="88">
        <v>5674</v>
      </c>
      <c r="EM78" s="88">
        <v>5756</v>
      </c>
      <c r="EN78" s="88">
        <v>5592</v>
      </c>
      <c r="EO78" s="88">
        <v>5790</v>
      </c>
      <c r="EP78" s="88">
        <v>5600</v>
      </c>
      <c r="EQ78" s="88">
        <v>5135</v>
      </c>
      <c r="ER78" s="88">
        <v>4864</v>
      </c>
      <c r="ES78" s="88">
        <v>4818</v>
      </c>
      <c r="ET78" s="88">
        <v>4821</v>
      </c>
      <c r="EU78" s="88">
        <v>4735</v>
      </c>
      <c r="EV78" s="88">
        <v>4623</v>
      </c>
      <c r="EW78" s="88">
        <v>4836</v>
      </c>
      <c r="EX78" s="88">
        <v>5094</v>
      </c>
      <c r="EY78" s="88">
        <v>5205</v>
      </c>
      <c r="EZ78" s="88">
        <v>5061</v>
      </c>
      <c r="FA78" s="88">
        <v>5232</v>
      </c>
      <c r="FB78" s="88">
        <v>5097</v>
      </c>
      <c r="FC78" s="88">
        <v>4938</v>
      </c>
      <c r="FD78" s="88">
        <v>4896</v>
      </c>
      <c r="FE78" s="88">
        <v>4964</v>
      </c>
      <c r="FF78" s="88">
        <v>4888</v>
      </c>
      <c r="FG78" s="88">
        <v>4741</v>
      </c>
      <c r="FH78" s="88">
        <v>4656</v>
      </c>
      <c r="FI78" s="88">
        <v>4334</v>
      </c>
      <c r="FJ78" s="88">
        <v>4160</v>
      </c>
      <c r="FK78" s="88">
        <v>4155</v>
      </c>
      <c r="FL78" s="88">
        <v>4043</v>
      </c>
      <c r="FM78" s="88">
        <v>3925</v>
      </c>
      <c r="FN78" s="88">
        <v>3612</v>
      </c>
      <c r="FO78" s="88">
        <v>3360</v>
      </c>
      <c r="FP78" s="88">
        <v>3437</v>
      </c>
      <c r="FQ78" s="88">
        <v>3400</v>
      </c>
      <c r="FR78" s="88">
        <v>3270</v>
      </c>
      <c r="FS78" s="88">
        <v>3356</v>
      </c>
      <c r="FT78" s="88">
        <v>3388</v>
      </c>
      <c r="FU78" s="88">
        <v>3383</v>
      </c>
      <c r="FV78" s="88">
        <v>3620</v>
      </c>
      <c r="FW78" s="88">
        <v>3974</v>
      </c>
      <c r="FX78" s="88">
        <v>2911</v>
      </c>
      <c r="FY78" s="88">
        <v>2722</v>
      </c>
      <c r="FZ78" s="88">
        <v>2624</v>
      </c>
      <c r="GA78" s="88">
        <v>2477</v>
      </c>
      <c r="GB78" s="88">
        <v>2120</v>
      </c>
      <c r="GC78" s="88">
        <v>1874</v>
      </c>
      <c r="GD78" s="88">
        <v>2064</v>
      </c>
      <c r="GE78" s="88">
        <v>1848</v>
      </c>
      <c r="GF78" s="88">
        <v>1820</v>
      </c>
      <c r="GG78" s="88">
        <v>1715</v>
      </c>
      <c r="GH78" s="88">
        <v>1538</v>
      </c>
      <c r="GI78" s="88">
        <v>1412</v>
      </c>
      <c r="GJ78" s="88">
        <v>1161</v>
      </c>
      <c r="GK78" s="88">
        <v>1006</v>
      </c>
      <c r="GL78" s="89">
        <v>4304</v>
      </c>
    </row>
    <row r="79" spans="1:194" s="1" customFormat="1" x14ac:dyDescent="0.2">
      <c r="A79" s="90" t="s">
        <v>94</v>
      </c>
      <c r="B79" s="146" t="s">
        <v>164</v>
      </c>
      <c r="C79" s="30" t="str">
        <f t="shared" si="4"/>
        <v xml:space="preserve">England – CCGs - Leicester City </v>
      </c>
      <c r="D79" s="51">
        <f t="shared" si="7"/>
        <v>156728</v>
      </c>
      <c r="E79" s="51">
        <f t="shared" si="7"/>
        <v>159274</v>
      </c>
      <c r="F79" s="52">
        <f t="shared" si="8"/>
        <v>373399</v>
      </c>
      <c r="G79" s="52">
        <f t="shared" si="9"/>
        <v>186254</v>
      </c>
      <c r="H79" s="52">
        <f t="shared" si="10"/>
        <v>187145</v>
      </c>
      <c r="I79" s="697">
        <f t="shared" si="5"/>
        <v>156728</v>
      </c>
      <c r="J79" s="53">
        <f t="shared" si="6"/>
        <v>159274</v>
      </c>
      <c r="K79" s="50">
        <f t="shared" si="11"/>
        <v>45410</v>
      </c>
      <c r="L79" s="51">
        <f t="shared" si="12"/>
        <v>42425</v>
      </c>
      <c r="M79" s="87">
        <v>2321</v>
      </c>
      <c r="N79" s="87">
        <v>2235</v>
      </c>
      <c r="O79" s="87">
        <v>2403</v>
      </c>
      <c r="P79" s="87">
        <v>2339</v>
      </c>
      <c r="Q79" s="87">
        <v>2326</v>
      </c>
      <c r="R79" s="87">
        <v>2419</v>
      </c>
      <c r="S79" s="87">
        <v>2480</v>
      </c>
      <c r="T79" s="87">
        <v>2584</v>
      </c>
      <c r="U79" s="87">
        <v>2542</v>
      </c>
      <c r="V79" s="87">
        <v>2594</v>
      </c>
      <c r="W79" s="87">
        <v>2697</v>
      </c>
      <c r="X79" s="87">
        <v>2586</v>
      </c>
      <c r="Y79" s="87">
        <v>2541</v>
      </c>
      <c r="Z79" s="87">
        <v>2736</v>
      </c>
      <c r="AA79" s="87">
        <v>2703</v>
      </c>
      <c r="AB79" s="87">
        <v>2583</v>
      </c>
      <c r="AC79" s="87">
        <v>2642</v>
      </c>
      <c r="AD79" s="87">
        <v>2679</v>
      </c>
      <c r="AE79" s="87">
        <v>2638</v>
      </c>
      <c r="AF79" s="87">
        <v>3631</v>
      </c>
      <c r="AG79" s="87">
        <v>4296</v>
      </c>
      <c r="AH79" s="87">
        <v>4181</v>
      </c>
      <c r="AI79" s="87">
        <v>3641</v>
      </c>
      <c r="AJ79" s="87">
        <v>3491</v>
      </c>
      <c r="AK79" s="87">
        <v>3238</v>
      </c>
      <c r="AL79" s="87">
        <v>3260</v>
      </c>
      <c r="AM79" s="87">
        <v>3036</v>
      </c>
      <c r="AN79" s="87">
        <v>2987</v>
      </c>
      <c r="AO79" s="87">
        <v>2905</v>
      </c>
      <c r="AP79" s="87">
        <v>2919</v>
      </c>
      <c r="AQ79" s="87">
        <v>2804</v>
      </c>
      <c r="AR79" s="87">
        <v>2778</v>
      </c>
      <c r="AS79" s="87">
        <v>2647</v>
      </c>
      <c r="AT79" s="87">
        <v>2630</v>
      </c>
      <c r="AU79" s="87">
        <v>2589</v>
      </c>
      <c r="AV79" s="87">
        <v>2730</v>
      </c>
      <c r="AW79" s="87">
        <v>2520</v>
      </c>
      <c r="AX79" s="87">
        <v>2635</v>
      </c>
      <c r="AY79" s="87">
        <v>2629</v>
      </c>
      <c r="AZ79" s="87">
        <v>2611</v>
      </c>
      <c r="BA79" s="87">
        <v>2694</v>
      </c>
      <c r="BB79" s="87">
        <v>2602</v>
      </c>
      <c r="BC79" s="87">
        <v>2565</v>
      </c>
      <c r="BD79" s="87">
        <v>2497</v>
      </c>
      <c r="BE79" s="87">
        <v>2264</v>
      </c>
      <c r="BF79" s="87">
        <v>2328</v>
      </c>
      <c r="BG79" s="87">
        <v>2362</v>
      </c>
      <c r="BH79" s="87">
        <v>2225</v>
      </c>
      <c r="BI79" s="87">
        <v>2086</v>
      </c>
      <c r="BJ79" s="87">
        <v>2217</v>
      </c>
      <c r="BK79" s="87">
        <v>2237</v>
      </c>
      <c r="BL79" s="87">
        <v>2252</v>
      </c>
      <c r="BM79" s="87">
        <v>2231</v>
      </c>
      <c r="BN79" s="87">
        <v>2122</v>
      </c>
      <c r="BO79" s="87">
        <v>2112</v>
      </c>
      <c r="BP79" s="87">
        <v>2003</v>
      </c>
      <c r="BQ79" s="87">
        <v>1961</v>
      </c>
      <c r="BR79" s="87">
        <v>1993</v>
      </c>
      <c r="BS79" s="87">
        <v>1874</v>
      </c>
      <c r="BT79" s="87">
        <v>1904</v>
      </c>
      <c r="BU79" s="87">
        <v>1811</v>
      </c>
      <c r="BV79" s="87">
        <v>1832</v>
      </c>
      <c r="BW79" s="87">
        <v>1851</v>
      </c>
      <c r="BX79" s="87">
        <v>1719</v>
      </c>
      <c r="BY79" s="87">
        <v>1668</v>
      </c>
      <c r="BZ79" s="87">
        <v>1496</v>
      </c>
      <c r="CA79" s="87">
        <v>1454</v>
      </c>
      <c r="CB79" s="87">
        <v>1379</v>
      </c>
      <c r="CC79" s="87">
        <v>1392</v>
      </c>
      <c r="CD79" s="87">
        <v>1266</v>
      </c>
      <c r="CE79" s="87">
        <v>1224</v>
      </c>
      <c r="CF79" s="87">
        <v>1170</v>
      </c>
      <c r="CG79" s="87">
        <v>1052</v>
      </c>
      <c r="CH79" s="87">
        <v>1096</v>
      </c>
      <c r="CI79" s="87">
        <v>1023</v>
      </c>
      <c r="CJ79" s="87">
        <v>1004</v>
      </c>
      <c r="CK79" s="87">
        <v>720</v>
      </c>
      <c r="CL79" s="87">
        <v>695</v>
      </c>
      <c r="CM79" s="87">
        <v>673</v>
      </c>
      <c r="CN79" s="87">
        <v>673</v>
      </c>
      <c r="CO79" s="87">
        <v>488</v>
      </c>
      <c r="CP79" s="87">
        <v>449</v>
      </c>
      <c r="CQ79" s="87">
        <v>460</v>
      </c>
      <c r="CR79" s="87">
        <v>441</v>
      </c>
      <c r="CS79" s="87">
        <v>406</v>
      </c>
      <c r="CT79" s="87">
        <v>358</v>
      </c>
      <c r="CU79" s="87">
        <v>307</v>
      </c>
      <c r="CV79" s="87">
        <v>275</v>
      </c>
      <c r="CW79" s="87">
        <v>231</v>
      </c>
      <c r="CX79" s="87">
        <v>192</v>
      </c>
      <c r="CY79" s="87">
        <v>714</v>
      </c>
      <c r="CZ79" s="88">
        <v>2155</v>
      </c>
      <c r="DA79" s="88">
        <v>1959</v>
      </c>
      <c r="DB79" s="88">
        <v>2154</v>
      </c>
      <c r="DC79" s="88">
        <v>2145</v>
      </c>
      <c r="DD79" s="88">
        <v>2274</v>
      </c>
      <c r="DE79" s="88">
        <v>2329</v>
      </c>
      <c r="DF79" s="88">
        <v>2406</v>
      </c>
      <c r="DG79" s="88">
        <v>2410</v>
      </c>
      <c r="DH79" s="88">
        <v>2402</v>
      </c>
      <c r="DI79" s="88">
        <v>2499</v>
      </c>
      <c r="DJ79" s="88">
        <v>2598</v>
      </c>
      <c r="DK79" s="88">
        <v>2540</v>
      </c>
      <c r="DL79" s="88">
        <v>2474</v>
      </c>
      <c r="DM79" s="88">
        <v>2571</v>
      </c>
      <c r="DN79" s="88">
        <v>2469</v>
      </c>
      <c r="DO79" s="88">
        <v>2341</v>
      </c>
      <c r="DP79" s="88">
        <v>2347</v>
      </c>
      <c r="DQ79" s="88">
        <v>2352</v>
      </c>
      <c r="DR79" s="88">
        <v>2538</v>
      </c>
      <c r="DS79" s="88">
        <v>3851</v>
      </c>
      <c r="DT79" s="88">
        <v>4626</v>
      </c>
      <c r="DU79" s="88">
        <v>4104</v>
      </c>
      <c r="DV79" s="88">
        <v>3202</v>
      </c>
      <c r="DW79" s="88">
        <v>2952</v>
      </c>
      <c r="DX79" s="88">
        <v>3066</v>
      </c>
      <c r="DY79" s="88">
        <v>3006</v>
      </c>
      <c r="DZ79" s="88">
        <v>2913</v>
      </c>
      <c r="EA79" s="88">
        <v>2913</v>
      </c>
      <c r="EB79" s="88">
        <v>2871</v>
      </c>
      <c r="EC79" s="88">
        <v>2833</v>
      </c>
      <c r="ED79" s="88">
        <v>2744</v>
      </c>
      <c r="EE79" s="88">
        <v>2686</v>
      </c>
      <c r="EF79" s="88">
        <v>2898</v>
      </c>
      <c r="EG79" s="88">
        <v>2753</v>
      </c>
      <c r="EH79" s="88">
        <v>2871</v>
      </c>
      <c r="EI79" s="88">
        <v>2872</v>
      </c>
      <c r="EJ79" s="88">
        <v>2862</v>
      </c>
      <c r="EK79" s="88">
        <v>2905</v>
      </c>
      <c r="EL79" s="88">
        <v>2827</v>
      </c>
      <c r="EM79" s="88">
        <v>2777</v>
      </c>
      <c r="EN79" s="88">
        <v>2663</v>
      </c>
      <c r="EO79" s="88">
        <v>2607</v>
      </c>
      <c r="EP79" s="88">
        <v>2650</v>
      </c>
      <c r="EQ79" s="88">
        <v>2526</v>
      </c>
      <c r="ER79" s="88">
        <v>2292</v>
      </c>
      <c r="ES79" s="88">
        <v>2198</v>
      </c>
      <c r="ET79" s="88">
        <v>2321</v>
      </c>
      <c r="EU79" s="88">
        <v>2370</v>
      </c>
      <c r="EV79" s="88">
        <v>2152</v>
      </c>
      <c r="EW79" s="88">
        <v>2183</v>
      </c>
      <c r="EX79" s="88">
        <v>2241</v>
      </c>
      <c r="EY79" s="88">
        <v>2292</v>
      </c>
      <c r="EZ79" s="88">
        <v>2230</v>
      </c>
      <c r="FA79" s="88">
        <v>2245</v>
      </c>
      <c r="FB79" s="88">
        <v>2173</v>
      </c>
      <c r="FC79" s="88">
        <v>2000</v>
      </c>
      <c r="FD79" s="88">
        <v>1908</v>
      </c>
      <c r="FE79" s="88">
        <v>1958</v>
      </c>
      <c r="FF79" s="88">
        <v>1917</v>
      </c>
      <c r="FG79" s="88">
        <v>1941</v>
      </c>
      <c r="FH79" s="88">
        <v>1901</v>
      </c>
      <c r="FI79" s="88">
        <v>1835</v>
      </c>
      <c r="FJ79" s="88">
        <v>1753</v>
      </c>
      <c r="FK79" s="88">
        <v>1682</v>
      </c>
      <c r="FL79" s="88">
        <v>1598</v>
      </c>
      <c r="FM79" s="88">
        <v>1582</v>
      </c>
      <c r="FN79" s="88">
        <v>1474</v>
      </c>
      <c r="FO79" s="88">
        <v>1409</v>
      </c>
      <c r="FP79" s="88">
        <v>1413</v>
      </c>
      <c r="FQ79" s="88">
        <v>1368</v>
      </c>
      <c r="FR79" s="88">
        <v>1269</v>
      </c>
      <c r="FS79" s="88">
        <v>1205</v>
      </c>
      <c r="FT79" s="88">
        <v>1237</v>
      </c>
      <c r="FU79" s="88">
        <v>1119</v>
      </c>
      <c r="FV79" s="88">
        <v>1157</v>
      </c>
      <c r="FW79" s="88">
        <v>998</v>
      </c>
      <c r="FX79" s="88">
        <v>849</v>
      </c>
      <c r="FY79" s="88">
        <v>836</v>
      </c>
      <c r="FZ79" s="88">
        <v>759</v>
      </c>
      <c r="GA79" s="88">
        <v>758</v>
      </c>
      <c r="GB79" s="88">
        <v>638</v>
      </c>
      <c r="GC79" s="88">
        <v>642</v>
      </c>
      <c r="GD79" s="88">
        <v>614</v>
      </c>
      <c r="GE79" s="88">
        <v>596</v>
      </c>
      <c r="GF79" s="88">
        <v>594</v>
      </c>
      <c r="GG79" s="88">
        <v>568</v>
      </c>
      <c r="GH79" s="88">
        <v>480</v>
      </c>
      <c r="GI79" s="88">
        <v>420</v>
      </c>
      <c r="GJ79" s="88">
        <v>368</v>
      </c>
      <c r="GK79" s="88">
        <v>318</v>
      </c>
      <c r="GL79" s="89">
        <v>1343</v>
      </c>
    </row>
    <row r="80" spans="1:194" s="1" customFormat="1" x14ac:dyDescent="0.2">
      <c r="A80" s="90" t="s">
        <v>94</v>
      </c>
      <c r="B80" s="146" t="s">
        <v>165</v>
      </c>
      <c r="C80" s="30" t="str">
        <f t="shared" si="4"/>
        <v xml:space="preserve">England – CCGs - Lincolnshire </v>
      </c>
      <c r="D80" s="51">
        <f t="shared" si="7"/>
        <v>331395</v>
      </c>
      <c r="E80" s="51">
        <f t="shared" si="7"/>
        <v>349319</v>
      </c>
      <c r="F80" s="52">
        <f t="shared" si="8"/>
        <v>775524</v>
      </c>
      <c r="G80" s="52">
        <f t="shared" si="9"/>
        <v>380037</v>
      </c>
      <c r="H80" s="52">
        <f t="shared" si="10"/>
        <v>395487</v>
      </c>
      <c r="I80" s="697">
        <f t="shared" si="5"/>
        <v>331395</v>
      </c>
      <c r="J80" s="53">
        <f t="shared" si="6"/>
        <v>349319</v>
      </c>
      <c r="K80" s="50">
        <f t="shared" si="11"/>
        <v>74660</v>
      </c>
      <c r="L80" s="51">
        <f t="shared" si="12"/>
        <v>71352</v>
      </c>
      <c r="M80" s="87">
        <v>3298</v>
      </c>
      <c r="N80" s="87">
        <v>3611</v>
      </c>
      <c r="O80" s="87">
        <v>3746</v>
      </c>
      <c r="P80" s="87">
        <v>3836</v>
      </c>
      <c r="Q80" s="87">
        <v>4012</v>
      </c>
      <c r="R80" s="87">
        <v>4081</v>
      </c>
      <c r="S80" s="87">
        <v>4315</v>
      </c>
      <c r="T80" s="87">
        <v>4216</v>
      </c>
      <c r="U80" s="87">
        <v>4261</v>
      </c>
      <c r="V80" s="87">
        <v>4203</v>
      </c>
      <c r="W80" s="87">
        <v>4504</v>
      </c>
      <c r="X80" s="87">
        <v>4559</v>
      </c>
      <c r="Y80" s="87">
        <v>4526</v>
      </c>
      <c r="Z80" s="87">
        <v>4446</v>
      </c>
      <c r="AA80" s="87">
        <v>4599</v>
      </c>
      <c r="AB80" s="87">
        <v>4234</v>
      </c>
      <c r="AC80" s="87">
        <v>4141</v>
      </c>
      <c r="AD80" s="87">
        <v>4072</v>
      </c>
      <c r="AE80" s="87">
        <v>4208</v>
      </c>
      <c r="AF80" s="87">
        <v>4191</v>
      </c>
      <c r="AG80" s="87">
        <v>4369</v>
      </c>
      <c r="AH80" s="87">
        <v>4510</v>
      </c>
      <c r="AI80" s="87">
        <v>4304</v>
      </c>
      <c r="AJ80" s="87">
        <v>4180</v>
      </c>
      <c r="AK80" s="87">
        <v>3964</v>
      </c>
      <c r="AL80" s="87">
        <v>4209</v>
      </c>
      <c r="AM80" s="87">
        <v>4155</v>
      </c>
      <c r="AN80" s="87">
        <v>4272</v>
      </c>
      <c r="AO80" s="87">
        <v>4256</v>
      </c>
      <c r="AP80" s="87">
        <v>4371</v>
      </c>
      <c r="AQ80" s="87">
        <v>4340</v>
      </c>
      <c r="AR80" s="87">
        <v>4472</v>
      </c>
      <c r="AS80" s="87">
        <v>4546</v>
      </c>
      <c r="AT80" s="87">
        <v>4508</v>
      </c>
      <c r="AU80" s="87">
        <v>4604</v>
      </c>
      <c r="AV80" s="87">
        <v>4440</v>
      </c>
      <c r="AW80" s="87">
        <v>4280</v>
      </c>
      <c r="AX80" s="87">
        <v>4466</v>
      </c>
      <c r="AY80" s="87">
        <v>4274</v>
      </c>
      <c r="AZ80" s="87">
        <v>4232</v>
      </c>
      <c r="BA80" s="87">
        <v>4209</v>
      </c>
      <c r="BB80" s="87">
        <v>4318</v>
      </c>
      <c r="BC80" s="87">
        <v>4392</v>
      </c>
      <c r="BD80" s="87">
        <v>4303</v>
      </c>
      <c r="BE80" s="87">
        <v>3851</v>
      </c>
      <c r="BF80" s="87">
        <v>3818</v>
      </c>
      <c r="BG80" s="87">
        <v>4055</v>
      </c>
      <c r="BH80" s="87">
        <v>4126</v>
      </c>
      <c r="BI80" s="87">
        <v>4418</v>
      </c>
      <c r="BJ80" s="87">
        <v>4616</v>
      </c>
      <c r="BK80" s="87">
        <v>5201</v>
      </c>
      <c r="BL80" s="87">
        <v>5323</v>
      </c>
      <c r="BM80" s="87">
        <v>5240</v>
      </c>
      <c r="BN80" s="87">
        <v>5482</v>
      </c>
      <c r="BO80" s="87">
        <v>5386</v>
      </c>
      <c r="BP80" s="87">
        <v>5641</v>
      </c>
      <c r="BQ80" s="87">
        <v>5616</v>
      </c>
      <c r="BR80" s="87">
        <v>5709</v>
      </c>
      <c r="BS80" s="87">
        <v>5857</v>
      </c>
      <c r="BT80" s="87">
        <v>5679</v>
      </c>
      <c r="BU80" s="87">
        <v>5638</v>
      </c>
      <c r="BV80" s="87">
        <v>5527</v>
      </c>
      <c r="BW80" s="87">
        <v>5231</v>
      </c>
      <c r="BX80" s="87">
        <v>5001</v>
      </c>
      <c r="BY80" s="87">
        <v>4997</v>
      </c>
      <c r="BZ80" s="87">
        <v>4805</v>
      </c>
      <c r="CA80" s="87">
        <v>4672</v>
      </c>
      <c r="CB80" s="87">
        <v>4566</v>
      </c>
      <c r="CC80" s="87">
        <v>4537</v>
      </c>
      <c r="CD80" s="87">
        <v>4481</v>
      </c>
      <c r="CE80" s="87">
        <v>4388</v>
      </c>
      <c r="CF80" s="87">
        <v>4438</v>
      </c>
      <c r="CG80" s="87">
        <v>4514</v>
      </c>
      <c r="CH80" s="87">
        <v>4454</v>
      </c>
      <c r="CI80" s="87">
        <v>4844</v>
      </c>
      <c r="CJ80" s="87">
        <v>5209</v>
      </c>
      <c r="CK80" s="87">
        <v>4064</v>
      </c>
      <c r="CL80" s="87">
        <v>3741</v>
      </c>
      <c r="CM80" s="87">
        <v>3666</v>
      </c>
      <c r="CN80" s="87">
        <v>3246</v>
      </c>
      <c r="CO80" s="87">
        <v>2888</v>
      </c>
      <c r="CP80" s="87">
        <v>2336</v>
      </c>
      <c r="CQ80" s="87">
        <v>2295</v>
      </c>
      <c r="CR80" s="87">
        <v>2198</v>
      </c>
      <c r="CS80" s="87">
        <v>1862</v>
      </c>
      <c r="CT80" s="87">
        <v>1778</v>
      </c>
      <c r="CU80" s="87">
        <v>1517</v>
      </c>
      <c r="CV80" s="87">
        <v>1297</v>
      </c>
      <c r="CW80" s="87">
        <v>1015</v>
      </c>
      <c r="CX80" s="87">
        <v>880</v>
      </c>
      <c r="CY80" s="87">
        <v>2901</v>
      </c>
      <c r="CZ80" s="88">
        <v>3269</v>
      </c>
      <c r="DA80" s="88">
        <v>3255</v>
      </c>
      <c r="DB80" s="88">
        <v>3419</v>
      </c>
      <c r="DC80" s="88">
        <v>3559</v>
      </c>
      <c r="DD80" s="88">
        <v>3693</v>
      </c>
      <c r="DE80" s="88">
        <v>3775</v>
      </c>
      <c r="DF80" s="88">
        <v>4047</v>
      </c>
      <c r="DG80" s="88">
        <v>4095</v>
      </c>
      <c r="DH80" s="88">
        <v>4170</v>
      </c>
      <c r="DI80" s="88">
        <v>4183</v>
      </c>
      <c r="DJ80" s="88">
        <v>4280</v>
      </c>
      <c r="DK80" s="88">
        <v>4423</v>
      </c>
      <c r="DL80" s="88">
        <v>4292</v>
      </c>
      <c r="DM80" s="88">
        <v>4306</v>
      </c>
      <c r="DN80" s="88">
        <v>4304</v>
      </c>
      <c r="DO80" s="88">
        <v>4174</v>
      </c>
      <c r="DP80" s="88">
        <v>4126</v>
      </c>
      <c r="DQ80" s="88">
        <v>3982</v>
      </c>
      <c r="DR80" s="88">
        <v>3931</v>
      </c>
      <c r="DS80" s="88">
        <v>3996</v>
      </c>
      <c r="DT80" s="88">
        <v>4299</v>
      </c>
      <c r="DU80" s="88">
        <v>4379</v>
      </c>
      <c r="DV80" s="88">
        <v>4058</v>
      </c>
      <c r="DW80" s="88">
        <v>4074</v>
      </c>
      <c r="DX80" s="88">
        <v>3782</v>
      </c>
      <c r="DY80" s="88">
        <v>3951</v>
      </c>
      <c r="DZ80" s="88">
        <v>4069</v>
      </c>
      <c r="EA80" s="88">
        <v>4169</v>
      </c>
      <c r="EB80" s="88">
        <v>4328</v>
      </c>
      <c r="EC80" s="88">
        <v>4405</v>
      </c>
      <c r="ED80" s="88">
        <v>4620</v>
      </c>
      <c r="EE80" s="88">
        <v>4731</v>
      </c>
      <c r="EF80" s="88">
        <v>4678</v>
      </c>
      <c r="EG80" s="88">
        <v>4689</v>
      </c>
      <c r="EH80" s="88">
        <v>4915</v>
      </c>
      <c r="EI80" s="88">
        <v>4588</v>
      </c>
      <c r="EJ80" s="88">
        <v>4707</v>
      </c>
      <c r="EK80" s="88">
        <v>4653</v>
      </c>
      <c r="EL80" s="88">
        <v>4461</v>
      </c>
      <c r="EM80" s="88">
        <v>4521</v>
      </c>
      <c r="EN80" s="88">
        <v>4445</v>
      </c>
      <c r="EO80" s="88">
        <v>4475</v>
      </c>
      <c r="EP80" s="88">
        <v>4682</v>
      </c>
      <c r="EQ80" s="88">
        <v>4490</v>
      </c>
      <c r="ER80" s="88">
        <v>4103</v>
      </c>
      <c r="ES80" s="88">
        <v>4099</v>
      </c>
      <c r="ET80" s="88">
        <v>4224</v>
      </c>
      <c r="EU80" s="88">
        <v>4446</v>
      </c>
      <c r="EV80" s="88">
        <v>4753</v>
      </c>
      <c r="EW80" s="88">
        <v>5022</v>
      </c>
      <c r="EX80" s="88">
        <v>5342</v>
      </c>
      <c r="EY80" s="88">
        <v>5738</v>
      </c>
      <c r="EZ80" s="88">
        <v>5731</v>
      </c>
      <c r="FA80" s="88">
        <v>5805</v>
      </c>
      <c r="FB80" s="88">
        <v>5645</v>
      </c>
      <c r="FC80" s="88">
        <v>5862</v>
      </c>
      <c r="FD80" s="88">
        <v>5959</v>
      </c>
      <c r="FE80" s="88">
        <v>6064</v>
      </c>
      <c r="FF80" s="88">
        <v>5983</v>
      </c>
      <c r="FG80" s="88">
        <v>5978</v>
      </c>
      <c r="FH80" s="88">
        <v>5820</v>
      </c>
      <c r="FI80" s="88">
        <v>5780</v>
      </c>
      <c r="FJ80" s="88">
        <v>5391</v>
      </c>
      <c r="FK80" s="88">
        <v>5247</v>
      </c>
      <c r="FL80" s="88">
        <v>5325</v>
      </c>
      <c r="FM80" s="88">
        <v>5015</v>
      </c>
      <c r="FN80" s="88">
        <v>4915</v>
      </c>
      <c r="FO80" s="88">
        <v>4686</v>
      </c>
      <c r="FP80" s="88">
        <v>4823</v>
      </c>
      <c r="FQ80" s="88">
        <v>4722</v>
      </c>
      <c r="FR80" s="88">
        <v>4664</v>
      </c>
      <c r="FS80" s="88">
        <v>4747</v>
      </c>
      <c r="FT80" s="88">
        <v>4856</v>
      </c>
      <c r="FU80" s="88">
        <v>4952</v>
      </c>
      <c r="FV80" s="88">
        <v>5220</v>
      </c>
      <c r="FW80" s="88">
        <v>5496</v>
      </c>
      <c r="FX80" s="88">
        <v>4203</v>
      </c>
      <c r="FY80" s="88">
        <v>4131</v>
      </c>
      <c r="FZ80" s="88">
        <v>4044</v>
      </c>
      <c r="GA80" s="88">
        <v>3598</v>
      </c>
      <c r="GB80" s="88">
        <v>3217</v>
      </c>
      <c r="GC80" s="88">
        <v>2758</v>
      </c>
      <c r="GD80" s="88">
        <v>2717</v>
      </c>
      <c r="GE80" s="88">
        <v>2568</v>
      </c>
      <c r="GF80" s="88">
        <v>2449</v>
      </c>
      <c r="GG80" s="88">
        <v>2161</v>
      </c>
      <c r="GH80" s="88">
        <v>1902</v>
      </c>
      <c r="GI80" s="88">
        <v>1767</v>
      </c>
      <c r="GJ80" s="88">
        <v>1436</v>
      </c>
      <c r="GK80" s="88">
        <v>1245</v>
      </c>
      <c r="GL80" s="89">
        <v>5430</v>
      </c>
    </row>
    <row r="81" spans="1:194" s="1" customFormat="1" x14ac:dyDescent="0.2">
      <c r="A81" s="90" t="s">
        <v>94</v>
      </c>
      <c r="B81" s="146" t="s">
        <v>166</v>
      </c>
      <c r="C81" s="30" t="str">
        <f t="shared" si="4"/>
        <v xml:space="preserve">England – CCGs - Liverpool </v>
      </c>
      <c r="D81" s="51">
        <f t="shared" si="7"/>
        <v>210219</v>
      </c>
      <c r="E81" s="51">
        <f t="shared" si="7"/>
        <v>222157</v>
      </c>
      <c r="F81" s="52">
        <f t="shared" si="8"/>
        <v>496770</v>
      </c>
      <c r="G81" s="52">
        <f t="shared" si="9"/>
        <v>243137</v>
      </c>
      <c r="H81" s="52">
        <f t="shared" si="10"/>
        <v>253633</v>
      </c>
      <c r="I81" s="697">
        <f t="shared" si="5"/>
        <v>210219</v>
      </c>
      <c r="J81" s="53">
        <f t="shared" si="6"/>
        <v>222157</v>
      </c>
      <c r="K81" s="50">
        <f t="shared" si="11"/>
        <v>48422</v>
      </c>
      <c r="L81" s="51">
        <f t="shared" si="12"/>
        <v>46060</v>
      </c>
      <c r="M81" s="87">
        <v>2688</v>
      </c>
      <c r="N81" s="87">
        <v>2504</v>
      </c>
      <c r="O81" s="87">
        <v>2619</v>
      </c>
      <c r="P81" s="87">
        <v>2774</v>
      </c>
      <c r="Q81" s="87">
        <v>2823</v>
      </c>
      <c r="R81" s="87">
        <v>2870</v>
      </c>
      <c r="S81" s="87">
        <v>2887</v>
      </c>
      <c r="T81" s="87">
        <v>2825</v>
      </c>
      <c r="U81" s="87">
        <v>2683</v>
      </c>
      <c r="V81" s="87">
        <v>2760</v>
      </c>
      <c r="W81" s="87">
        <v>2718</v>
      </c>
      <c r="X81" s="87">
        <v>2767</v>
      </c>
      <c r="Y81" s="87">
        <v>2570</v>
      </c>
      <c r="Z81" s="87">
        <v>2596</v>
      </c>
      <c r="AA81" s="87">
        <v>2589</v>
      </c>
      <c r="AB81" s="87">
        <v>2590</v>
      </c>
      <c r="AC81" s="87">
        <v>2528</v>
      </c>
      <c r="AD81" s="87">
        <v>2631</v>
      </c>
      <c r="AE81" s="87">
        <v>3103</v>
      </c>
      <c r="AF81" s="87">
        <v>6181</v>
      </c>
      <c r="AG81" s="87">
        <v>6545</v>
      </c>
      <c r="AH81" s="87">
        <v>6299</v>
      </c>
      <c r="AI81" s="87">
        <v>5132</v>
      </c>
      <c r="AJ81" s="87">
        <v>4499</v>
      </c>
      <c r="AK81" s="87">
        <v>3982</v>
      </c>
      <c r="AL81" s="87">
        <v>4166</v>
      </c>
      <c r="AM81" s="87">
        <v>4023</v>
      </c>
      <c r="AN81" s="87">
        <v>3844</v>
      </c>
      <c r="AO81" s="87">
        <v>3810</v>
      </c>
      <c r="AP81" s="87">
        <v>3948</v>
      </c>
      <c r="AQ81" s="87">
        <v>3797</v>
      </c>
      <c r="AR81" s="87">
        <v>3920</v>
      </c>
      <c r="AS81" s="87">
        <v>3764</v>
      </c>
      <c r="AT81" s="87">
        <v>3617</v>
      </c>
      <c r="AU81" s="87">
        <v>3745</v>
      </c>
      <c r="AV81" s="87">
        <v>3540</v>
      </c>
      <c r="AW81" s="87">
        <v>3399</v>
      </c>
      <c r="AX81" s="87">
        <v>3428</v>
      </c>
      <c r="AY81" s="87">
        <v>3288</v>
      </c>
      <c r="AZ81" s="87">
        <v>3026</v>
      </c>
      <c r="BA81" s="87">
        <v>3089</v>
      </c>
      <c r="BB81" s="87">
        <v>3062</v>
      </c>
      <c r="BC81" s="87">
        <v>2969</v>
      </c>
      <c r="BD81" s="87">
        <v>2900</v>
      </c>
      <c r="BE81" s="87">
        <v>2547</v>
      </c>
      <c r="BF81" s="87">
        <v>2364</v>
      </c>
      <c r="BG81" s="87">
        <v>2513</v>
      </c>
      <c r="BH81" s="87">
        <v>2609</v>
      </c>
      <c r="BI81" s="87">
        <v>2542</v>
      </c>
      <c r="BJ81" s="87">
        <v>2629</v>
      </c>
      <c r="BK81" s="87">
        <v>2803</v>
      </c>
      <c r="BL81" s="87">
        <v>2868</v>
      </c>
      <c r="BM81" s="87">
        <v>2793</v>
      </c>
      <c r="BN81" s="87">
        <v>2893</v>
      </c>
      <c r="BO81" s="87">
        <v>2770</v>
      </c>
      <c r="BP81" s="87">
        <v>2853</v>
      </c>
      <c r="BQ81" s="87">
        <v>2647</v>
      </c>
      <c r="BR81" s="87">
        <v>2856</v>
      </c>
      <c r="BS81" s="87">
        <v>2926</v>
      </c>
      <c r="BT81" s="87">
        <v>2942</v>
      </c>
      <c r="BU81" s="87">
        <v>2903</v>
      </c>
      <c r="BV81" s="87">
        <v>2864</v>
      </c>
      <c r="BW81" s="87">
        <v>2766</v>
      </c>
      <c r="BX81" s="87">
        <v>2551</v>
      </c>
      <c r="BY81" s="87">
        <v>2576</v>
      </c>
      <c r="BZ81" s="87">
        <v>2342</v>
      </c>
      <c r="CA81" s="87">
        <v>2342</v>
      </c>
      <c r="CB81" s="87">
        <v>2128</v>
      </c>
      <c r="CC81" s="87">
        <v>2122</v>
      </c>
      <c r="CD81" s="87">
        <v>2053</v>
      </c>
      <c r="CE81" s="87">
        <v>2023</v>
      </c>
      <c r="CF81" s="87">
        <v>1986</v>
      </c>
      <c r="CG81" s="87">
        <v>1760</v>
      </c>
      <c r="CH81" s="87">
        <v>1768</v>
      </c>
      <c r="CI81" s="87">
        <v>1737</v>
      </c>
      <c r="CJ81" s="87">
        <v>1910</v>
      </c>
      <c r="CK81" s="87">
        <v>1403</v>
      </c>
      <c r="CL81" s="87">
        <v>1225</v>
      </c>
      <c r="CM81" s="87">
        <v>1237</v>
      </c>
      <c r="CN81" s="87">
        <v>1022</v>
      </c>
      <c r="CO81" s="87">
        <v>944</v>
      </c>
      <c r="CP81" s="87">
        <v>887</v>
      </c>
      <c r="CQ81" s="87">
        <v>877</v>
      </c>
      <c r="CR81" s="87">
        <v>764</v>
      </c>
      <c r="CS81" s="87">
        <v>717</v>
      </c>
      <c r="CT81" s="87">
        <v>595</v>
      </c>
      <c r="CU81" s="87">
        <v>565</v>
      </c>
      <c r="CV81" s="87">
        <v>416</v>
      </c>
      <c r="CW81" s="87">
        <v>352</v>
      </c>
      <c r="CX81" s="87">
        <v>353</v>
      </c>
      <c r="CY81" s="87">
        <v>896</v>
      </c>
      <c r="CZ81" s="88">
        <v>2589</v>
      </c>
      <c r="DA81" s="88">
        <v>2615</v>
      </c>
      <c r="DB81" s="88">
        <v>2557</v>
      </c>
      <c r="DC81" s="88">
        <v>2591</v>
      </c>
      <c r="DD81" s="88">
        <v>2626</v>
      </c>
      <c r="DE81" s="88">
        <v>2662</v>
      </c>
      <c r="DF81" s="88">
        <v>2632</v>
      </c>
      <c r="DG81" s="88">
        <v>2697</v>
      </c>
      <c r="DH81" s="88">
        <v>2682</v>
      </c>
      <c r="DI81" s="88">
        <v>2618</v>
      </c>
      <c r="DJ81" s="88">
        <v>2652</v>
      </c>
      <c r="DK81" s="88">
        <v>2555</v>
      </c>
      <c r="DL81" s="88">
        <v>2448</v>
      </c>
      <c r="DM81" s="88">
        <v>2480</v>
      </c>
      <c r="DN81" s="88">
        <v>2559</v>
      </c>
      <c r="DO81" s="88">
        <v>2429</v>
      </c>
      <c r="DP81" s="88">
        <v>2312</v>
      </c>
      <c r="DQ81" s="88">
        <v>2356</v>
      </c>
      <c r="DR81" s="88">
        <v>3094</v>
      </c>
      <c r="DS81" s="88">
        <v>7425</v>
      </c>
      <c r="DT81" s="88">
        <v>7838</v>
      </c>
      <c r="DU81" s="88">
        <v>6988</v>
      </c>
      <c r="DV81" s="88">
        <v>4767</v>
      </c>
      <c r="DW81" s="88">
        <v>4376</v>
      </c>
      <c r="DX81" s="88">
        <v>3706</v>
      </c>
      <c r="DY81" s="88">
        <v>4018</v>
      </c>
      <c r="DZ81" s="88">
        <v>3851</v>
      </c>
      <c r="EA81" s="88">
        <v>3930</v>
      </c>
      <c r="EB81" s="88">
        <v>3915</v>
      </c>
      <c r="EC81" s="88">
        <v>3682</v>
      </c>
      <c r="ED81" s="88">
        <v>3793</v>
      </c>
      <c r="EE81" s="88">
        <v>3800</v>
      </c>
      <c r="EF81" s="88">
        <v>3775</v>
      </c>
      <c r="EG81" s="88">
        <v>3725</v>
      </c>
      <c r="EH81" s="88">
        <v>3830</v>
      </c>
      <c r="EI81" s="88">
        <v>3633</v>
      </c>
      <c r="EJ81" s="88">
        <v>3679</v>
      </c>
      <c r="EK81" s="88">
        <v>3551</v>
      </c>
      <c r="EL81" s="88">
        <v>3216</v>
      </c>
      <c r="EM81" s="88">
        <v>3280</v>
      </c>
      <c r="EN81" s="88">
        <v>3172</v>
      </c>
      <c r="EO81" s="88">
        <v>3035</v>
      </c>
      <c r="EP81" s="88">
        <v>3059</v>
      </c>
      <c r="EQ81" s="88">
        <v>2839</v>
      </c>
      <c r="ER81" s="88">
        <v>2597</v>
      </c>
      <c r="ES81" s="88">
        <v>2399</v>
      </c>
      <c r="ET81" s="88">
        <v>2497</v>
      </c>
      <c r="EU81" s="88">
        <v>2581</v>
      </c>
      <c r="EV81" s="88">
        <v>2602</v>
      </c>
      <c r="EW81" s="88">
        <v>2645</v>
      </c>
      <c r="EX81" s="88">
        <v>2841</v>
      </c>
      <c r="EY81" s="88">
        <v>2937</v>
      </c>
      <c r="EZ81" s="88">
        <v>3035</v>
      </c>
      <c r="FA81" s="88">
        <v>2965</v>
      </c>
      <c r="FB81" s="88">
        <v>2756</v>
      </c>
      <c r="FC81" s="88">
        <v>2905</v>
      </c>
      <c r="FD81" s="88">
        <v>3099</v>
      </c>
      <c r="FE81" s="88">
        <v>3234</v>
      </c>
      <c r="FF81" s="88">
        <v>3123</v>
      </c>
      <c r="FG81" s="88">
        <v>3240</v>
      </c>
      <c r="FH81" s="88">
        <v>3218</v>
      </c>
      <c r="FI81" s="88">
        <v>3042</v>
      </c>
      <c r="FJ81" s="88">
        <v>2921</v>
      </c>
      <c r="FK81" s="88">
        <v>2842</v>
      </c>
      <c r="FL81" s="88">
        <v>2695</v>
      </c>
      <c r="FM81" s="88">
        <v>2647</v>
      </c>
      <c r="FN81" s="88">
        <v>2518</v>
      </c>
      <c r="FO81" s="88">
        <v>2330</v>
      </c>
      <c r="FP81" s="88">
        <v>2303</v>
      </c>
      <c r="FQ81" s="88">
        <v>2211</v>
      </c>
      <c r="FR81" s="88">
        <v>2116</v>
      </c>
      <c r="FS81" s="88">
        <v>2031</v>
      </c>
      <c r="FT81" s="88">
        <v>2074</v>
      </c>
      <c r="FU81" s="88">
        <v>1981</v>
      </c>
      <c r="FV81" s="88">
        <v>2009</v>
      </c>
      <c r="FW81" s="88">
        <v>2117</v>
      </c>
      <c r="FX81" s="88">
        <v>1595</v>
      </c>
      <c r="FY81" s="88">
        <v>1462</v>
      </c>
      <c r="FZ81" s="88">
        <v>1434</v>
      </c>
      <c r="GA81" s="88">
        <v>1387</v>
      </c>
      <c r="GB81" s="88">
        <v>1162</v>
      </c>
      <c r="GC81" s="88">
        <v>1152</v>
      </c>
      <c r="GD81" s="88">
        <v>1083</v>
      </c>
      <c r="GE81" s="88">
        <v>1059</v>
      </c>
      <c r="GF81" s="88">
        <v>1004</v>
      </c>
      <c r="GG81" s="88">
        <v>934</v>
      </c>
      <c r="GH81" s="88">
        <v>879</v>
      </c>
      <c r="GI81" s="88">
        <v>744</v>
      </c>
      <c r="GJ81" s="88">
        <v>587</v>
      </c>
      <c r="GK81" s="88">
        <v>545</v>
      </c>
      <c r="GL81" s="89">
        <v>2058</v>
      </c>
    </row>
    <row r="82" spans="1:194" s="1" customFormat="1" x14ac:dyDescent="0.2">
      <c r="A82" s="90" t="s">
        <v>94</v>
      </c>
      <c r="B82" s="146" t="s">
        <v>167</v>
      </c>
      <c r="C82" s="30" t="str">
        <f t="shared" si="4"/>
        <v xml:space="preserve">England – CCGs - Manchester </v>
      </c>
      <c r="D82" s="51">
        <f t="shared" si="7"/>
        <v>239544</v>
      </c>
      <c r="E82" s="51">
        <f t="shared" si="7"/>
        <v>243980</v>
      </c>
      <c r="F82" s="52">
        <f t="shared" si="8"/>
        <v>568996</v>
      </c>
      <c r="G82" s="52">
        <f t="shared" si="9"/>
        <v>282913</v>
      </c>
      <c r="H82" s="52">
        <f t="shared" si="10"/>
        <v>286083</v>
      </c>
      <c r="I82" s="697">
        <f t="shared" si="5"/>
        <v>239544</v>
      </c>
      <c r="J82" s="53">
        <f t="shared" si="6"/>
        <v>243980</v>
      </c>
      <c r="K82" s="50">
        <f t="shared" si="11"/>
        <v>65304</v>
      </c>
      <c r="L82" s="51">
        <f t="shared" si="12"/>
        <v>63083</v>
      </c>
      <c r="M82" s="87">
        <v>3663</v>
      </c>
      <c r="N82" s="87">
        <v>3320</v>
      </c>
      <c r="O82" s="87">
        <v>3507</v>
      </c>
      <c r="P82" s="87">
        <v>3430</v>
      </c>
      <c r="Q82" s="87">
        <v>3405</v>
      </c>
      <c r="R82" s="87">
        <v>3570</v>
      </c>
      <c r="S82" s="87">
        <v>3704</v>
      </c>
      <c r="T82" s="87">
        <v>3733</v>
      </c>
      <c r="U82" s="87">
        <v>3676</v>
      </c>
      <c r="V82" s="87">
        <v>3793</v>
      </c>
      <c r="W82" s="87">
        <v>3791</v>
      </c>
      <c r="X82" s="87">
        <v>3777</v>
      </c>
      <c r="Y82" s="87">
        <v>3836</v>
      </c>
      <c r="Z82" s="87">
        <v>3784</v>
      </c>
      <c r="AA82" s="87">
        <v>3766</v>
      </c>
      <c r="AB82" s="87">
        <v>3578</v>
      </c>
      <c r="AC82" s="87">
        <v>3471</v>
      </c>
      <c r="AD82" s="87">
        <v>3500</v>
      </c>
      <c r="AE82" s="87">
        <v>4220</v>
      </c>
      <c r="AF82" s="87">
        <v>7695</v>
      </c>
      <c r="AG82" s="87">
        <v>7680</v>
      </c>
      <c r="AH82" s="87">
        <v>6868</v>
      </c>
      <c r="AI82" s="87">
        <v>6453</v>
      </c>
      <c r="AJ82" s="87">
        <v>5970</v>
      </c>
      <c r="AK82" s="87">
        <v>6059</v>
      </c>
      <c r="AL82" s="87">
        <v>5934</v>
      </c>
      <c r="AM82" s="87">
        <v>5806</v>
      </c>
      <c r="AN82" s="87">
        <v>5649</v>
      </c>
      <c r="AO82" s="87">
        <v>5439</v>
      </c>
      <c r="AP82" s="87">
        <v>5253</v>
      </c>
      <c r="AQ82" s="87">
        <v>5125</v>
      </c>
      <c r="AR82" s="87">
        <v>5162</v>
      </c>
      <c r="AS82" s="87">
        <v>4880</v>
      </c>
      <c r="AT82" s="87">
        <v>4562</v>
      </c>
      <c r="AU82" s="87">
        <v>4814</v>
      </c>
      <c r="AV82" s="87">
        <v>4273</v>
      </c>
      <c r="AW82" s="87">
        <v>4380</v>
      </c>
      <c r="AX82" s="87">
        <v>4279</v>
      </c>
      <c r="AY82" s="87">
        <v>3946</v>
      </c>
      <c r="AZ82" s="87">
        <v>3886</v>
      </c>
      <c r="BA82" s="87">
        <v>3891</v>
      </c>
      <c r="BB82" s="87">
        <v>3813</v>
      </c>
      <c r="BC82" s="87">
        <v>3719</v>
      </c>
      <c r="BD82" s="87">
        <v>3485</v>
      </c>
      <c r="BE82" s="87">
        <v>3278</v>
      </c>
      <c r="BF82" s="87">
        <v>3124</v>
      </c>
      <c r="BG82" s="87">
        <v>3254</v>
      </c>
      <c r="BH82" s="87">
        <v>3164</v>
      </c>
      <c r="BI82" s="87">
        <v>3056</v>
      </c>
      <c r="BJ82" s="87">
        <v>3117</v>
      </c>
      <c r="BK82" s="87">
        <v>3015</v>
      </c>
      <c r="BL82" s="87">
        <v>3151</v>
      </c>
      <c r="BM82" s="87">
        <v>3027</v>
      </c>
      <c r="BN82" s="87">
        <v>3126</v>
      </c>
      <c r="BO82" s="87">
        <v>3010</v>
      </c>
      <c r="BP82" s="87">
        <v>2994</v>
      </c>
      <c r="BQ82" s="87">
        <v>2820</v>
      </c>
      <c r="BR82" s="87">
        <v>2820</v>
      </c>
      <c r="BS82" s="87">
        <v>2627</v>
      </c>
      <c r="BT82" s="87">
        <v>2536</v>
      </c>
      <c r="BU82" s="87">
        <v>2452</v>
      </c>
      <c r="BV82" s="87">
        <v>2275</v>
      </c>
      <c r="BW82" s="87">
        <v>2234</v>
      </c>
      <c r="BX82" s="87">
        <v>2159</v>
      </c>
      <c r="BY82" s="87">
        <v>2072</v>
      </c>
      <c r="BZ82" s="87">
        <v>1942</v>
      </c>
      <c r="CA82" s="87">
        <v>1821</v>
      </c>
      <c r="CB82" s="87">
        <v>1775</v>
      </c>
      <c r="CC82" s="87">
        <v>1591</v>
      </c>
      <c r="CD82" s="87">
        <v>1582</v>
      </c>
      <c r="CE82" s="87">
        <v>1437</v>
      </c>
      <c r="CF82" s="87">
        <v>1390</v>
      </c>
      <c r="CG82" s="87">
        <v>1356</v>
      </c>
      <c r="CH82" s="87">
        <v>1359</v>
      </c>
      <c r="CI82" s="87">
        <v>1290</v>
      </c>
      <c r="CJ82" s="87">
        <v>1215</v>
      </c>
      <c r="CK82" s="87">
        <v>874</v>
      </c>
      <c r="CL82" s="87">
        <v>877</v>
      </c>
      <c r="CM82" s="87">
        <v>804</v>
      </c>
      <c r="CN82" s="87">
        <v>719</v>
      </c>
      <c r="CO82" s="87">
        <v>694</v>
      </c>
      <c r="CP82" s="87">
        <v>619</v>
      </c>
      <c r="CQ82" s="87">
        <v>546</v>
      </c>
      <c r="CR82" s="87">
        <v>516</v>
      </c>
      <c r="CS82" s="87">
        <v>460</v>
      </c>
      <c r="CT82" s="87">
        <v>404</v>
      </c>
      <c r="CU82" s="87">
        <v>363</v>
      </c>
      <c r="CV82" s="87">
        <v>297</v>
      </c>
      <c r="CW82" s="87">
        <v>276</v>
      </c>
      <c r="CX82" s="87">
        <v>189</v>
      </c>
      <c r="CY82" s="87">
        <v>661</v>
      </c>
      <c r="CZ82" s="88">
        <v>3452</v>
      </c>
      <c r="DA82" s="88">
        <v>3297</v>
      </c>
      <c r="DB82" s="88">
        <v>3422</v>
      </c>
      <c r="DC82" s="88">
        <v>3445</v>
      </c>
      <c r="DD82" s="88">
        <v>3340</v>
      </c>
      <c r="DE82" s="88">
        <v>3570</v>
      </c>
      <c r="DF82" s="88">
        <v>3529</v>
      </c>
      <c r="DG82" s="88">
        <v>3576</v>
      </c>
      <c r="DH82" s="88">
        <v>3610</v>
      </c>
      <c r="DI82" s="88">
        <v>3506</v>
      </c>
      <c r="DJ82" s="88">
        <v>3722</v>
      </c>
      <c r="DK82" s="88">
        <v>3634</v>
      </c>
      <c r="DL82" s="88">
        <v>3661</v>
      </c>
      <c r="DM82" s="88">
        <v>3529</v>
      </c>
      <c r="DN82" s="88">
        <v>3532</v>
      </c>
      <c r="DO82" s="88">
        <v>3477</v>
      </c>
      <c r="DP82" s="88">
        <v>3447</v>
      </c>
      <c r="DQ82" s="88">
        <v>3334</v>
      </c>
      <c r="DR82" s="88">
        <v>4183</v>
      </c>
      <c r="DS82" s="88">
        <v>8534</v>
      </c>
      <c r="DT82" s="88">
        <v>8539</v>
      </c>
      <c r="DU82" s="88">
        <v>7408</v>
      </c>
      <c r="DV82" s="88">
        <v>6575</v>
      </c>
      <c r="DW82" s="88">
        <v>6472</v>
      </c>
      <c r="DX82" s="88">
        <v>6388</v>
      </c>
      <c r="DY82" s="88">
        <v>6034</v>
      </c>
      <c r="DZ82" s="88">
        <v>5508</v>
      </c>
      <c r="EA82" s="88">
        <v>5347</v>
      </c>
      <c r="EB82" s="88">
        <v>5420</v>
      </c>
      <c r="EC82" s="88">
        <v>5302</v>
      </c>
      <c r="ED82" s="88">
        <v>5113</v>
      </c>
      <c r="EE82" s="88">
        <v>4984</v>
      </c>
      <c r="EF82" s="88">
        <v>4782</v>
      </c>
      <c r="EG82" s="88">
        <v>4696</v>
      </c>
      <c r="EH82" s="88">
        <v>4573</v>
      </c>
      <c r="EI82" s="88">
        <v>4398</v>
      </c>
      <c r="EJ82" s="88">
        <v>4443</v>
      </c>
      <c r="EK82" s="88">
        <v>4443</v>
      </c>
      <c r="EL82" s="88">
        <v>4115</v>
      </c>
      <c r="EM82" s="88">
        <v>4095</v>
      </c>
      <c r="EN82" s="88">
        <v>4036</v>
      </c>
      <c r="EO82" s="88">
        <v>3862</v>
      </c>
      <c r="EP82" s="88">
        <v>3875</v>
      </c>
      <c r="EQ82" s="88">
        <v>3643</v>
      </c>
      <c r="ER82" s="88">
        <v>3286</v>
      </c>
      <c r="ES82" s="88">
        <v>3178</v>
      </c>
      <c r="ET82" s="88">
        <v>3031</v>
      </c>
      <c r="EU82" s="88">
        <v>3086</v>
      </c>
      <c r="EV82" s="88">
        <v>2932</v>
      </c>
      <c r="EW82" s="88">
        <v>3021</v>
      </c>
      <c r="EX82" s="88">
        <v>3010</v>
      </c>
      <c r="EY82" s="88">
        <v>2970</v>
      </c>
      <c r="EZ82" s="88">
        <v>2920</v>
      </c>
      <c r="FA82" s="88">
        <v>2977</v>
      </c>
      <c r="FB82" s="88">
        <v>2800</v>
      </c>
      <c r="FC82" s="88">
        <v>2847</v>
      </c>
      <c r="FD82" s="88">
        <v>2761</v>
      </c>
      <c r="FE82" s="88">
        <v>2818</v>
      </c>
      <c r="FF82" s="88">
        <v>2624</v>
      </c>
      <c r="FG82" s="88">
        <v>2458</v>
      </c>
      <c r="FH82" s="88">
        <v>2480</v>
      </c>
      <c r="FI82" s="88">
        <v>2299</v>
      </c>
      <c r="FJ82" s="88">
        <v>2311</v>
      </c>
      <c r="FK82" s="88">
        <v>2076</v>
      </c>
      <c r="FL82" s="88">
        <v>1902</v>
      </c>
      <c r="FM82" s="88">
        <v>1976</v>
      </c>
      <c r="FN82" s="88">
        <v>1873</v>
      </c>
      <c r="FO82" s="88">
        <v>1645</v>
      </c>
      <c r="FP82" s="88">
        <v>1554</v>
      </c>
      <c r="FQ82" s="88">
        <v>1489</v>
      </c>
      <c r="FR82" s="88">
        <v>1497</v>
      </c>
      <c r="FS82" s="88">
        <v>1424</v>
      </c>
      <c r="FT82" s="88">
        <v>1405</v>
      </c>
      <c r="FU82" s="88">
        <v>1293</v>
      </c>
      <c r="FV82" s="88">
        <v>1337</v>
      </c>
      <c r="FW82" s="88">
        <v>1321</v>
      </c>
      <c r="FX82" s="88">
        <v>1108</v>
      </c>
      <c r="FY82" s="88">
        <v>986</v>
      </c>
      <c r="FZ82" s="88">
        <v>1041</v>
      </c>
      <c r="GA82" s="88">
        <v>876</v>
      </c>
      <c r="GB82" s="88">
        <v>832</v>
      </c>
      <c r="GC82" s="88">
        <v>804</v>
      </c>
      <c r="GD82" s="88">
        <v>780</v>
      </c>
      <c r="GE82" s="88">
        <v>676</v>
      </c>
      <c r="GF82" s="88">
        <v>676</v>
      </c>
      <c r="GG82" s="88">
        <v>608</v>
      </c>
      <c r="GH82" s="88">
        <v>557</v>
      </c>
      <c r="GI82" s="88">
        <v>451</v>
      </c>
      <c r="GJ82" s="88">
        <v>368</v>
      </c>
      <c r="GK82" s="88">
        <v>358</v>
      </c>
      <c r="GL82" s="89">
        <v>1510</v>
      </c>
    </row>
    <row r="83" spans="1:194" s="1" customFormat="1" x14ac:dyDescent="0.2">
      <c r="A83" s="90" t="s">
        <v>94</v>
      </c>
      <c r="B83" s="146" t="s">
        <v>168</v>
      </c>
      <c r="C83" s="30" t="str">
        <f t="shared" si="4"/>
        <v xml:space="preserve">England – CCGs - Mid Essex </v>
      </c>
      <c r="D83" s="51">
        <f t="shared" si="7"/>
        <v>171624</v>
      </c>
      <c r="E83" s="51">
        <f t="shared" si="7"/>
        <v>181799</v>
      </c>
      <c r="F83" s="52">
        <f t="shared" si="8"/>
        <v>408561</v>
      </c>
      <c r="G83" s="52">
        <f t="shared" si="9"/>
        <v>199952</v>
      </c>
      <c r="H83" s="52">
        <f t="shared" si="10"/>
        <v>208609</v>
      </c>
      <c r="I83" s="697">
        <f t="shared" si="5"/>
        <v>171624</v>
      </c>
      <c r="J83" s="53">
        <f t="shared" si="6"/>
        <v>181799</v>
      </c>
      <c r="K83" s="50">
        <f t="shared" si="11"/>
        <v>43084</v>
      </c>
      <c r="L83" s="51">
        <f t="shared" si="12"/>
        <v>40905</v>
      </c>
      <c r="M83" s="87">
        <v>2154</v>
      </c>
      <c r="N83" s="87">
        <v>2061</v>
      </c>
      <c r="O83" s="87">
        <v>2229</v>
      </c>
      <c r="P83" s="87">
        <v>2224</v>
      </c>
      <c r="Q83" s="87">
        <v>2389</v>
      </c>
      <c r="R83" s="87">
        <v>2371</v>
      </c>
      <c r="S83" s="87">
        <v>2535</v>
      </c>
      <c r="T83" s="87">
        <v>2429</v>
      </c>
      <c r="U83" s="87">
        <v>2433</v>
      </c>
      <c r="V83" s="87">
        <v>2422</v>
      </c>
      <c r="W83" s="87">
        <v>2569</v>
      </c>
      <c r="X83" s="87">
        <v>2512</v>
      </c>
      <c r="Y83" s="87">
        <v>2575</v>
      </c>
      <c r="Z83" s="87">
        <v>2478</v>
      </c>
      <c r="AA83" s="87">
        <v>2521</v>
      </c>
      <c r="AB83" s="87">
        <v>2359</v>
      </c>
      <c r="AC83" s="87">
        <v>2440</v>
      </c>
      <c r="AD83" s="87">
        <v>2383</v>
      </c>
      <c r="AE83" s="87">
        <v>2226</v>
      </c>
      <c r="AF83" s="87">
        <v>1712</v>
      </c>
      <c r="AG83" s="87">
        <v>1743</v>
      </c>
      <c r="AH83" s="87">
        <v>1847</v>
      </c>
      <c r="AI83" s="87">
        <v>1916</v>
      </c>
      <c r="AJ83" s="87">
        <v>2215</v>
      </c>
      <c r="AK83" s="87">
        <v>2246</v>
      </c>
      <c r="AL83" s="87">
        <v>2243</v>
      </c>
      <c r="AM83" s="87">
        <v>2263</v>
      </c>
      <c r="AN83" s="87">
        <v>2273</v>
      </c>
      <c r="AO83" s="87">
        <v>2455</v>
      </c>
      <c r="AP83" s="87">
        <v>2433</v>
      </c>
      <c r="AQ83" s="87">
        <v>2579</v>
      </c>
      <c r="AR83" s="87">
        <v>2532</v>
      </c>
      <c r="AS83" s="87">
        <v>2488</v>
      </c>
      <c r="AT83" s="87">
        <v>2585</v>
      </c>
      <c r="AU83" s="87">
        <v>2546</v>
      </c>
      <c r="AV83" s="87">
        <v>2550</v>
      </c>
      <c r="AW83" s="87">
        <v>2570</v>
      </c>
      <c r="AX83" s="87">
        <v>2535</v>
      </c>
      <c r="AY83" s="87">
        <v>2449</v>
      </c>
      <c r="AZ83" s="87">
        <v>2410</v>
      </c>
      <c r="BA83" s="87">
        <v>2626</v>
      </c>
      <c r="BB83" s="87">
        <v>2566</v>
      </c>
      <c r="BC83" s="87">
        <v>2584</v>
      </c>
      <c r="BD83" s="87">
        <v>2534</v>
      </c>
      <c r="BE83" s="87">
        <v>2318</v>
      </c>
      <c r="BF83" s="87">
        <v>2322</v>
      </c>
      <c r="BG83" s="87">
        <v>2522</v>
      </c>
      <c r="BH83" s="87">
        <v>2600</v>
      </c>
      <c r="BI83" s="87">
        <v>2696</v>
      </c>
      <c r="BJ83" s="87">
        <v>2705</v>
      </c>
      <c r="BK83" s="87">
        <v>2840</v>
      </c>
      <c r="BL83" s="87">
        <v>2954</v>
      </c>
      <c r="BM83" s="87">
        <v>2855</v>
      </c>
      <c r="BN83" s="87">
        <v>2924</v>
      </c>
      <c r="BO83" s="87">
        <v>2964</v>
      </c>
      <c r="BP83" s="87">
        <v>2994</v>
      </c>
      <c r="BQ83" s="87">
        <v>2955</v>
      </c>
      <c r="BR83" s="87">
        <v>2906</v>
      </c>
      <c r="BS83" s="87">
        <v>2743</v>
      </c>
      <c r="BT83" s="87">
        <v>2673</v>
      </c>
      <c r="BU83" s="87">
        <v>2723</v>
      </c>
      <c r="BV83" s="87">
        <v>2577</v>
      </c>
      <c r="BW83" s="87">
        <v>2447</v>
      </c>
      <c r="BX83" s="87">
        <v>2412</v>
      </c>
      <c r="BY83" s="87">
        <v>2242</v>
      </c>
      <c r="BZ83" s="87">
        <v>2235</v>
      </c>
      <c r="CA83" s="87">
        <v>2241</v>
      </c>
      <c r="CB83" s="87">
        <v>2052</v>
      </c>
      <c r="CC83" s="87">
        <v>2067</v>
      </c>
      <c r="CD83" s="87">
        <v>2073</v>
      </c>
      <c r="CE83" s="87">
        <v>1887</v>
      </c>
      <c r="CF83" s="87">
        <v>1987</v>
      </c>
      <c r="CG83" s="87">
        <v>1921</v>
      </c>
      <c r="CH83" s="87">
        <v>2081</v>
      </c>
      <c r="CI83" s="87">
        <v>2270</v>
      </c>
      <c r="CJ83" s="87">
        <v>2444</v>
      </c>
      <c r="CK83" s="87">
        <v>1856</v>
      </c>
      <c r="CL83" s="87">
        <v>1673</v>
      </c>
      <c r="CM83" s="87">
        <v>1641</v>
      </c>
      <c r="CN83" s="87">
        <v>1507</v>
      </c>
      <c r="CO83" s="87">
        <v>1200</v>
      </c>
      <c r="CP83" s="87">
        <v>982</v>
      </c>
      <c r="CQ83" s="87">
        <v>981</v>
      </c>
      <c r="CR83" s="87">
        <v>987</v>
      </c>
      <c r="CS83" s="87">
        <v>915</v>
      </c>
      <c r="CT83" s="87">
        <v>826</v>
      </c>
      <c r="CU83" s="87">
        <v>661</v>
      </c>
      <c r="CV83" s="87">
        <v>627</v>
      </c>
      <c r="CW83" s="87">
        <v>485</v>
      </c>
      <c r="CX83" s="87">
        <v>413</v>
      </c>
      <c r="CY83" s="87">
        <v>1358</v>
      </c>
      <c r="CZ83" s="88">
        <v>2075</v>
      </c>
      <c r="DA83" s="88">
        <v>2009</v>
      </c>
      <c r="DB83" s="88">
        <v>2032</v>
      </c>
      <c r="DC83" s="88">
        <v>2223</v>
      </c>
      <c r="DD83" s="88">
        <v>2404</v>
      </c>
      <c r="DE83" s="88">
        <v>2285</v>
      </c>
      <c r="DF83" s="88">
        <v>2208</v>
      </c>
      <c r="DG83" s="88">
        <v>2220</v>
      </c>
      <c r="DH83" s="88">
        <v>2208</v>
      </c>
      <c r="DI83" s="88">
        <v>2368</v>
      </c>
      <c r="DJ83" s="88">
        <v>2391</v>
      </c>
      <c r="DK83" s="88">
        <v>2387</v>
      </c>
      <c r="DL83" s="88">
        <v>2439</v>
      </c>
      <c r="DM83" s="88">
        <v>2316</v>
      </c>
      <c r="DN83" s="88">
        <v>2411</v>
      </c>
      <c r="DO83" s="88">
        <v>2316</v>
      </c>
      <c r="DP83" s="88">
        <v>2296</v>
      </c>
      <c r="DQ83" s="88">
        <v>2317</v>
      </c>
      <c r="DR83" s="88">
        <v>2114</v>
      </c>
      <c r="DS83" s="88">
        <v>1601</v>
      </c>
      <c r="DT83" s="88">
        <v>1533</v>
      </c>
      <c r="DU83" s="88">
        <v>1734</v>
      </c>
      <c r="DV83" s="88">
        <v>1890</v>
      </c>
      <c r="DW83" s="88">
        <v>2051</v>
      </c>
      <c r="DX83" s="88">
        <v>2146</v>
      </c>
      <c r="DY83" s="88">
        <v>2228</v>
      </c>
      <c r="DZ83" s="88">
        <v>2346</v>
      </c>
      <c r="EA83" s="88">
        <v>2401</v>
      </c>
      <c r="EB83" s="88">
        <v>2538</v>
      </c>
      <c r="EC83" s="88">
        <v>2683</v>
      </c>
      <c r="ED83" s="88">
        <v>2703</v>
      </c>
      <c r="EE83" s="88">
        <v>2729</v>
      </c>
      <c r="EF83" s="88">
        <v>2808</v>
      </c>
      <c r="EG83" s="88">
        <v>2831</v>
      </c>
      <c r="EH83" s="88">
        <v>2879</v>
      </c>
      <c r="EI83" s="88">
        <v>2768</v>
      </c>
      <c r="EJ83" s="88">
        <v>2666</v>
      </c>
      <c r="EK83" s="88">
        <v>2657</v>
      </c>
      <c r="EL83" s="88">
        <v>2682</v>
      </c>
      <c r="EM83" s="88">
        <v>2633</v>
      </c>
      <c r="EN83" s="88">
        <v>2646</v>
      </c>
      <c r="EO83" s="88">
        <v>2820</v>
      </c>
      <c r="EP83" s="88">
        <v>2745</v>
      </c>
      <c r="EQ83" s="88">
        <v>2654</v>
      </c>
      <c r="ER83" s="88">
        <v>2458</v>
      </c>
      <c r="ES83" s="88">
        <v>2476</v>
      </c>
      <c r="ET83" s="88">
        <v>2537</v>
      </c>
      <c r="EU83" s="88">
        <v>2697</v>
      </c>
      <c r="EV83" s="88">
        <v>2687</v>
      </c>
      <c r="EW83" s="88">
        <v>2843</v>
      </c>
      <c r="EX83" s="88">
        <v>2895</v>
      </c>
      <c r="EY83" s="88">
        <v>3063</v>
      </c>
      <c r="EZ83" s="88">
        <v>2905</v>
      </c>
      <c r="FA83" s="88">
        <v>2950</v>
      </c>
      <c r="FB83" s="88">
        <v>3139</v>
      </c>
      <c r="FC83" s="88">
        <v>3215</v>
      </c>
      <c r="FD83" s="88">
        <v>3030</v>
      </c>
      <c r="FE83" s="88">
        <v>2873</v>
      </c>
      <c r="FF83" s="88">
        <v>2894</v>
      </c>
      <c r="FG83" s="88">
        <v>2830</v>
      </c>
      <c r="FH83" s="88">
        <v>2751</v>
      </c>
      <c r="FI83" s="88">
        <v>2648</v>
      </c>
      <c r="FJ83" s="88">
        <v>2451</v>
      </c>
      <c r="FK83" s="88">
        <v>2349</v>
      </c>
      <c r="FL83" s="88">
        <v>2503</v>
      </c>
      <c r="FM83" s="88">
        <v>2322</v>
      </c>
      <c r="FN83" s="88">
        <v>2270</v>
      </c>
      <c r="FO83" s="88">
        <v>2206</v>
      </c>
      <c r="FP83" s="88">
        <v>2179</v>
      </c>
      <c r="FQ83" s="88">
        <v>2117</v>
      </c>
      <c r="FR83" s="88">
        <v>2074</v>
      </c>
      <c r="FS83" s="88">
        <v>2153</v>
      </c>
      <c r="FT83" s="88">
        <v>2142</v>
      </c>
      <c r="FU83" s="88">
        <v>2325</v>
      </c>
      <c r="FV83" s="88">
        <v>2522</v>
      </c>
      <c r="FW83" s="88">
        <v>2914</v>
      </c>
      <c r="FX83" s="88">
        <v>2054</v>
      </c>
      <c r="FY83" s="88">
        <v>1913</v>
      </c>
      <c r="FZ83" s="88">
        <v>1919</v>
      </c>
      <c r="GA83" s="88">
        <v>1603</v>
      </c>
      <c r="GB83" s="88">
        <v>1430</v>
      </c>
      <c r="GC83" s="88">
        <v>1231</v>
      </c>
      <c r="GD83" s="88">
        <v>1304</v>
      </c>
      <c r="GE83" s="88">
        <v>1225</v>
      </c>
      <c r="GF83" s="88">
        <v>1158</v>
      </c>
      <c r="GG83" s="88">
        <v>1029</v>
      </c>
      <c r="GH83" s="88">
        <v>1011</v>
      </c>
      <c r="GI83" s="88">
        <v>823</v>
      </c>
      <c r="GJ83" s="88">
        <v>718</v>
      </c>
      <c r="GK83" s="88">
        <v>614</v>
      </c>
      <c r="GL83" s="89">
        <v>2768</v>
      </c>
    </row>
    <row r="84" spans="1:194" s="1" customFormat="1" x14ac:dyDescent="0.2">
      <c r="A84" s="90" t="s">
        <v>94</v>
      </c>
      <c r="B84" s="146" t="s">
        <v>169</v>
      </c>
      <c r="C84" s="30" t="str">
        <f t="shared" si="4"/>
        <v xml:space="preserve">England – CCGs - Morecambe Bay </v>
      </c>
      <c r="D84" s="51">
        <f t="shared" si="7"/>
        <v>143621</v>
      </c>
      <c r="E84" s="51">
        <f t="shared" si="7"/>
        <v>150079</v>
      </c>
      <c r="F84" s="52">
        <f t="shared" si="8"/>
        <v>331197</v>
      </c>
      <c r="G84" s="52">
        <f t="shared" si="9"/>
        <v>162689</v>
      </c>
      <c r="H84" s="52">
        <f t="shared" si="10"/>
        <v>168508</v>
      </c>
      <c r="I84" s="697">
        <f t="shared" si="5"/>
        <v>143621</v>
      </c>
      <c r="J84" s="53">
        <f t="shared" si="6"/>
        <v>150079</v>
      </c>
      <c r="K84" s="50">
        <f t="shared" si="11"/>
        <v>29927</v>
      </c>
      <c r="L84" s="51">
        <f t="shared" si="12"/>
        <v>28609</v>
      </c>
      <c r="M84" s="87">
        <v>1419</v>
      </c>
      <c r="N84" s="87">
        <v>1385</v>
      </c>
      <c r="O84" s="87">
        <v>1438</v>
      </c>
      <c r="P84" s="87">
        <v>1574</v>
      </c>
      <c r="Q84" s="87">
        <v>1506</v>
      </c>
      <c r="R84" s="87">
        <v>1585</v>
      </c>
      <c r="S84" s="87">
        <v>1683</v>
      </c>
      <c r="T84" s="87">
        <v>1599</v>
      </c>
      <c r="U84" s="87">
        <v>1678</v>
      </c>
      <c r="V84" s="87">
        <v>1744</v>
      </c>
      <c r="W84" s="87">
        <v>1679</v>
      </c>
      <c r="X84" s="87">
        <v>1778</v>
      </c>
      <c r="Y84" s="87">
        <v>1748</v>
      </c>
      <c r="Z84" s="87">
        <v>1828</v>
      </c>
      <c r="AA84" s="87">
        <v>1845</v>
      </c>
      <c r="AB84" s="87">
        <v>1816</v>
      </c>
      <c r="AC84" s="87">
        <v>1751</v>
      </c>
      <c r="AD84" s="87">
        <v>1871</v>
      </c>
      <c r="AE84" s="87">
        <v>2042</v>
      </c>
      <c r="AF84" s="87">
        <v>2974</v>
      </c>
      <c r="AG84" s="87">
        <v>2815</v>
      </c>
      <c r="AH84" s="87">
        <v>2582</v>
      </c>
      <c r="AI84" s="87">
        <v>2214</v>
      </c>
      <c r="AJ84" s="87">
        <v>2009</v>
      </c>
      <c r="AK84" s="87">
        <v>1730</v>
      </c>
      <c r="AL84" s="87">
        <v>1710</v>
      </c>
      <c r="AM84" s="87">
        <v>1743</v>
      </c>
      <c r="AN84" s="87">
        <v>1746</v>
      </c>
      <c r="AO84" s="87">
        <v>1877</v>
      </c>
      <c r="AP84" s="87">
        <v>1779</v>
      </c>
      <c r="AQ84" s="87">
        <v>1921</v>
      </c>
      <c r="AR84" s="87">
        <v>1899</v>
      </c>
      <c r="AS84" s="87">
        <v>1872</v>
      </c>
      <c r="AT84" s="87">
        <v>1904</v>
      </c>
      <c r="AU84" s="87">
        <v>1930</v>
      </c>
      <c r="AV84" s="87">
        <v>1774</v>
      </c>
      <c r="AW84" s="87">
        <v>1778</v>
      </c>
      <c r="AX84" s="87">
        <v>1876</v>
      </c>
      <c r="AY84" s="87">
        <v>1940</v>
      </c>
      <c r="AZ84" s="87">
        <v>1823</v>
      </c>
      <c r="BA84" s="87">
        <v>1798</v>
      </c>
      <c r="BB84" s="87">
        <v>1783</v>
      </c>
      <c r="BC84" s="87">
        <v>1827</v>
      </c>
      <c r="BD84" s="87">
        <v>1737</v>
      </c>
      <c r="BE84" s="87">
        <v>1611</v>
      </c>
      <c r="BF84" s="87">
        <v>1661</v>
      </c>
      <c r="BG84" s="87">
        <v>1618</v>
      </c>
      <c r="BH84" s="87">
        <v>1806</v>
      </c>
      <c r="BI84" s="87">
        <v>1894</v>
      </c>
      <c r="BJ84" s="87">
        <v>1888</v>
      </c>
      <c r="BK84" s="87">
        <v>2030</v>
      </c>
      <c r="BL84" s="87">
        <v>2198</v>
      </c>
      <c r="BM84" s="87">
        <v>2268</v>
      </c>
      <c r="BN84" s="87">
        <v>2335</v>
      </c>
      <c r="BO84" s="87">
        <v>2283</v>
      </c>
      <c r="BP84" s="87">
        <v>2384</v>
      </c>
      <c r="BQ84" s="87">
        <v>2396</v>
      </c>
      <c r="BR84" s="87">
        <v>2490</v>
      </c>
      <c r="BS84" s="87">
        <v>2535</v>
      </c>
      <c r="BT84" s="87">
        <v>2356</v>
      </c>
      <c r="BU84" s="87">
        <v>2381</v>
      </c>
      <c r="BV84" s="87">
        <v>2366</v>
      </c>
      <c r="BW84" s="87">
        <v>2324</v>
      </c>
      <c r="BX84" s="87">
        <v>2277</v>
      </c>
      <c r="BY84" s="87">
        <v>2140</v>
      </c>
      <c r="BZ84" s="87">
        <v>2090</v>
      </c>
      <c r="CA84" s="87">
        <v>1915</v>
      </c>
      <c r="CB84" s="87">
        <v>1953</v>
      </c>
      <c r="CC84" s="87">
        <v>1945</v>
      </c>
      <c r="CD84" s="87">
        <v>1928</v>
      </c>
      <c r="CE84" s="87">
        <v>1806</v>
      </c>
      <c r="CF84" s="87">
        <v>1799</v>
      </c>
      <c r="CG84" s="87">
        <v>1843</v>
      </c>
      <c r="CH84" s="87">
        <v>2016</v>
      </c>
      <c r="CI84" s="87">
        <v>2019</v>
      </c>
      <c r="CJ84" s="87">
        <v>2300</v>
      </c>
      <c r="CK84" s="87">
        <v>1699</v>
      </c>
      <c r="CL84" s="87">
        <v>1491</v>
      </c>
      <c r="CM84" s="87">
        <v>1446</v>
      </c>
      <c r="CN84" s="87">
        <v>1414</v>
      </c>
      <c r="CO84" s="87">
        <v>1151</v>
      </c>
      <c r="CP84" s="87">
        <v>1027</v>
      </c>
      <c r="CQ84" s="87">
        <v>957</v>
      </c>
      <c r="CR84" s="87">
        <v>906</v>
      </c>
      <c r="CS84" s="87">
        <v>830</v>
      </c>
      <c r="CT84" s="87">
        <v>728</v>
      </c>
      <c r="CU84" s="87">
        <v>654</v>
      </c>
      <c r="CV84" s="87">
        <v>511</v>
      </c>
      <c r="CW84" s="87">
        <v>422</v>
      </c>
      <c r="CX84" s="87">
        <v>378</v>
      </c>
      <c r="CY84" s="87">
        <v>1210</v>
      </c>
      <c r="CZ84" s="88">
        <v>1357</v>
      </c>
      <c r="DA84" s="88">
        <v>1341</v>
      </c>
      <c r="DB84" s="88">
        <v>1424</v>
      </c>
      <c r="DC84" s="88">
        <v>1508</v>
      </c>
      <c r="DD84" s="88">
        <v>1499</v>
      </c>
      <c r="DE84" s="88">
        <v>1550</v>
      </c>
      <c r="DF84" s="88">
        <v>1623</v>
      </c>
      <c r="DG84" s="88">
        <v>1568</v>
      </c>
      <c r="DH84" s="88">
        <v>1575</v>
      </c>
      <c r="DI84" s="88">
        <v>1595</v>
      </c>
      <c r="DJ84" s="88">
        <v>1711</v>
      </c>
      <c r="DK84" s="88">
        <v>1678</v>
      </c>
      <c r="DL84" s="88">
        <v>1699</v>
      </c>
      <c r="DM84" s="88">
        <v>1646</v>
      </c>
      <c r="DN84" s="88">
        <v>1683</v>
      </c>
      <c r="DO84" s="88">
        <v>1656</v>
      </c>
      <c r="DP84" s="88">
        <v>1763</v>
      </c>
      <c r="DQ84" s="88">
        <v>1733</v>
      </c>
      <c r="DR84" s="88">
        <v>1865</v>
      </c>
      <c r="DS84" s="88">
        <v>2837</v>
      </c>
      <c r="DT84" s="88">
        <v>2823</v>
      </c>
      <c r="DU84" s="88">
        <v>2476</v>
      </c>
      <c r="DV84" s="88">
        <v>2038</v>
      </c>
      <c r="DW84" s="88">
        <v>1740</v>
      </c>
      <c r="DX84" s="88">
        <v>1637</v>
      </c>
      <c r="DY84" s="88">
        <v>1668</v>
      </c>
      <c r="DZ84" s="88">
        <v>1720</v>
      </c>
      <c r="EA84" s="88">
        <v>1761</v>
      </c>
      <c r="EB84" s="88">
        <v>1811</v>
      </c>
      <c r="EC84" s="88">
        <v>1840</v>
      </c>
      <c r="ED84" s="88">
        <v>1925</v>
      </c>
      <c r="EE84" s="88">
        <v>1835</v>
      </c>
      <c r="EF84" s="88">
        <v>1798</v>
      </c>
      <c r="EG84" s="88">
        <v>1981</v>
      </c>
      <c r="EH84" s="88">
        <v>2002</v>
      </c>
      <c r="EI84" s="88">
        <v>1876</v>
      </c>
      <c r="EJ84" s="88">
        <v>1872</v>
      </c>
      <c r="EK84" s="88">
        <v>1990</v>
      </c>
      <c r="EL84" s="88">
        <v>1823</v>
      </c>
      <c r="EM84" s="88">
        <v>1904</v>
      </c>
      <c r="EN84" s="88">
        <v>1915</v>
      </c>
      <c r="EO84" s="88">
        <v>1872</v>
      </c>
      <c r="EP84" s="88">
        <v>1896</v>
      </c>
      <c r="EQ84" s="88">
        <v>1782</v>
      </c>
      <c r="ER84" s="88">
        <v>1690</v>
      </c>
      <c r="ES84" s="88">
        <v>1684</v>
      </c>
      <c r="ET84" s="88">
        <v>1772</v>
      </c>
      <c r="EU84" s="88">
        <v>1774</v>
      </c>
      <c r="EV84" s="88">
        <v>1909</v>
      </c>
      <c r="EW84" s="88">
        <v>1975</v>
      </c>
      <c r="EX84" s="88">
        <v>2240</v>
      </c>
      <c r="EY84" s="88">
        <v>2366</v>
      </c>
      <c r="EZ84" s="88">
        <v>2361</v>
      </c>
      <c r="FA84" s="88">
        <v>2348</v>
      </c>
      <c r="FB84" s="88">
        <v>2395</v>
      </c>
      <c r="FC84" s="88">
        <v>2601</v>
      </c>
      <c r="FD84" s="88">
        <v>2536</v>
      </c>
      <c r="FE84" s="88">
        <v>2560</v>
      </c>
      <c r="FF84" s="88">
        <v>2633</v>
      </c>
      <c r="FG84" s="88">
        <v>2519</v>
      </c>
      <c r="FH84" s="88">
        <v>2523</v>
      </c>
      <c r="FI84" s="88">
        <v>2340</v>
      </c>
      <c r="FJ84" s="88">
        <v>2451</v>
      </c>
      <c r="FK84" s="88">
        <v>2433</v>
      </c>
      <c r="FL84" s="88">
        <v>2172</v>
      </c>
      <c r="FM84" s="88">
        <v>2163</v>
      </c>
      <c r="FN84" s="88">
        <v>2027</v>
      </c>
      <c r="FO84" s="88">
        <v>2024</v>
      </c>
      <c r="FP84" s="88">
        <v>2037</v>
      </c>
      <c r="FQ84" s="88">
        <v>1990</v>
      </c>
      <c r="FR84" s="88">
        <v>1980</v>
      </c>
      <c r="FS84" s="88">
        <v>1977</v>
      </c>
      <c r="FT84" s="88">
        <v>2048</v>
      </c>
      <c r="FU84" s="88">
        <v>2056</v>
      </c>
      <c r="FV84" s="88">
        <v>2174</v>
      </c>
      <c r="FW84" s="88">
        <v>2335</v>
      </c>
      <c r="FX84" s="88">
        <v>1785</v>
      </c>
      <c r="FY84" s="88">
        <v>1685</v>
      </c>
      <c r="FZ84" s="88">
        <v>1675</v>
      </c>
      <c r="GA84" s="88">
        <v>1523</v>
      </c>
      <c r="GB84" s="88">
        <v>1304</v>
      </c>
      <c r="GC84" s="88">
        <v>1213</v>
      </c>
      <c r="GD84" s="88">
        <v>1176</v>
      </c>
      <c r="GE84" s="88">
        <v>1167</v>
      </c>
      <c r="GF84" s="88">
        <v>1098</v>
      </c>
      <c r="GG84" s="88">
        <v>987</v>
      </c>
      <c r="GH84" s="88">
        <v>904</v>
      </c>
      <c r="GI84" s="88">
        <v>753</v>
      </c>
      <c r="GJ84" s="88">
        <v>677</v>
      </c>
      <c r="GK84" s="88">
        <v>601</v>
      </c>
      <c r="GL84" s="89">
        <v>2571</v>
      </c>
    </row>
    <row r="85" spans="1:194" s="1" customFormat="1" x14ac:dyDescent="0.2">
      <c r="A85" s="90" t="s">
        <v>94</v>
      </c>
      <c r="B85" s="146" t="s">
        <v>170</v>
      </c>
      <c r="C85" s="30" t="str">
        <f t="shared" si="4"/>
        <v xml:space="preserve">England – CCGs - Newcastle Gateshead </v>
      </c>
      <c r="D85" s="51">
        <f t="shared" si="7"/>
        <v>216385</v>
      </c>
      <c r="E85" s="51">
        <f t="shared" si="7"/>
        <v>223409</v>
      </c>
      <c r="F85" s="52">
        <f t="shared" si="8"/>
        <v>505287</v>
      </c>
      <c r="G85" s="52">
        <f t="shared" si="9"/>
        <v>249878</v>
      </c>
      <c r="H85" s="52">
        <f t="shared" si="10"/>
        <v>255409</v>
      </c>
      <c r="I85" s="697">
        <f t="shared" si="5"/>
        <v>216385</v>
      </c>
      <c r="J85" s="53">
        <f t="shared" si="6"/>
        <v>223409</v>
      </c>
      <c r="K85" s="50">
        <f t="shared" si="11"/>
        <v>50228</v>
      </c>
      <c r="L85" s="51">
        <f t="shared" si="12"/>
        <v>48050</v>
      </c>
      <c r="M85" s="87">
        <v>2542</v>
      </c>
      <c r="N85" s="87">
        <v>2577</v>
      </c>
      <c r="O85" s="87">
        <v>2544</v>
      </c>
      <c r="P85" s="87">
        <v>2615</v>
      </c>
      <c r="Q85" s="87">
        <v>2750</v>
      </c>
      <c r="R85" s="87">
        <v>2874</v>
      </c>
      <c r="S85" s="87">
        <v>2902</v>
      </c>
      <c r="T85" s="87">
        <v>2938</v>
      </c>
      <c r="U85" s="87">
        <v>2844</v>
      </c>
      <c r="V85" s="87">
        <v>2893</v>
      </c>
      <c r="W85" s="87">
        <v>2980</v>
      </c>
      <c r="X85" s="87">
        <v>3034</v>
      </c>
      <c r="Y85" s="87">
        <v>2965</v>
      </c>
      <c r="Z85" s="87">
        <v>2921</v>
      </c>
      <c r="AA85" s="87">
        <v>2755</v>
      </c>
      <c r="AB85" s="87">
        <v>2703</v>
      </c>
      <c r="AC85" s="87">
        <v>2724</v>
      </c>
      <c r="AD85" s="87">
        <v>2667</v>
      </c>
      <c r="AE85" s="87">
        <v>3069</v>
      </c>
      <c r="AF85" s="87">
        <v>5606</v>
      </c>
      <c r="AG85" s="87">
        <v>5999</v>
      </c>
      <c r="AH85" s="87">
        <v>5624</v>
      </c>
      <c r="AI85" s="87">
        <v>4979</v>
      </c>
      <c r="AJ85" s="87">
        <v>4244</v>
      </c>
      <c r="AK85" s="87">
        <v>4111</v>
      </c>
      <c r="AL85" s="87">
        <v>4091</v>
      </c>
      <c r="AM85" s="87">
        <v>3901</v>
      </c>
      <c r="AN85" s="87">
        <v>3931</v>
      </c>
      <c r="AO85" s="87">
        <v>3715</v>
      </c>
      <c r="AP85" s="87">
        <v>3681</v>
      </c>
      <c r="AQ85" s="87">
        <v>3633</v>
      </c>
      <c r="AR85" s="87">
        <v>3419</v>
      </c>
      <c r="AS85" s="87">
        <v>3607</v>
      </c>
      <c r="AT85" s="87">
        <v>3328</v>
      </c>
      <c r="AU85" s="87">
        <v>3448</v>
      </c>
      <c r="AV85" s="87">
        <v>3437</v>
      </c>
      <c r="AW85" s="87">
        <v>3431</v>
      </c>
      <c r="AX85" s="87">
        <v>3307</v>
      </c>
      <c r="AY85" s="87">
        <v>3267</v>
      </c>
      <c r="AZ85" s="87">
        <v>3199</v>
      </c>
      <c r="BA85" s="87">
        <v>3174</v>
      </c>
      <c r="BB85" s="87">
        <v>3019</v>
      </c>
      <c r="BC85" s="87">
        <v>3128</v>
      </c>
      <c r="BD85" s="87">
        <v>3008</v>
      </c>
      <c r="BE85" s="87">
        <v>2718</v>
      </c>
      <c r="BF85" s="87">
        <v>2634</v>
      </c>
      <c r="BG85" s="87">
        <v>2718</v>
      </c>
      <c r="BH85" s="87">
        <v>2706</v>
      </c>
      <c r="BI85" s="87">
        <v>2641</v>
      </c>
      <c r="BJ85" s="87">
        <v>2675</v>
      </c>
      <c r="BK85" s="87">
        <v>3050</v>
      </c>
      <c r="BL85" s="87">
        <v>3172</v>
      </c>
      <c r="BM85" s="87">
        <v>2978</v>
      </c>
      <c r="BN85" s="87">
        <v>2996</v>
      </c>
      <c r="BO85" s="87">
        <v>2931</v>
      </c>
      <c r="BP85" s="87">
        <v>3076</v>
      </c>
      <c r="BQ85" s="87">
        <v>3088</v>
      </c>
      <c r="BR85" s="87">
        <v>3212</v>
      </c>
      <c r="BS85" s="87">
        <v>3105</v>
      </c>
      <c r="BT85" s="87">
        <v>3029</v>
      </c>
      <c r="BU85" s="87">
        <v>3108</v>
      </c>
      <c r="BV85" s="87">
        <v>2851</v>
      </c>
      <c r="BW85" s="87">
        <v>2781</v>
      </c>
      <c r="BX85" s="87">
        <v>2724</v>
      </c>
      <c r="BY85" s="87">
        <v>2810</v>
      </c>
      <c r="BZ85" s="87">
        <v>2580</v>
      </c>
      <c r="CA85" s="87">
        <v>2411</v>
      </c>
      <c r="CB85" s="87">
        <v>2350</v>
      </c>
      <c r="CC85" s="87">
        <v>2277</v>
      </c>
      <c r="CD85" s="87">
        <v>2210</v>
      </c>
      <c r="CE85" s="87">
        <v>2017</v>
      </c>
      <c r="CF85" s="87">
        <v>1995</v>
      </c>
      <c r="CG85" s="87">
        <v>2089</v>
      </c>
      <c r="CH85" s="87">
        <v>2012</v>
      </c>
      <c r="CI85" s="87">
        <v>2110</v>
      </c>
      <c r="CJ85" s="87">
        <v>2331</v>
      </c>
      <c r="CK85" s="87">
        <v>1610</v>
      </c>
      <c r="CL85" s="87">
        <v>1503</v>
      </c>
      <c r="CM85" s="87">
        <v>1403</v>
      </c>
      <c r="CN85" s="87">
        <v>1223</v>
      </c>
      <c r="CO85" s="87">
        <v>1076</v>
      </c>
      <c r="CP85" s="87">
        <v>964</v>
      </c>
      <c r="CQ85" s="87">
        <v>1017</v>
      </c>
      <c r="CR85" s="87">
        <v>1002</v>
      </c>
      <c r="CS85" s="87">
        <v>822</v>
      </c>
      <c r="CT85" s="87">
        <v>786</v>
      </c>
      <c r="CU85" s="87">
        <v>661</v>
      </c>
      <c r="CV85" s="87">
        <v>601</v>
      </c>
      <c r="CW85" s="87">
        <v>514</v>
      </c>
      <c r="CX85" s="87">
        <v>427</v>
      </c>
      <c r="CY85" s="87">
        <v>1300</v>
      </c>
      <c r="CZ85" s="88">
        <v>2486</v>
      </c>
      <c r="DA85" s="88">
        <v>2449</v>
      </c>
      <c r="DB85" s="88">
        <v>2484</v>
      </c>
      <c r="DC85" s="88">
        <v>2651</v>
      </c>
      <c r="DD85" s="88">
        <v>2596</v>
      </c>
      <c r="DE85" s="88">
        <v>2690</v>
      </c>
      <c r="DF85" s="88">
        <v>2770</v>
      </c>
      <c r="DG85" s="88">
        <v>2668</v>
      </c>
      <c r="DH85" s="88">
        <v>2841</v>
      </c>
      <c r="DI85" s="88">
        <v>2790</v>
      </c>
      <c r="DJ85" s="88">
        <v>2713</v>
      </c>
      <c r="DK85" s="88">
        <v>2862</v>
      </c>
      <c r="DL85" s="88">
        <v>2721</v>
      </c>
      <c r="DM85" s="88">
        <v>2815</v>
      </c>
      <c r="DN85" s="88">
        <v>2675</v>
      </c>
      <c r="DO85" s="88">
        <v>2673</v>
      </c>
      <c r="DP85" s="88">
        <v>2512</v>
      </c>
      <c r="DQ85" s="88">
        <v>2654</v>
      </c>
      <c r="DR85" s="88">
        <v>3171</v>
      </c>
      <c r="DS85" s="88">
        <v>5738</v>
      </c>
      <c r="DT85" s="88">
        <v>6288</v>
      </c>
      <c r="DU85" s="88">
        <v>5819</v>
      </c>
      <c r="DV85" s="88">
        <v>4383</v>
      </c>
      <c r="DW85" s="88">
        <v>3871</v>
      </c>
      <c r="DX85" s="88">
        <v>3745</v>
      </c>
      <c r="DY85" s="88">
        <v>3936</v>
      </c>
      <c r="DZ85" s="88">
        <v>3767</v>
      </c>
      <c r="EA85" s="88">
        <v>3730</v>
      </c>
      <c r="EB85" s="88">
        <v>3692</v>
      </c>
      <c r="EC85" s="88">
        <v>3573</v>
      </c>
      <c r="ED85" s="88">
        <v>3602</v>
      </c>
      <c r="EE85" s="88">
        <v>3459</v>
      </c>
      <c r="EF85" s="88">
        <v>3583</v>
      </c>
      <c r="EG85" s="88">
        <v>3406</v>
      </c>
      <c r="EH85" s="88">
        <v>3646</v>
      </c>
      <c r="EI85" s="88">
        <v>3467</v>
      </c>
      <c r="EJ85" s="88">
        <v>3447</v>
      </c>
      <c r="EK85" s="88">
        <v>3289</v>
      </c>
      <c r="EL85" s="88">
        <v>3296</v>
      </c>
      <c r="EM85" s="88">
        <v>3294</v>
      </c>
      <c r="EN85" s="88">
        <v>3198</v>
      </c>
      <c r="EO85" s="88">
        <v>3221</v>
      </c>
      <c r="EP85" s="88">
        <v>3160</v>
      </c>
      <c r="EQ85" s="88">
        <v>2947</v>
      </c>
      <c r="ER85" s="88">
        <v>2671</v>
      </c>
      <c r="ES85" s="88">
        <v>2525</v>
      </c>
      <c r="ET85" s="88">
        <v>2796</v>
      </c>
      <c r="EU85" s="88">
        <v>2775</v>
      </c>
      <c r="EV85" s="88">
        <v>2752</v>
      </c>
      <c r="EW85" s="88">
        <v>2814</v>
      </c>
      <c r="EX85" s="88">
        <v>2921</v>
      </c>
      <c r="EY85" s="88">
        <v>3141</v>
      </c>
      <c r="EZ85" s="88">
        <v>2941</v>
      </c>
      <c r="FA85" s="88">
        <v>2989</v>
      </c>
      <c r="FB85" s="88">
        <v>3103</v>
      </c>
      <c r="FC85" s="88">
        <v>3211</v>
      </c>
      <c r="FD85" s="88">
        <v>3191</v>
      </c>
      <c r="FE85" s="88">
        <v>3154</v>
      </c>
      <c r="FF85" s="88">
        <v>3105</v>
      </c>
      <c r="FG85" s="88">
        <v>3272</v>
      </c>
      <c r="FH85" s="88">
        <v>3051</v>
      </c>
      <c r="FI85" s="88">
        <v>2939</v>
      </c>
      <c r="FJ85" s="88">
        <v>2885</v>
      </c>
      <c r="FK85" s="88">
        <v>2903</v>
      </c>
      <c r="FL85" s="88">
        <v>2778</v>
      </c>
      <c r="FM85" s="88">
        <v>2660</v>
      </c>
      <c r="FN85" s="88">
        <v>2525</v>
      </c>
      <c r="FO85" s="88">
        <v>2383</v>
      </c>
      <c r="FP85" s="88">
        <v>2306</v>
      </c>
      <c r="FQ85" s="88">
        <v>2302</v>
      </c>
      <c r="FR85" s="88">
        <v>2254</v>
      </c>
      <c r="FS85" s="88">
        <v>2138</v>
      </c>
      <c r="FT85" s="88">
        <v>2228</v>
      </c>
      <c r="FU85" s="88">
        <v>2229</v>
      </c>
      <c r="FV85" s="88">
        <v>2349</v>
      </c>
      <c r="FW85" s="88">
        <v>2535</v>
      </c>
      <c r="FX85" s="88">
        <v>1755</v>
      </c>
      <c r="FY85" s="88">
        <v>1792</v>
      </c>
      <c r="FZ85" s="88">
        <v>1682</v>
      </c>
      <c r="GA85" s="88">
        <v>1475</v>
      </c>
      <c r="GB85" s="88">
        <v>1370</v>
      </c>
      <c r="GC85" s="88">
        <v>1286</v>
      </c>
      <c r="GD85" s="88">
        <v>1357</v>
      </c>
      <c r="GE85" s="88">
        <v>1336</v>
      </c>
      <c r="GF85" s="88">
        <v>1284</v>
      </c>
      <c r="GG85" s="88">
        <v>1166</v>
      </c>
      <c r="GH85" s="88">
        <v>972</v>
      </c>
      <c r="GI85" s="88">
        <v>969</v>
      </c>
      <c r="GJ85" s="88">
        <v>769</v>
      </c>
      <c r="GK85" s="88">
        <v>730</v>
      </c>
      <c r="GL85" s="89">
        <v>2862</v>
      </c>
    </row>
    <row r="86" spans="1:194" s="1" customFormat="1" x14ac:dyDescent="0.2">
      <c r="A86" s="90" t="s">
        <v>94</v>
      </c>
      <c r="B86" s="146" t="s">
        <v>171</v>
      </c>
      <c r="C86" s="30" t="str">
        <f t="shared" si="4"/>
        <v xml:space="preserve">England – CCGs - Norfolk and Waveney </v>
      </c>
      <c r="D86" s="51">
        <f t="shared" si="7"/>
        <v>446976</v>
      </c>
      <c r="E86" s="51">
        <f t="shared" si="7"/>
        <v>470774</v>
      </c>
      <c r="F86" s="52">
        <f t="shared" si="8"/>
        <v>1041932</v>
      </c>
      <c r="G86" s="52">
        <f t="shared" si="9"/>
        <v>510572</v>
      </c>
      <c r="H86" s="52">
        <f t="shared" si="10"/>
        <v>531360</v>
      </c>
      <c r="I86" s="697">
        <f t="shared" si="5"/>
        <v>446976</v>
      </c>
      <c r="J86" s="53">
        <f t="shared" si="6"/>
        <v>470774</v>
      </c>
      <c r="K86" s="50">
        <f t="shared" si="11"/>
        <v>97520</v>
      </c>
      <c r="L86" s="51">
        <f t="shared" si="12"/>
        <v>92577</v>
      </c>
      <c r="M86" s="87">
        <v>4357</v>
      </c>
      <c r="N86" s="87">
        <v>4604</v>
      </c>
      <c r="O86" s="87">
        <v>4811</v>
      </c>
      <c r="P86" s="87">
        <v>5007</v>
      </c>
      <c r="Q86" s="87">
        <v>5172</v>
      </c>
      <c r="R86" s="87">
        <v>5441</v>
      </c>
      <c r="S86" s="87">
        <v>5549</v>
      </c>
      <c r="T86" s="87">
        <v>5566</v>
      </c>
      <c r="U86" s="87">
        <v>5531</v>
      </c>
      <c r="V86" s="87">
        <v>5772</v>
      </c>
      <c r="W86" s="87">
        <v>5859</v>
      </c>
      <c r="X86" s="87">
        <v>5927</v>
      </c>
      <c r="Y86" s="87">
        <v>5744</v>
      </c>
      <c r="Z86" s="87">
        <v>5782</v>
      </c>
      <c r="AA86" s="87">
        <v>5899</v>
      </c>
      <c r="AB86" s="87">
        <v>5600</v>
      </c>
      <c r="AC86" s="87">
        <v>5439</v>
      </c>
      <c r="AD86" s="87">
        <v>5460</v>
      </c>
      <c r="AE86" s="87">
        <v>5548</v>
      </c>
      <c r="AF86" s="87">
        <v>5687</v>
      </c>
      <c r="AG86" s="87">
        <v>5690</v>
      </c>
      <c r="AH86" s="87">
        <v>5593</v>
      </c>
      <c r="AI86" s="87">
        <v>5702</v>
      </c>
      <c r="AJ86" s="87">
        <v>5566</v>
      </c>
      <c r="AK86" s="87">
        <v>5476</v>
      </c>
      <c r="AL86" s="87">
        <v>5678</v>
      </c>
      <c r="AM86" s="87">
        <v>5602</v>
      </c>
      <c r="AN86" s="87">
        <v>5629</v>
      </c>
      <c r="AO86" s="87">
        <v>5913</v>
      </c>
      <c r="AP86" s="87">
        <v>5958</v>
      </c>
      <c r="AQ86" s="87">
        <v>6015</v>
      </c>
      <c r="AR86" s="87">
        <v>6017</v>
      </c>
      <c r="AS86" s="87">
        <v>6305</v>
      </c>
      <c r="AT86" s="87">
        <v>6071</v>
      </c>
      <c r="AU86" s="87">
        <v>6204</v>
      </c>
      <c r="AV86" s="87">
        <v>6122</v>
      </c>
      <c r="AW86" s="87">
        <v>6066</v>
      </c>
      <c r="AX86" s="87">
        <v>5985</v>
      </c>
      <c r="AY86" s="87">
        <v>5829</v>
      </c>
      <c r="AZ86" s="87">
        <v>5820</v>
      </c>
      <c r="BA86" s="87">
        <v>5696</v>
      </c>
      <c r="BB86" s="87">
        <v>5887</v>
      </c>
      <c r="BC86" s="87">
        <v>6013</v>
      </c>
      <c r="BD86" s="87">
        <v>5732</v>
      </c>
      <c r="BE86" s="87">
        <v>5387</v>
      </c>
      <c r="BF86" s="87">
        <v>5255</v>
      </c>
      <c r="BG86" s="87">
        <v>5423</v>
      </c>
      <c r="BH86" s="87">
        <v>5750</v>
      </c>
      <c r="BI86" s="87">
        <v>6083</v>
      </c>
      <c r="BJ86" s="87">
        <v>6350</v>
      </c>
      <c r="BK86" s="87">
        <v>6726</v>
      </c>
      <c r="BL86" s="87">
        <v>6886</v>
      </c>
      <c r="BM86" s="87">
        <v>6918</v>
      </c>
      <c r="BN86" s="87">
        <v>7202</v>
      </c>
      <c r="BO86" s="87">
        <v>7132</v>
      </c>
      <c r="BP86" s="87">
        <v>7271</v>
      </c>
      <c r="BQ86" s="87">
        <v>7458</v>
      </c>
      <c r="BR86" s="87">
        <v>7326</v>
      </c>
      <c r="BS86" s="87">
        <v>7433</v>
      </c>
      <c r="BT86" s="87">
        <v>7239</v>
      </c>
      <c r="BU86" s="87">
        <v>7139</v>
      </c>
      <c r="BV86" s="87">
        <v>7117</v>
      </c>
      <c r="BW86" s="87">
        <v>6735</v>
      </c>
      <c r="BX86" s="87">
        <v>6684</v>
      </c>
      <c r="BY86" s="87">
        <v>6465</v>
      </c>
      <c r="BZ86" s="87">
        <v>6452</v>
      </c>
      <c r="CA86" s="87">
        <v>6269</v>
      </c>
      <c r="CB86" s="87">
        <v>5975</v>
      </c>
      <c r="CC86" s="87">
        <v>6202</v>
      </c>
      <c r="CD86" s="87">
        <v>6022</v>
      </c>
      <c r="CE86" s="87">
        <v>5840</v>
      </c>
      <c r="CF86" s="87">
        <v>6055</v>
      </c>
      <c r="CG86" s="87">
        <v>6173</v>
      </c>
      <c r="CH86" s="87">
        <v>6291</v>
      </c>
      <c r="CI86" s="87">
        <v>6814</v>
      </c>
      <c r="CJ86" s="87">
        <v>7453</v>
      </c>
      <c r="CK86" s="87">
        <v>5679</v>
      </c>
      <c r="CL86" s="87">
        <v>5329</v>
      </c>
      <c r="CM86" s="87">
        <v>5045</v>
      </c>
      <c r="CN86" s="87">
        <v>4582</v>
      </c>
      <c r="CO86" s="87">
        <v>4065</v>
      </c>
      <c r="CP86" s="87">
        <v>3268</v>
      </c>
      <c r="CQ86" s="87">
        <v>3283</v>
      </c>
      <c r="CR86" s="87">
        <v>3136</v>
      </c>
      <c r="CS86" s="87">
        <v>2980</v>
      </c>
      <c r="CT86" s="87">
        <v>2638</v>
      </c>
      <c r="CU86" s="87">
        <v>2163</v>
      </c>
      <c r="CV86" s="87">
        <v>1973</v>
      </c>
      <c r="CW86" s="87">
        <v>1606</v>
      </c>
      <c r="CX86" s="87">
        <v>1340</v>
      </c>
      <c r="CY86" s="87">
        <v>4636</v>
      </c>
      <c r="CZ86" s="88">
        <v>4357</v>
      </c>
      <c r="DA86" s="88">
        <v>4251</v>
      </c>
      <c r="DB86" s="88">
        <v>4582</v>
      </c>
      <c r="DC86" s="88">
        <v>4745</v>
      </c>
      <c r="DD86" s="88">
        <v>4813</v>
      </c>
      <c r="DE86" s="88">
        <v>5085</v>
      </c>
      <c r="DF86" s="88">
        <v>5318</v>
      </c>
      <c r="DG86" s="88">
        <v>5256</v>
      </c>
      <c r="DH86" s="88">
        <v>5263</v>
      </c>
      <c r="DI86" s="88">
        <v>5612</v>
      </c>
      <c r="DJ86" s="88">
        <v>5789</v>
      </c>
      <c r="DK86" s="88">
        <v>5515</v>
      </c>
      <c r="DL86" s="88">
        <v>5586</v>
      </c>
      <c r="DM86" s="88">
        <v>5517</v>
      </c>
      <c r="DN86" s="88">
        <v>5554</v>
      </c>
      <c r="DO86" s="88">
        <v>5292</v>
      </c>
      <c r="DP86" s="88">
        <v>5032</v>
      </c>
      <c r="DQ86" s="88">
        <v>5010</v>
      </c>
      <c r="DR86" s="88">
        <v>5066</v>
      </c>
      <c r="DS86" s="88">
        <v>5189</v>
      </c>
      <c r="DT86" s="88">
        <v>5531</v>
      </c>
      <c r="DU86" s="88">
        <v>5620</v>
      </c>
      <c r="DV86" s="88">
        <v>5339</v>
      </c>
      <c r="DW86" s="88">
        <v>5537</v>
      </c>
      <c r="DX86" s="88">
        <v>5533</v>
      </c>
      <c r="DY86" s="88">
        <v>5677</v>
      </c>
      <c r="DZ86" s="88">
        <v>5582</v>
      </c>
      <c r="EA86" s="88">
        <v>5680</v>
      </c>
      <c r="EB86" s="88">
        <v>6087</v>
      </c>
      <c r="EC86" s="88">
        <v>5965</v>
      </c>
      <c r="ED86" s="88">
        <v>6276</v>
      </c>
      <c r="EE86" s="88">
        <v>6344</v>
      </c>
      <c r="EF86" s="88">
        <v>6159</v>
      </c>
      <c r="EG86" s="88">
        <v>6394</v>
      </c>
      <c r="EH86" s="88">
        <v>6321</v>
      </c>
      <c r="EI86" s="88">
        <v>6409</v>
      </c>
      <c r="EJ86" s="88">
        <v>6291</v>
      </c>
      <c r="EK86" s="88">
        <v>6073</v>
      </c>
      <c r="EL86" s="88">
        <v>6014</v>
      </c>
      <c r="EM86" s="88">
        <v>6032</v>
      </c>
      <c r="EN86" s="88">
        <v>6100</v>
      </c>
      <c r="EO86" s="88">
        <v>6063</v>
      </c>
      <c r="EP86" s="88">
        <v>5959</v>
      </c>
      <c r="EQ86" s="88">
        <v>5881</v>
      </c>
      <c r="ER86" s="88">
        <v>5513</v>
      </c>
      <c r="ES86" s="88">
        <v>5337</v>
      </c>
      <c r="ET86" s="88">
        <v>5669</v>
      </c>
      <c r="EU86" s="88">
        <v>5923</v>
      </c>
      <c r="EV86" s="88">
        <v>6345</v>
      </c>
      <c r="EW86" s="88">
        <v>6579</v>
      </c>
      <c r="EX86" s="88">
        <v>6928</v>
      </c>
      <c r="EY86" s="88">
        <v>7225</v>
      </c>
      <c r="EZ86" s="88">
        <v>7071</v>
      </c>
      <c r="FA86" s="88">
        <v>7308</v>
      </c>
      <c r="FB86" s="88">
        <v>7445</v>
      </c>
      <c r="FC86" s="88">
        <v>7489</v>
      </c>
      <c r="FD86" s="88">
        <v>7696</v>
      </c>
      <c r="FE86" s="88">
        <v>7880</v>
      </c>
      <c r="FF86" s="88">
        <v>7851</v>
      </c>
      <c r="FG86" s="88">
        <v>7574</v>
      </c>
      <c r="FH86" s="88">
        <v>7590</v>
      </c>
      <c r="FI86" s="88">
        <v>7428</v>
      </c>
      <c r="FJ86" s="88">
        <v>7072</v>
      </c>
      <c r="FK86" s="88">
        <v>7067</v>
      </c>
      <c r="FL86" s="88">
        <v>7027</v>
      </c>
      <c r="FM86" s="88">
        <v>6835</v>
      </c>
      <c r="FN86" s="88">
        <v>6750</v>
      </c>
      <c r="FO86" s="88">
        <v>6480</v>
      </c>
      <c r="FP86" s="88">
        <v>6553</v>
      </c>
      <c r="FQ86" s="88">
        <v>6746</v>
      </c>
      <c r="FR86" s="88">
        <v>6503</v>
      </c>
      <c r="FS86" s="88">
        <v>6426</v>
      </c>
      <c r="FT86" s="88">
        <v>6557</v>
      </c>
      <c r="FU86" s="88">
        <v>6811</v>
      </c>
      <c r="FV86" s="88">
        <v>7426</v>
      </c>
      <c r="FW86" s="88">
        <v>8294</v>
      </c>
      <c r="FX86" s="88">
        <v>6140</v>
      </c>
      <c r="FY86" s="88">
        <v>5736</v>
      </c>
      <c r="FZ86" s="88">
        <v>5709</v>
      </c>
      <c r="GA86" s="88">
        <v>5122</v>
      </c>
      <c r="GB86" s="88">
        <v>4458</v>
      </c>
      <c r="GC86" s="88">
        <v>3975</v>
      </c>
      <c r="GD86" s="88">
        <v>3809</v>
      </c>
      <c r="GE86" s="88">
        <v>3722</v>
      </c>
      <c r="GF86" s="88">
        <v>3551</v>
      </c>
      <c r="GG86" s="88">
        <v>3260</v>
      </c>
      <c r="GH86" s="88">
        <v>2903</v>
      </c>
      <c r="GI86" s="88">
        <v>2611</v>
      </c>
      <c r="GJ86" s="88">
        <v>2355</v>
      </c>
      <c r="GK86" s="88">
        <v>2041</v>
      </c>
      <c r="GL86" s="89">
        <v>8871</v>
      </c>
    </row>
    <row r="87" spans="1:194" s="1" customFormat="1" x14ac:dyDescent="0.2">
      <c r="A87" s="90" t="s">
        <v>94</v>
      </c>
      <c r="B87" s="146" t="s">
        <v>172</v>
      </c>
      <c r="C87" s="30" t="str">
        <f t="shared" si="4"/>
        <v xml:space="preserve">England – CCGs - North Central London </v>
      </c>
      <c r="D87" s="51">
        <f t="shared" si="7"/>
        <v>577242</v>
      </c>
      <c r="E87" s="51">
        <f t="shared" si="7"/>
        <v>643050</v>
      </c>
      <c r="F87" s="52">
        <f t="shared" si="8"/>
        <v>1416558</v>
      </c>
      <c r="G87" s="52">
        <f t="shared" si="9"/>
        <v>677387</v>
      </c>
      <c r="H87" s="52">
        <f t="shared" si="10"/>
        <v>739171</v>
      </c>
      <c r="I87" s="697">
        <f t="shared" si="5"/>
        <v>577242</v>
      </c>
      <c r="J87" s="53">
        <f t="shared" si="6"/>
        <v>643050</v>
      </c>
      <c r="K87" s="50">
        <f t="shared" si="11"/>
        <v>152005</v>
      </c>
      <c r="L87" s="51">
        <f t="shared" si="12"/>
        <v>146000</v>
      </c>
      <c r="M87" s="87">
        <v>8502</v>
      </c>
      <c r="N87" s="87">
        <v>8149</v>
      </c>
      <c r="O87" s="87">
        <v>8293</v>
      </c>
      <c r="P87" s="87">
        <v>8066</v>
      </c>
      <c r="Q87" s="87">
        <v>8296</v>
      </c>
      <c r="R87" s="87">
        <v>8212</v>
      </c>
      <c r="S87" s="87">
        <v>8352</v>
      </c>
      <c r="T87" s="87">
        <v>8174</v>
      </c>
      <c r="U87" s="87">
        <v>8262</v>
      </c>
      <c r="V87" s="87">
        <v>8257</v>
      </c>
      <c r="W87" s="87">
        <v>8751</v>
      </c>
      <c r="X87" s="87">
        <v>8831</v>
      </c>
      <c r="Y87" s="87">
        <v>8744</v>
      </c>
      <c r="Z87" s="87">
        <v>8816</v>
      </c>
      <c r="AA87" s="87">
        <v>8807</v>
      </c>
      <c r="AB87" s="87">
        <v>8583</v>
      </c>
      <c r="AC87" s="87">
        <v>8464</v>
      </c>
      <c r="AD87" s="87">
        <v>8446</v>
      </c>
      <c r="AE87" s="87">
        <v>8610</v>
      </c>
      <c r="AF87" s="87">
        <v>8893</v>
      </c>
      <c r="AG87" s="87">
        <v>8734</v>
      </c>
      <c r="AH87" s="87">
        <v>8464</v>
      </c>
      <c r="AI87" s="87">
        <v>9096</v>
      </c>
      <c r="AJ87" s="87">
        <v>10322</v>
      </c>
      <c r="AK87" s="87">
        <v>10427</v>
      </c>
      <c r="AL87" s="87">
        <v>11234</v>
      </c>
      <c r="AM87" s="87">
        <v>11402</v>
      </c>
      <c r="AN87" s="87">
        <v>11666</v>
      </c>
      <c r="AO87" s="87">
        <v>11974</v>
      </c>
      <c r="AP87" s="87">
        <v>11704</v>
      </c>
      <c r="AQ87" s="87">
        <v>11907</v>
      </c>
      <c r="AR87" s="87">
        <v>11925</v>
      </c>
      <c r="AS87" s="87">
        <v>11913</v>
      </c>
      <c r="AT87" s="87">
        <v>11464</v>
      </c>
      <c r="AU87" s="87">
        <v>11179</v>
      </c>
      <c r="AV87" s="87">
        <v>11002</v>
      </c>
      <c r="AW87" s="87">
        <v>10715</v>
      </c>
      <c r="AX87" s="87">
        <v>10919</v>
      </c>
      <c r="AY87" s="87">
        <v>9850</v>
      </c>
      <c r="AZ87" s="87">
        <v>9905</v>
      </c>
      <c r="BA87" s="87">
        <v>10039</v>
      </c>
      <c r="BB87" s="87">
        <v>10195</v>
      </c>
      <c r="BC87" s="87">
        <v>10289</v>
      </c>
      <c r="BD87" s="87">
        <v>9845</v>
      </c>
      <c r="BE87" s="87">
        <v>9260</v>
      </c>
      <c r="BF87" s="87">
        <v>8862</v>
      </c>
      <c r="BG87" s="87">
        <v>8866</v>
      </c>
      <c r="BH87" s="87">
        <v>9118</v>
      </c>
      <c r="BI87" s="87">
        <v>8960</v>
      </c>
      <c r="BJ87" s="87">
        <v>8996</v>
      </c>
      <c r="BK87" s="87">
        <v>9009</v>
      </c>
      <c r="BL87" s="87">
        <v>9143</v>
      </c>
      <c r="BM87" s="87">
        <v>8756</v>
      </c>
      <c r="BN87" s="87">
        <v>8810</v>
      </c>
      <c r="BO87" s="87">
        <v>8717</v>
      </c>
      <c r="BP87" s="87">
        <v>8404</v>
      </c>
      <c r="BQ87" s="87">
        <v>8606</v>
      </c>
      <c r="BR87" s="87">
        <v>8127</v>
      </c>
      <c r="BS87" s="87">
        <v>8096</v>
      </c>
      <c r="BT87" s="87">
        <v>7657</v>
      </c>
      <c r="BU87" s="87">
        <v>7230</v>
      </c>
      <c r="BV87" s="87">
        <v>6826</v>
      </c>
      <c r="BW87" s="87">
        <v>6838</v>
      </c>
      <c r="BX87" s="87">
        <v>6196</v>
      </c>
      <c r="BY87" s="87">
        <v>6012</v>
      </c>
      <c r="BZ87" s="87">
        <v>5495</v>
      </c>
      <c r="CA87" s="87">
        <v>5302</v>
      </c>
      <c r="CB87" s="87">
        <v>4993</v>
      </c>
      <c r="CC87" s="87">
        <v>4541</v>
      </c>
      <c r="CD87" s="87">
        <v>4482</v>
      </c>
      <c r="CE87" s="87">
        <v>4187</v>
      </c>
      <c r="CF87" s="87">
        <v>4052</v>
      </c>
      <c r="CG87" s="87">
        <v>4057</v>
      </c>
      <c r="CH87" s="87">
        <v>3879</v>
      </c>
      <c r="CI87" s="87">
        <v>3940</v>
      </c>
      <c r="CJ87" s="87">
        <v>3915</v>
      </c>
      <c r="CK87" s="87">
        <v>3154</v>
      </c>
      <c r="CL87" s="87">
        <v>2996</v>
      </c>
      <c r="CM87" s="87">
        <v>2993</v>
      </c>
      <c r="CN87" s="87">
        <v>2499</v>
      </c>
      <c r="CO87" s="87">
        <v>2168</v>
      </c>
      <c r="CP87" s="87">
        <v>1935</v>
      </c>
      <c r="CQ87" s="87">
        <v>2064</v>
      </c>
      <c r="CR87" s="87">
        <v>1859</v>
      </c>
      <c r="CS87" s="87">
        <v>1703</v>
      </c>
      <c r="CT87" s="87">
        <v>1556</v>
      </c>
      <c r="CU87" s="87">
        <v>1389</v>
      </c>
      <c r="CV87" s="87">
        <v>1198</v>
      </c>
      <c r="CW87" s="87">
        <v>1053</v>
      </c>
      <c r="CX87" s="87">
        <v>865</v>
      </c>
      <c r="CY87" s="87">
        <v>2945</v>
      </c>
      <c r="CZ87" s="88">
        <v>8212</v>
      </c>
      <c r="DA87" s="88">
        <v>7722</v>
      </c>
      <c r="DB87" s="88">
        <v>7857</v>
      </c>
      <c r="DC87" s="88">
        <v>7849</v>
      </c>
      <c r="DD87" s="88">
        <v>7761</v>
      </c>
      <c r="DE87" s="88">
        <v>7999</v>
      </c>
      <c r="DF87" s="88">
        <v>8226</v>
      </c>
      <c r="DG87" s="88">
        <v>7725</v>
      </c>
      <c r="DH87" s="88">
        <v>7844</v>
      </c>
      <c r="DI87" s="88">
        <v>8102</v>
      </c>
      <c r="DJ87" s="88">
        <v>8302</v>
      </c>
      <c r="DK87" s="88">
        <v>8522</v>
      </c>
      <c r="DL87" s="88">
        <v>8378</v>
      </c>
      <c r="DM87" s="88">
        <v>8523</v>
      </c>
      <c r="DN87" s="88">
        <v>8599</v>
      </c>
      <c r="DO87" s="88">
        <v>8034</v>
      </c>
      <c r="DP87" s="88">
        <v>8131</v>
      </c>
      <c r="DQ87" s="88">
        <v>8214</v>
      </c>
      <c r="DR87" s="88">
        <v>8510</v>
      </c>
      <c r="DS87" s="88">
        <v>9560</v>
      </c>
      <c r="DT87" s="88">
        <v>9629</v>
      </c>
      <c r="DU87" s="88">
        <v>9329</v>
      </c>
      <c r="DV87" s="88">
        <v>10673</v>
      </c>
      <c r="DW87" s="88">
        <v>12045</v>
      </c>
      <c r="DX87" s="88">
        <v>12657</v>
      </c>
      <c r="DY87" s="88">
        <v>12645</v>
      </c>
      <c r="DZ87" s="88">
        <v>12943</v>
      </c>
      <c r="EA87" s="88">
        <v>13297</v>
      </c>
      <c r="EB87" s="88">
        <v>13312</v>
      </c>
      <c r="EC87" s="88">
        <v>13448</v>
      </c>
      <c r="ED87" s="88">
        <v>13211</v>
      </c>
      <c r="EE87" s="88">
        <v>13037</v>
      </c>
      <c r="EF87" s="88">
        <v>13180</v>
      </c>
      <c r="EG87" s="88">
        <v>13009</v>
      </c>
      <c r="EH87" s="88">
        <v>12568</v>
      </c>
      <c r="EI87" s="88">
        <v>12280</v>
      </c>
      <c r="EJ87" s="88">
        <v>12038</v>
      </c>
      <c r="EK87" s="88">
        <v>11922</v>
      </c>
      <c r="EL87" s="88">
        <v>11353</v>
      </c>
      <c r="EM87" s="88">
        <v>11198</v>
      </c>
      <c r="EN87" s="88">
        <v>11154</v>
      </c>
      <c r="EO87" s="88">
        <v>11301</v>
      </c>
      <c r="EP87" s="88">
        <v>11050</v>
      </c>
      <c r="EQ87" s="88">
        <v>10964</v>
      </c>
      <c r="ER87" s="88">
        <v>10522</v>
      </c>
      <c r="ES87" s="88">
        <v>10084</v>
      </c>
      <c r="ET87" s="88">
        <v>9888</v>
      </c>
      <c r="EU87" s="88">
        <v>9963</v>
      </c>
      <c r="EV87" s="88">
        <v>9650</v>
      </c>
      <c r="EW87" s="88">
        <v>9656</v>
      </c>
      <c r="EX87" s="88">
        <v>9522</v>
      </c>
      <c r="EY87" s="88">
        <v>9876</v>
      </c>
      <c r="EZ87" s="88">
        <v>9764</v>
      </c>
      <c r="FA87" s="88">
        <v>9485</v>
      </c>
      <c r="FB87" s="88">
        <v>9341</v>
      </c>
      <c r="FC87" s="88">
        <v>9002</v>
      </c>
      <c r="FD87" s="88">
        <v>9325</v>
      </c>
      <c r="FE87" s="88">
        <v>9104</v>
      </c>
      <c r="FF87" s="88">
        <v>8680</v>
      </c>
      <c r="FG87" s="88">
        <v>8346</v>
      </c>
      <c r="FH87" s="88">
        <v>7671</v>
      </c>
      <c r="FI87" s="88">
        <v>7457</v>
      </c>
      <c r="FJ87" s="88">
        <v>7269</v>
      </c>
      <c r="FK87" s="88">
        <v>6747</v>
      </c>
      <c r="FL87" s="88">
        <v>6363</v>
      </c>
      <c r="FM87" s="88">
        <v>5976</v>
      </c>
      <c r="FN87" s="88">
        <v>5722</v>
      </c>
      <c r="FO87" s="88">
        <v>5376</v>
      </c>
      <c r="FP87" s="88">
        <v>5223</v>
      </c>
      <c r="FQ87" s="88">
        <v>5034</v>
      </c>
      <c r="FR87" s="88">
        <v>4961</v>
      </c>
      <c r="FS87" s="88">
        <v>4788</v>
      </c>
      <c r="FT87" s="88">
        <v>4773</v>
      </c>
      <c r="FU87" s="88">
        <v>4727</v>
      </c>
      <c r="FV87" s="88">
        <v>4588</v>
      </c>
      <c r="FW87" s="88">
        <v>4772</v>
      </c>
      <c r="FX87" s="88">
        <v>4049</v>
      </c>
      <c r="FY87" s="88">
        <v>3713</v>
      </c>
      <c r="FZ87" s="88">
        <v>3607</v>
      </c>
      <c r="GA87" s="88">
        <v>3257</v>
      </c>
      <c r="GB87" s="88">
        <v>2974</v>
      </c>
      <c r="GC87" s="88">
        <v>2679</v>
      </c>
      <c r="GD87" s="88">
        <v>2701</v>
      </c>
      <c r="GE87" s="88">
        <v>2602</v>
      </c>
      <c r="GF87" s="88">
        <v>2468</v>
      </c>
      <c r="GG87" s="88">
        <v>2084</v>
      </c>
      <c r="GH87" s="88">
        <v>2056</v>
      </c>
      <c r="GI87" s="88">
        <v>1840</v>
      </c>
      <c r="GJ87" s="88">
        <v>1580</v>
      </c>
      <c r="GK87" s="88">
        <v>1487</v>
      </c>
      <c r="GL87" s="89">
        <v>6106</v>
      </c>
    </row>
    <row r="88" spans="1:194" s="1" customFormat="1" x14ac:dyDescent="0.2">
      <c r="A88" s="90" t="s">
        <v>94</v>
      </c>
      <c r="B88" s="146" t="s">
        <v>173</v>
      </c>
      <c r="C88" s="30" t="str">
        <f t="shared" si="4"/>
        <v xml:space="preserve">England – CCGs - North Cumbria </v>
      </c>
      <c r="D88" s="51">
        <f t="shared" si="7"/>
        <v>139276</v>
      </c>
      <c r="E88" s="51">
        <f t="shared" si="7"/>
        <v>144838</v>
      </c>
      <c r="F88" s="52">
        <f t="shared" si="8"/>
        <v>322479</v>
      </c>
      <c r="G88" s="52">
        <f t="shared" si="9"/>
        <v>158765</v>
      </c>
      <c r="H88" s="52">
        <f t="shared" si="10"/>
        <v>163714</v>
      </c>
      <c r="I88" s="697">
        <f t="shared" si="5"/>
        <v>139276</v>
      </c>
      <c r="J88" s="53">
        <f t="shared" si="6"/>
        <v>144838</v>
      </c>
      <c r="K88" s="50">
        <f t="shared" si="11"/>
        <v>30324</v>
      </c>
      <c r="L88" s="51">
        <f t="shared" si="12"/>
        <v>28923</v>
      </c>
      <c r="M88" s="87">
        <v>1392</v>
      </c>
      <c r="N88" s="87">
        <v>1420</v>
      </c>
      <c r="O88" s="87">
        <v>1505</v>
      </c>
      <c r="P88" s="87">
        <v>1519</v>
      </c>
      <c r="Q88" s="87">
        <v>1560</v>
      </c>
      <c r="R88" s="87">
        <v>1627</v>
      </c>
      <c r="S88" s="87">
        <v>1695</v>
      </c>
      <c r="T88" s="87">
        <v>1665</v>
      </c>
      <c r="U88" s="87">
        <v>1675</v>
      </c>
      <c r="V88" s="87">
        <v>1784</v>
      </c>
      <c r="W88" s="87">
        <v>1810</v>
      </c>
      <c r="X88" s="87">
        <v>1837</v>
      </c>
      <c r="Y88" s="87">
        <v>1834</v>
      </c>
      <c r="Z88" s="87">
        <v>1896</v>
      </c>
      <c r="AA88" s="87">
        <v>1843</v>
      </c>
      <c r="AB88" s="87">
        <v>1744</v>
      </c>
      <c r="AC88" s="87">
        <v>1810</v>
      </c>
      <c r="AD88" s="87">
        <v>1708</v>
      </c>
      <c r="AE88" s="87">
        <v>1709</v>
      </c>
      <c r="AF88" s="87">
        <v>1399</v>
      </c>
      <c r="AG88" s="87">
        <v>1272</v>
      </c>
      <c r="AH88" s="87">
        <v>1344</v>
      </c>
      <c r="AI88" s="87">
        <v>1552</v>
      </c>
      <c r="AJ88" s="87">
        <v>1609</v>
      </c>
      <c r="AK88" s="87">
        <v>1663</v>
      </c>
      <c r="AL88" s="87">
        <v>1747</v>
      </c>
      <c r="AM88" s="87">
        <v>1659</v>
      </c>
      <c r="AN88" s="87">
        <v>1763</v>
      </c>
      <c r="AO88" s="87">
        <v>1823</v>
      </c>
      <c r="AP88" s="87">
        <v>1818</v>
      </c>
      <c r="AQ88" s="87">
        <v>1913</v>
      </c>
      <c r="AR88" s="87">
        <v>1874</v>
      </c>
      <c r="AS88" s="87">
        <v>1801</v>
      </c>
      <c r="AT88" s="87">
        <v>1857</v>
      </c>
      <c r="AU88" s="87">
        <v>1839</v>
      </c>
      <c r="AV88" s="87">
        <v>1789</v>
      </c>
      <c r="AW88" s="87">
        <v>1878</v>
      </c>
      <c r="AX88" s="87">
        <v>1849</v>
      </c>
      <c r="AY88" s="87">
        <v>1725</v>
      </c>
      <c r="AZ88" s="87">
        <v>1807</v>
      </c>
      <c r="BA88" s="87">
        <v>1828</v>
      </c>
      <c r="BB88" s="87">
        <v>1827</v>
      </c>
      <c r="BC88" s="87">
        <v>1795</v>
      </c>
      <c r="BD88" s="87">
        <v>1691</v>
      </c>
      <c r="BE88" s="87">
        <v>1633</v>
      </c>
      <c r="BF88" s="87">
        <v>1594</v>
      </c>
      <c r="BG88" s="87">
        <v>1636</v>
      </c>
      <c r="BH88" s="87">
        <v>1809</v>
      </c>
      <c r="BI88" s="87">
        <v>1827</v>
      </c>
      <c r="BJ88" s="87">
        <v>2053</v>
      </c>
      <c r="BK88" s="87">
        <v>2199</v>
      </c>
      <c r="BL88" s="87">
        <v>2333</v>
      </c>
      <c r="BM88" s="87">
        <v>2167</v>
      </c>
      <c r="BN88" s="87">
        <v>2482</v>
      </c>
      <c r="BO88" s="87">
        <v>2340</v>
      </c>
      <c r="BP88" s="87">
        <v>2521</v>
      </c>
      <c r="BQ88" s="87">
        <v>2491</v>
      </c>
      <c r="BR88" s="87">
        <v>2688</v>
      </c>
      <c r="BS88" s="87">
        <v>2613</v>
      </c>
      <c r="BT88" s="87">
        <v>2590</v>
      </c>
      <c r="BU88" s="87">
        <v>2542</v>
      </c>
      <c r="BV88" s="87">
        <v>2486</v>
      </c>
      <c r="BW88" s="87">
        <v>2552</v>
      </c>
      <c r="BX88" s="87">
        <v>2397</v>
      </c>
      <c r="BY88" s="87">
        <v>2352</v>
      </c>
      <c r="BZ88" s="87">
        <v>2180</v>
      </c>
      <c r="CA88" s="87">
        <v>2072</v>
      </c>
      <c r="CB88" s="87">
        <v>2006</v>
      </c>
      <c r="CC88" s="87">
        <v>2043</v>
      </c>
      <c r="CD88" s="87">
        <v>1931</v>
      </c>
      <c r="CE88" s="87">
        <v>1914</v>
      </c>
      <c r="CF88" s="87">
        <v>2011</v>
      </c>
      <c r="CG88" s="87">
        <v>1902</v>
      </c>
      <c r="CH88" s="87">
        <v>2042</v>
      </c>
      <c r="CI88" s="87">
        <v>1960</v>
      </c>
      <c r="CJ88" s="87">
        <v>2128</v>
      </c>
      <c r="CK88" s="87">
        <v>1591</v>
      </c>
      <c r="CL88" s="87">
        <v>1397</v>
      </c>
      <c r="CM88" s="87">
        <v>1413</v>
      </c>
      <c r="CN88" s="87">
        <v>1254</v>
      </c>
      <c r="CO88" s="87">
        <v>1107</v>
      </c>
      <c r="CP88" s="87">
        <v>991</v>
      </c>
      <c r="CQ88" s="87">
        <v>961</v>
      </c>
      <c r="CR88" s="87">
        <v>841</v>
      </c>
      <c r="CS88" s="87">
        <v>796</v>
      </c>
      <c r="CT88" s="87">
        <v>712</v>
      </c>
      <c r="CU88" s="87">
        <v>626</v>
      </c>
      <c r="CV88" s="87">
        <v>471</v>
      </c>
      <c r="CW88" s="87">
        <v>398</v>
      </c>
      <c r="CX88" s="87">
        <v>391</v>
      </c>
      <c r="CY88" s="87">
        <v>1167</v>
      </c>
      <c r="CZ88" s="88">
        <v>1335</v>
      </c>
      <c r="DA88" s="88">
        <v>1436</v>
      </c>
      <c r="DB88" s="88">
        <v>1418</v>
      </c>
      <c r="DC88" s="88">
        <v>1437</v>
      </c>
      <c r="DD88" s="88">
        <v>1455</v>
      </c>
      <c r="DE88" s="88">
        <v>1559</v>
      </c>
      <c r="DF88" s="88">
        <v>1645</v>
      </c>
      <c r="DG88" s="88">
        <v>1618</v>
      </c>
      <c r="DH88" s="88">
        <v>1726</v>
      </c>
      <c r="DI88" s="88">
        <v>1653</v>
      </c>
      <c r="DJ88" s="88">
        <v>1785</v>
      </c>
      <c r="DK88" s="88">
        <v>1809</v>
      </c>
      <c r="DL88" s="88">
        <v>1780</v>
      </c>
      <c r="DM88" s="88">
        <v>1647</v>
      </c>
      <c r="DN88" s="88">
        <v>1771</v>
      </c>
      <c r="DO88" s="88">
        <v>1635</v>
      </c>
      <c r="DP88" s="88">
        <v>1620</v>
      </c>
      <c r="DQ88" s="88">
        <v>1594</v>
      </c>
      <c r="DR88" s="88">
        <v>1553</v>
      </c>
      <c r="DS88" s="88">
        <v>1173</v>
      </c>
      <c r="DT88" s="88">
        <v>1205</v>
      </c>
      <c r="DU88" s="88">
        <v>1302</v>
      </c>
      <c r="DV88" s="88">
        <v>1414</v>
      </c>
      <c r="DW88" s="88">
        <v>1581</v>
      </c>
      <c r="DX88" s="88">
        <v>1644</v>
      </c>
      <c r="DY88" s="88">
        <v>1732</v>
      </c>
      <c r="DZ88" s="88">
        <v>1709</v>
      </c>
      <c r="EA88" s="88">
        <v>1697</v>
      </c>
      <c r="EB88" s="88">
        <v>1816</v>
      </c>
      <c r="EC88" s="88">
        <v>1868</v>
      </c>
      <c r="ED88" s="88">
        <v>1966</v>
      </c>
      <c r="EE88" s="88">
        <v>1991</v>
      </c>
      <c r="EF88" s="88">
        <v>1959</v>
      </c>
      <c r="EG88" s="88">
        <v>1914</v>
      </c>
      <c r="EH88" s="88">
        <v>1971</v>
      </c>
      <c r="EI88" s="88">
        <v>1777</v>
      </c>
      <c r="EJ88" s="88">
        <v>1890</v>
      </c>
      <c r="EK88" s="88">
        <v>1876</v>
      </c>
      <c r="EL88" s="88">
        <v>1833</v>
      </c>
      <c r="EM88" s="88">
        <v>1973</v>
      </c>
      <c r="EN88" s="88">
        <v>1836</v>
      </c>
      <c r="EO88" s="88">
        <v>1812</v>
      </c>
      <c r="EP88" s="88">
        <v>1872</v>
      </c>
      <c r="EQ88" s="88">
        <v>1725</v>
      </c>
      <c r="ER88" s="88">
        <v>1664</v>
      </c>
      <c r="ES88" s="88">
        <v>1668</v>
      </c>
      <c r="ET88" s="88">
        <v>1797</v>
      </c>
      <c r="EU88" s="88">
        <v>1803</v>
      </c>
      <c r="EV88" s="88">
        <v>2040</v>
      </c>
      <c r="EW88" s="88">
        <v>2123</v>
      </c>
      <c r="EX88" s="88">
        <v>2210</v>
      </c>
      <c r="EY88" s="88">
        <v>2497</v>
      </c>
      <c r="EZ88" s="88">
        <v>2408</v>
      </c>
      <c r="FA88" s="88">
        <v>2579</v>
      </c>
      <c r="FB88" s="88">
        <v>2507</v>
      </c>
      <c r="FC88" s="88">
        <v>2563</v>
      </c>
      <c r="FD88" s="88">
        <v>2597</v>
      </c>
      <c r="FE88" s="88">
        <v>2634</v>
      </c>
      <c r="FF88" s="88">
        <v>2694</v>
      </c>
      <c r="FG88" s="88">
        <v>2595</v>
      </c>
      <c r="FH88" s="88">
        <v>2570</v>
      </c>
      <c r="FI88" s="88">
        <v>2499</v>
      </c>
      <c r="FJ88" s="88">
        <v>2352</v>
      </c>
      <c r="FK88" s="88">
        <v>2409</v>
      </c>
      <c r="FL88" s="88">
        <v>2412</v>
      </c>
      <c r="FM88" s="88">
        <v>2184</v>
      </c>
      <c r="FN88" s="88">
        <v>2192</v>
      </c>
      <c r="FO88" s="88">
        <v>2020</v>
      </c>
      <c r="FP88" s="88">
        <v>2007</v>
      </c>
      <c r="FQ88" s="88">
        <v>2098</v>
      </c>
      <c r="FR88" s="88">
        <v>1954</v>
      </c>
      <c r="FS88" s="88">
        <v>2142</v>
      </c>
      <c r="FT88" s="88">
        <v>2081</v>
      </c>
      <c r="FU88" s="88">
        <v>2038</v>
      </c>
      <c r="FV88" s="88">
        <v>2187</v>
      </c>
      <c r="FW88" s="88">
        <v>2216</v>
      </c>
      <c r="FX88" s="88">
        <v>1619</v>
      </c>
      <c r="FY88" s="88">
        <v>1549</v>
      </c>
      <c r="FZ88" s="88">
        <v>1584</v>
      </c>
      <c r="GA88" s="88">
        <v>1358</v>
      </c>
      <c r="GB88" s="88">
        <v>1282</v>
      </c>
      <c r="GC88" s="88">
        <v>1174</v>
      </c>
      <c r="GD88" s="88">
        <v>1103</v>
      </c>
      <c r="GE88" s="88">
        <v>1120</v>
      </c>
      <c r="GF88" s="88">
        <v>1093</v>
      </c>
      <c r="GG88" s="88">
        <v>970</v>
      </c>
      <c r="GH88" s="88">
        <v>816</v>
      </c>
      <c r="GI88" s="88">
        <v>763</v>
      </c>
      <c r="GJ88" s="88">
        <v>633</v>
      </c>
      <c r="GK88" s="88">
        <v>597</v>
      </c>
      <c r="GL88" s="89">
        <v>2301</v>
      </c>
    </row>
    <row r="89" spans="1:194" s="1" customFormat="1" x14ac:dyDescent="0.2">
      <c r="A89" s="90" t="s">
        <v>94</v>
      </c>
      <c r="B89" s="146" t="s">
        <v>174</v>
      </c>
      <c r="C89" s="30" t="str">
        <f t="shared" si="4"/>
        <v xml:space="preserve">England – CCGs - North East Essex </v>
      </c>
      <c r="D89" s="51">
        <f t="shared" si="7"/>
        <v>145069</v>
      </c>
      <c r="E89" s="51">
        <f t="shared" si="7"/>
        <v>155535</v>
      </c>
      <c r="F89" s="52">
        <f t="shared" si="8"/>
        <v>345845</v>
      </c>
      <c r="G89" s="52">
        <f t="shared" si="9"/>
        <v>168263</v>
      </c>
      <c r="H89" s="52">
        <f t="shared" si="10"/>
        <v>177582</v>
      </c>
      <c r="I89" s="697">
        <f t="shared" si="5"/>
        <v>145069</v>
      </c>
      <c r="J89" s="53">
        <f t="shared" si="6"/>
        <v>155535</v>
      </c>
      <c r="K89" s="50">
        <f t="shared" si="11"/>
        <v>34877</v>
      </c>
      <c r="L89" s="51">
        <f t="shared" si="12"/>
        <v>33357</v>
      </c>
      <c r="M89" s="87">
        <v>1694</v>
      </c>
      <c r="N89" s="87">
        <v>1724</v>
      </c>
      <c r="O89" s="87">
        <v>1838</v>
      </c>
      <c r="P89" s="87">
        <v>1805</v>
      </c>
      <c r="Q89" s="87">
        <v>1988</v>
      </c>
      <c r="R89" s="87">
        <v>1893</v>
      </c>
      <c r="S89" s="87">
        <v>1926</v>
      </c>
      <c r="T89" s="87">
        <v>2024</v>
      </c>
      <c r="U89" s="87">
        <v>2096</v>
      </c>
      <c r="V89" s="87">
        <v>2023</v>
      </c>
      <c r="W89" s="87">
        <v>2078</v>
      </c>
      <c r="X89" s="87">
        <v>2105</v>
      </c>
      <c r="Y89" s="87">
        <v>2107</v>
      </c>
      <c r="Z89" s="87">
        <v>1996</v>
      </c>
      <c r="AA89" s="87">
        <v>2028</v>
      </c>
      <c r="AB89" s="87">
        <v>1843</v>
      </c>
      <c r="AC89" s="87">
        <v>1895</v>
      </c>
      <c r="AD89" s="87">
        <v>1814</v>
      </c>
      <c r="AE89" s="87">
        <v>1995</v>
      </c>
      <c r="AF89" s="87">
        <v>1914</v>
      </c>
      <c r="AG89" s="87">
        <v>1885</v>
      </c>
      <c r="AH89" s="87">
        <v>2216</v>
      </c>
      <c r="AI89" s="87">
        <v>2120</v>
      </c>
      <c r="AJ89" s="87">
        <v>1866</v>
      </c>
      <c r="AK89" s="87">
        <v>1896</v>
      </c>
      <c r="AL89" s="87">
        <v>1924</v>
      </c>
      <c r="AM89" s="87">
        <v>1902</v>
      </c>
      <c r="AN89" s="87">
        <v>1843</v>
      </c>
      <c r="AO89" s="87">
        <v>2024</v>
      </c>
      <c r="AP89" s="87">
        <v>1972</v>
      </c>
      <c r="AQ89" s="87">
        <v>2095</v>
      </c>
      <c r="AR89" s="87">
        <v>2032</v>
      </c>
      <c r="AS89" s="87">
        <v>2073</v>
      </c>
      <c r="AT89" s="87">
        <v>2047</v>
      </c>
      <c r="AU89" s="87">
        <v>2191</v>
      </c>
      <c r="AV89" s="87">
        <v>2063</v>
      </c>
      <c r="AW89" s="87">
        <v>2034</v>
      </c>
      <c r="AX89" s="87">
        <v>1950</v>
      </c>
      <c r="AY89" s="87">
        <v>1933</v>
      </c>
      <c r="AZ89" s="87">
        <v>1964</v>
      </c>
      <c r="BA89" s="87">
        <v>1987</v>
      </c>
      <c r="BB89" s="87">
        <v>2037</v>
      </c>
      <c r="BC89" s="87">
        <v>1991</v>
      </c>
      <c r="BD89" s="87">
        <v>1920</v>
      </c>
      <c r="BE89" s="87">
        <v>1839</v>
      </c>
      <c r="BF89" s="87">
        <v>1972</v>
      </c>
      <c r="BG89" s="87">
        <v>1811</v>
      </c>
      <c r="BH89" s="87">
        <v>1942</v>
      </c>
      <c r="BI89" s="87">
        <v>1987</v>
      </c>
      <c r="BJ89" s="87">
        <v>2054</v>
      </c>
      <c r="BK89" s="87">
        <v>2252</v>
      </c>
      <c r="BL89" s="87">
        <v>2268</v>
      </c>
      <c r="BM89" s="87">
        <v>2178</v>
      </c>
      <c r="BN89" s="87">
        <v>2320</v>
      </c>
      <c r="BO89" s="87">
        <v>2285</v>
      </c>
      <c r="BP89" s="87">
        <v>2428</v>
      </c>
      <c r="BQ89" s="87">
        <v>2346</v>
      </c>
      <c r="BR89" s="87">
        <v>2310</v>
      </c>
      <c r="BS89" s="87">
        <v>2269</v>
      </c>
      <c r="BT89" s="87">
        <v>2146</v>
      </c>
      <c r="BU89" s="87">
        <v>2275</v>
      </c>
      <c r="BV89" s="87">
        <v>2268</v>
      </c>
      <c r="BW89" s="87">
        <v>2074</v>
      </c>
      <c r="BX89" s="87">
        <v>2058</v>
      </c>
      <c r="BY89" s="87">
        <v>1982</v>
      </c>
      <c r="BZ89" s="87">
        <v>1907</v>
      </c>
      <c r="CA89" s="87">
        <v>1845</v>
      </c>
      <c r="CB89" s="87">
        <v>1755</v>
      </c>
      <c r="CC89" s="87">
        <v>1742</v>
      </c>
      <c r="CD89" s="87">
        <v>1919</v>
      </c>
      <c r="CE89" s="87">
        <v>1794</v>
      </c>
      <c r="CF89" s="87">
        <v>1786</v>
      </c>
      <c r="CG89" s="87">
        <v>1757</v>
      </c>
      <c r="CH89" s="87">
        <v>1970</v>
      </c>
      <c r="CI89" s="87">
        <v>2087</v>
      </c>
      <c r="CJ89" s="87">
        <v>2399</v>
      </c>
      <c r="CK89" s="87">
        <v>1700</v>
      </c>
      <c r="CL89" s="87">
        <v>1601</v>
      </c>
      <c r="CM89" s="87">
        <v>1584</v>
      </c>
      <c r="CN89" s="87">
        <v>1423</v>
      </c>
      <c r="CO89" s="87">
        <v>1157</v>
      </c>
      <c r="CP89" s="87">
        <v>938</v>
      </c>
      <c r="CQ89" s="87">
        <v>999</v>
      </c>
      <c r="CR89" s="87">
        <v>961</v>
      </c>
      <c r="CS89" s="87">
        <v>884</v>
      </c>
      <c r="CT89" s="87">
        <v>760</v>
      </c>
      <c r="CU89" s="87">
        <v>640</v>
      </c>
      <c r="CV89" s="87">
        <v>613</v>
      </c>
      <c r="CW89" s="87">
        <v>464</v>
      </c>
      <c r="CX89" s="87">
        <v>400</v>
      </c>
      <c r="CY89" s="87">
        <v>1363</v>
      </c>
      <c r="CZ89" s="88">
        <v>1639</v>
      </c>
      <c r="DA89" s="88">
        <v>1606</v>
      </c>
      <c r="DB89" s="88">
        <v>1712</v>
      </c>
      <c r="DC89" s="88">
        <v>1750</v>
      </c>
      <c r="DD89" s="88">
        <v>1820</v>
      </c>
      <c r="DE89" s="88">
        <v>1855</v>
      </c>
      <c r="DF89" s="88">
        <v>1877</v>
      </c>
      <c r="DG89" s="88">
        <v>1892</v>
      </c>
      <c r="DH89" s="88">
        <v>1951</v>
      </c>
      <c r="DI89" s="88">
        <v>1929</v>
      </c>
      <c r="DJ89" s="88">
        <v>2036</v>
      </c>
      <c r="DK89" s="88">
        <v>1980</v>
      </c>
      <c r="DL89" s="88">
        <v>2000</v>
      </c>
      <c r="DM89" s="88">
        <v>1958</v>
      </c>
      <c r="DN89" s="88">
        <v>1975</v>
      </c>
      <c r="DO89" s="88">
        <v>1856</v>
      </c>
      <c r="DP89" s="88">
        <v>1762</v>
      </c>
      <c r="DQ89" s="88">
        <v>1759</v>
      </c>
      <c r="DR89" s="88">
        <v>1800</v>
      </c>
      <c r="DS89" s="88">
        <v>1798</v>
      </c>
      <c r="DT89" s="88">
        <v>1780</v>
      </c>
      <c r="DU89" s="88">
        <v>2155</v>
      </c>
      <c r="DV89" s="88">
        <v>1889</v>
      </c>
      <c r="DW89" s="88">
        <v>1809</v>
      </c>
      <c r="DX89" s="88">
        <v>1879</v>
      </c>
      <c r="DY89" s="88">
        <v>1829</v>
      </c>
      <c r="DZ89" s="88">
        <v>1811</v>
      </c>
      <c r="EA89" s="88">
        <v>1952</v>
      </c>
      <c r="EB89" s="88">
        <v>2140</v>
      </c>
      <c r="EC89" s="88">
        <v>2157</v>
      </c>
      <c r="ED89" s="88">
        <v>2203</v>
      </c>
      <c r="EE89" s="88">
        <v>2250</v>
      </c>
      <c r="EF89" s="88">
        <v>2186</v>
      </c>
      <c r="EG89" s="88">
        <v>2377</v>
      </c>
      <c r="EH89" s="88">
        <v>2295</v>
      </c>
      <c r="EI89" s="88">
        <v>2180</v>
      </c>
      <c r="EJ89" s="88">
        <v>2248</v>
      </c>
      <c r="EK89" s="88">
        <v>2164</v>
      </c>
      <c r="EL89" s="88">
        <v>2106</v>
      </c>
      <c r="EM89" s="88">
        <v>2051</v>
      </c>
      <c r="EN89" s="88">
        <v>2056</v>
      </c>
      <c r="EO89" s="88">
        <v>2215</v>
      </c>
      <c r="EP89" s="88">
        <v>2149</v>
      </c>
      <c r="EQ89" s="88">
        <v>2106</v>
      </c>
      <c r="ER89" s="88">
        <v>1984</v>
      </c>
      <c r="ES89" s="88">
        <v>1897</v>
      </c>
      <c r="ET89" s="88">
        <v>1993</v>
      </c>
      <c r="EU89" s="88">
        <v>2042</v>
      </c>
      <c r="EV89" s="88">
        <v>2099</v>
      </c>
      <c r="EW89" s="88">
        <v>2189</v>
      </c>
      <c r="EX89" s="88">
        <v>2216</v>
      </c>
      <c r="EY89" s="88">
        <v>2329</v>
      </c>
      <c r="EZ89" s="88">
        <v>2270</v>
      </c>
      <c r="FA89" s="88">
        <v>2406</v>
      </c>
      <c r="FB89" s="88">
        <v>2440</v>
      </c>
      <c r="FC89" s="88">
        <v>2450</v>
      </c>
      <c r="FD89" s="88">
        <v>2496</v>
      </c>
      <c r="FE89" s="88">
        <v>2468</v>
      </c>
      <c r="FF89" s="88">
        <v>2506</v>
      </c>
      <c r="FG89" s="88">
        <v>2422</v>
      </c>
      <c r="FH89" s="88">
        <v>2362</v>
      </c>
      <c r="FI89" s="88">
        <v>2212</v>
      </c>
      <c r="FJ89" s="88">
        <v>2223</v>
      </c>
      <c r="FK89" s="88">
        <v>2139</v>
      </c>
      <c r="FL89" s="88">
        <v>2184</v>
      </c>
      <c r="FM89" s="88">
        <v>2066</v>
      </c>
      <c r="FN89" s="88">
        <v>1988</v>
      </c>
      <c r="FO89" s="88">
        <v>1971</v>
      </c>
      <c r="FP89" s="88">
        <v>2111</v>
      </c>
      <c r="FQ89" s="88">
        <v>2036</v>
      </c>
      <c r="FR89" s="88">
        <v>1924</v>
      </c>
      <c r="FS89" s="88">
        <v>1932</v>
      </c>
      <c r="FT89" s="88">
        <v>2143</v>
      </c>
      <c r="FU89" s="88">
        <v>2203</v>
      </c>
      <c r="FV89" s="88">
        <v>2392</v>
      </c>
      <c r="FW89" s="88">
        <v>2583</v>
      </c>
      <c r="FX89" s="88">
        <v>1934</v>
      </c>
      <c r="FY89" s="88">
        <v>1821</v>
      </c>
      <c r="FZ89" s="88">
        <v>1840</v>
      </c>
      <c r="GA89" s="88">
        <v>1646</v>
      </c>
      <c r="GB89" s="88">
        <v>1399</v>
      </c>
      <c r="GC89" s="88">
        <v>1234</v>
      </c>
      <c r="GD89" s="88">
        <v>1232</v>
      </c>
      <c r="GE89" s="88">
        <v>1156</v>
      </c>
      <c r="GF89" s="88">
        <v>1038</v>
      </c>
      <c r="GG89" s="88">
        <v>958</v>
      </c>
      <c r="GH89" s="88">
        <v>903</v>
      </c>
      <c r="GI89" s="88">
        <v>808</v>
      </c>
      <c r="GJ89" s="88">
        <v>668</v>
      </c>
      <c r="GK89" s="88">
        <v>654</v>
      </c>
      <c r="GL89" s="89">
        <v>2673</v>
      </c>
    </row>
    <row r="90" spans="1:194" s="1" customFormat="1" x14ac:dyDescent="0.2">
      <c r="A90" s="90" t="s">
        <v>94</v>
      </c>
      <c r="B90" s="146" t="s">
        <v>175</v>
      </c>
      <c r="C90" s="30" t="str">
        <f t="shared" si="4"/>
        <v xml:space="preserve">England – CCGs - North East Lincolnshire </v>
      </c>
      <c r="D90" s="51">
        <f t="shared" si="7"/>
        <v>66349</v>
      </c>
      <c r="E90" s="51">
        <f t="shared" si="7"/>
        <v>69769</v>
      </c>
      <c r="F90" s="52">
        <f t="shared" si="8"/>
        <v>157754</v>
      </c>
      <c r="G90" s="52">
        <f t="shared" si="9"/>
        <v>77352</v>
      </c>
      <c r="H90" s="52">
        <f t="shared" si="10"/>
        <v>80402</v>
      </c>
      <c r="I90" s="697">
        <f t="shared" si="5"/>
        <v>66349</v>
      </c>
      <c r="J90" s="53">
        <f t="shared" si="6"/>
        <v>69769</v>
      </c>
      <c r="K90" s="50">
        <f t="shared" si="11"/>
        <v>16981</v>
      </c>
      <c r="L90" s="51">
        <f t="shared" si="12"/>
        <v>16167</v>
      </c>
      <c r="M90" s="87">
        <v>761</v>
      </c>
      <c r="N90" s="87">
        <v>771</v>
      </c>
      <c r="O90" s="87">
        <v>916</v>
      </c>
      <c r="P90" s="87">
        <v>823</v>
      </c>
      <c r="Q90" s="87">
        <v>867</v>
      </c>
      <c r="R90" s="87">
        <v>944</v>
      </c>
      <c r="S90" s="87">
        <v>946</v>
      </c>
      <c r="T90" s="87">
        <v>962</v>
      </c>
      <c r="U90" s="87">
        <v>964</v>
      </c>
      <c r="V90" s="87">
        <v>979</v>
      </c>
      <c r="W90" s="87">
        <v>1006</v>
      </c>
      <c r="X90" s="87">
        <v>1064</v>
      </c>
      <c r="Y90" s="87">
        <v>1007</v>
      </c>
      <c r="Z90" s="87">
        <v>995</v>
      </c>
      <c r="AA90" s="87">
        <v>998</v>
      </c>
      <c r="AB90" s="87">
        <v>980</v>
      </c>
      <c r="AC90" s="87">
        <v>1034</v>
      </c>
      <c r="AD90" s="87">
        <v>964</v>
      </c>
      <c r="AE90" s="87">
        <v>885</v>
      </c>
      <c r="AF90" s="87">
        <v>719</v>
      </c>
      <c r="AG90" s="87">
        <v>679</v>
      </c>
      <c r="AH90" s="87">
        <v>710</v>
      </c>
      <c r="AI90" s="87">
        <v>814</v>
      </c>
      <c r="AJ90" s="87">
        <v>890</v>
      </c>
      <c r="AK90" s="87">
        <v>853</v>
      </c>
      <c r="AL90" s="87">
        <v>850</v>
      </c>
      <c r="AM90" s="87">
        <v>903</v>
      </c>
      <c r="AN90" s="87">
        <v>846</v>
      </c>
      <c r="AO90" s="87">
        <v>926</v>
      </c>
      <c r="AP90" s="87">
        <v>905</v>
      </c>
      <c r="AQ90" s="87">
        <v>967</v>
      </c>
      <c r="AR90" s="87">
        <v>1040</v>
      </c>
      <c r="AS90" s="87">
        <v>991</v>
      </c>
      <c r="AT90" s="87">
        <v>1018</v>
      </c>
      <c r="AU90" s="87">
        <v>1038</v>
      </c>
      <c r="AV90" s="87">
        <v>1017</v>
      </c>
      <c r="AW90" s="87">
        <v>982</v>
      </c>
      <c r="AX90" s="87">
        <v>976</v>
      </c>
      <c r="AY90" s="87">
        <v>898</v>
      </c>
      <c r="AZ90" s="87">
        <v>830</v>
      </c>
      <c r="BA90" s="87">
        <v>930</v>
      </c>
      <c r="BB90" s="87">
        <v>883</v>
      </c>
      <c r="BC90" s="87">
        <v>875</v>
      </c>
      <c r="BD90" s="87">
        <v>883</v>
      </c>
      <c r="BE90" s="87">
        <v>771</v>
      </c>
      <c r="BF90" s="87">
        <v>781</v>
      </c>
      <c r="BG90" s="87">
        <v>838</v>
      </c>
      <c r="BH90" s="87">
        <v>892</v>
      </c>
      <c r="BI90" s="87">
        <v>911</v>
      </c>
      <c r="BJ90" s="87">
        <v>956</v>
      </c>
      <c r="BK90" s="87">
        <v>1025</v>
      </c>
      <c r="BL90" s="87">
        <v>1084</v>
      </c>
      <c r="BM90" s="87">
        <v>1046</v>
      </c>
      <c r="BN90" s="87">
        <v>1073</v>
      </c>
      <c r="BO90" s="87">
        <v>1086</v>
      </c>
      <c r="BP90" s="87">
        <v>1151</v>
      </c>
      <c r="BQ90" s="87">
        <v>1094</v>
      </c>
      <c r="BR90" s="87">
        <v>1143</v>
      </c>
      <c r="BS90" s="87">
        <v>1149</v>
      </c>
      <c r="BT90" s="87">
        <v>1160</v>
      </c>
      <c r="BU90" s="87">
        <v>1184</v>
      </c>
      <c r="BV90" s="87">
        <v>1133</v>
      </c>
      <c r="BW90" s="87">
        <v>1049</v>
      </c>
      <c r="BX90" s="87">
        <v>964</v>
      </c>
      <c r="BY90" s="87">
        <v>975</v>
      </c>
      <c r="BZ90" s="87">
        <v>940</v>
      </c>
      <c r="CA90" s="87">
        <v>938</v>
      </c>
      <c r="CB90" s="87">
        <v>864</v>
      </c>
      <c r="CC90" s="87">
        <v>883</v>
      </c>
      <c r="CD90" s="87">
        <v>834</v>
      </c>
      <c r="CE90" s="87">
        <v>769</v>
      </c>
      <c r="CF90" s="87">
        <v>817</v>
      </c>
      <c r="CG90" s="87">
        <v>776</v>
      </c>
      <c r="CH90" s="87">
        <v>806</v>
      </c>
      <c r="CI90" s="87">
        <v>829</v>
      </c>
      <c r="CJ90" s="87">
        <v>956</v>
      </c>
      <c r="CK90" s="87">
        <v>656</v>
      </c>
      <c r="CL90" s="87">
        <v>607</v>
      </c>
      <c r="CM90" s="87">
        <v>591</v>
      </c>
      <c r="CN90" s="87">
        <v>522</v>
      </c>
      <c r="CO90" s="87">
        <v>498</v>
      </c>
      <c r="CP90" s="87">
        <v>427</v>
      </c>
      <c r="CQ90" s="87">
        <v>398</v>
      </c>
      <c r="CR90" s="87">
        <v>362</v>
      </c>
      <c r="CS90" s="87">
        <v>346</v>
      </c>
      <c r="CT90" s="87">
        <v>319</v>
      </c>
      <c r="CU90" s="87">
        <v>261</v>
      </c>
      <c r="CV90" s="87">
        <v>287</v>
      </c>
      <c r="CW90" s="87">
        <v>213</v>
      </c>
      <c r="CX90" s="87">
        <v>177</v>
      </c>
      <c r="CY90" s="87">
        <v>522</v>
      </c>
      <c r="CZ90" s="88">
        <v>744</v>
      </c>
      <c r="DA90" s="88">
        <v>751</v>
      </c>
      <c r="DB90" s="88">
        <v>780</v>
      </c>
      <c r="DC90" s="88">
        <v>883</v>
      </c>
      <c r="DD90" s="88">
        <v>868</v>
      </c>
      <c r="DE90" s="88">
        <v>897</v>
      </c>
      <c r="DF90" s="88">
        <v>928</v>
      </c>
      <c r="DG90" s="88">
        <v>952</v>
      </c>
      <c r="DH90" s="88">
        <v>929</v>
      </c>
      <c r="DI90" s="88">
        <v>958</v>
      </c>
      <c r="DJ90" s="88">
        <v>1024</v>
      </c>
      <c r="DK90" s="88">
        <v>919</v>
      </c>
      <c r="DL90" s="88">
        <v>1008</v>
      </c>
      <c r="DM90" s="88">
        <v>963</v>
      </c>
      <c r="DN90" s="88">
        <v>928</v>
      </c>
      <c r="DO90" s="88">
        <v>834</v>
      </c>
      <c r="DP90" s="88">
        <v>871</v>
      </c>
      <c r="DQ90" s="88">
        <v>930</v>
      </c>
      <c r="DR90" s="88">
        <v>846</v>
      </c>
      <c r="DS90" s="88">
        <v>624</v>
      </c>
      <c r="DT90" s="88">
        <v>580</v>
      </c>
      <c r="DU90" s="88">
        <v>683</v>
      </c>
      <c r="DV90" s="88">
        <v>762</v>
      </c>
      <c r="DW90" s="88">
        <v>815</v>
      </c>
      <c r="DX90" s="88">
        <v>863</v>
      </c>
      <c r="DY90" s="88">
        <v>902</v>
      </c>
      <c r="DZ90" s="88">
        <v>862</v>
      </c>
      <c r="EA90" s="88">
        <v>909</v>
      </c>
      <c r="EB90" s="88">
        <v>1025</v>
      </c>
      <c r="EC90" s="88">
        <v>962</v>
      </c>
      <c r="ED90" s="88">
        <v>1034</v>
      </c>
      <c r="EE90" s="88">
        <v>1064</v>
      </c>
      <c r="EF90" s="88">
        <v>1087</v>
      </c>
      <c r="EG90" s="88">
        <v>1085</v>
      </c>
      <c r="EH90" s="88">
        <v>1098</v>
      </c>
      <c r="EI90" s="88">
        <v>1032</v>
      </c>
      <c r="EJ90" s="88">
        <v>1060</v>
      </c>
      <c r="EK90" s="88">
        <v>1001</v>
      </c>
      <c r="EL90" s="88">
        <v>999</v>
      </c>
      <c r="EM90" s="88">
        <v>982</v>
      </c>
      <c r="EN90" s="88">
        <v>959</v>
      </c>
      <c r="EO90" s="88">
        <v>982</v>
      </c>
      <c r="EP90" s="88">
        <v>948</v>
      </c>
      <c r="EQ90" s="88">
        <v>834</v>
      </c>
      <c r="ER90" s="88">
        <v>803</v>
      </c>
      <c r="ES90" s="88">
        <v>811</v>
      </c>
      <c r="ET90" s="88">
        <v>825</v>
      </c>
      <c r="EU90" s="88">
        <v>880</v>
      </c>
      <c r="EV90" s="88">
        <v>893</v>
      </c>
      <c r="EW90" s="88">
        <v>955</v>
      </c>
      <c r="EX90" s="88">
        <v>1081</v>
      </c>
      <c r="EY90" s="88">
        <v>1166</v>
      </c>
      <c r="EZ90" s="88">
        <v>1031</v>
      </c>
      <c r="FA90" s="88">
        <v>1220</v>
      </c>
      <c r="FB90" s="88">
        <v>1158</v>
      </c>
      <c r="FC90" s="88">
        <v>1155</v>
      </c>
      <c r="FD90" s="88">
        <v>1262</v>
      </c>
      <c r="FE90" s="88">
        <v>1219</v>
      </c>
      <c r="FF90" s="88">
        <v>1175</v>
      </c>
      <c r="FG90" s="88">
        <v>1251</v>
      </c>
      <c r="FH90" s="88">
        <v>1189</v>
      </c>
      <c r="FI90" s="88">
        <v>1130</v>
      </c>
      <c r="FJ90" s="88">
        <v>1052</v>
      </c>
      <c r="FK90" s="88">
        <v>1106</v>
      </c>
      <c r="FL90" s="88">
        <v>1020</v>
      </c>
      <c r="FM90" s="88">
        <v>941</v>
      </c>
      <c r="FN90" s="88">
        <v>940</v>
      </c>
      <c r="FO90" s="88">
        <v>884</v>
      </c>
      <c r="FP90" s="88">
        <v>881</v>
      </c>
      <c r="FQ90" s="88">
        <v>847</v>
      </c>
      <c r="FR90" s="88">
        <v>851</v>
      </c>
      <c r="FS90" s="88">
        <v>849</v>
      </c>
      <c r="FT90" s="88">
        <v>845</v>
      </c>
      <c r="FU90" s="88">
        <v>852</v>
      </c>
      <c r="FV90" s="88">
        <v>914</v>
      </c>
      <c r="FW90" s="88">
        <v>994</v>
      </c>
      <c r="FX90" s="88">
        <v>784</v>
      </c>
      <c r="FY90" s="88">
        <v>693</v>
      </c>
      <c r="FZ90" s="88">
        <v>665</v>
      </c>
      <c r="GA90" s="88">
        <v>614</v>
      </c>
      <c r="GB90" s="88">
        <v>506</v>
      </c>
      <c r="GC90" s="88">
        <v>521</v>
      </c>
      <c r="GD90" s="88">
        <v>528</v>
      </c>
      <c r="GE90" s="88">
        <v>517</v>
      </c>
      <c r="GF90" s="88">
        <v>484</v>
      </c>
      <c r="GG90" s="88">
        <v>448</v>
      </c>
      <c r="GH90" s="88">
        <v>420</v>
      </c>
      <c r="GI90" s="88">
        <v>353</v>
      </c>
      <c r="GJ90" s="88">
        <v>282</v>
      </c>
      <c r="GK90" s="88">
        <v>260</v>
      </c>
      <c r="GL90" s="89">
        <v>982</v>
      </c>
    </row>
    <row r="91" spans="1:194" s="1" customFormat="1" x14ac:dyDescent="0.2">
      <c r="A91" s="90" t="s">
        <v>94</v>
      </c>
      <c r="B91" s="146" t="s">
        <v>176</v>
      </c>
      <c r="C91" s="30" t="str">
        <f t="shared" si="4"/>
        <v xml:space="preserve">England – CCGs - North East London </v>
      </c>
      <c r="D91" s="51">
        <f t="shared" ref="D91:E134" si="13">I91</f>
        <v>838169</v>
      </c>
      <c r="E91" s="51">
        <f t="shared" si="13"/>
        <v>874748</v>
      </c>
      <c r="F91" s="52">
        <f t="shared" si="8"/>
        <v>2028265</v>
      </c>
      <c r="G91" s="52">
        <f t="shared" si="9"/>
        <v>998819</v>
      </c>
      <c r="H91" s="52">
        <f t="shared" si="10"/>
        <v>1029446</v>
      </c>
      <c r="I91" s="697">
        <f t="shared" si="5"/>
        <v>838169</v>
      </c>
      <c r="J91" s="53">
        <f t="shared" si="6"/>
        <v>874748</v>
      </c>
      <c r="K91" s="50">
        <f t="shared" si="11"/>
        <v>237875</v>
      </c>
      <c r="L91" s="51">
        <f t="shared" si="12"/>
        <v>229218</v>
      </c>
      <c r="M91" s="87">
        <v>14591</v>
      </c>
      <c r="N91" s="87">
        <v>13368</v>
      </c>
      <c r="O91" s="87">
        <v>13318</v>
      </c>
      <c r="P91" s="87">
        <v>13687</v>
      </c>
      <c r="Q91" s="87">
        <v>13022</v>
      </c>
      <c r="R91" s="87">
        <v>13211</v>
      </c>
      <c r="S91" s="87">
        <v>13582</v>
      </c>
      <c r="T91" s="87">
        <v>13088</v>
      </c>
      <c r="U91" s="87">
        <v>12834</v>
      </c>
      <c r="V91" s="87">
        <v>13222</v>
      </c>
      <c r="W91" s="87">
        <v>13574</v>
      </c>
      <c r="X91" s="87">
        <v>13153</v>
      </c>
      <c r="Y91" s="87">
        <v>13023</v>
      </c>
      <c r="Z91" s="87">
        <v>12974</v>
      </c>
      <c r="AA91" s="87">
        <v>13047</v>
      </c>
      <c r="AB91" s="87">
        <v>13018</v>
      </c>
      <c r="AC91" s="87">
        <v>12382</v>
      </c>
      <c r="AD91" s="87">
        <v>12781</v>
      </c>
      <c r="AE91" s="87">
        <v>12609</v>
      </c>
      <c r="AF91" s="87">
        <v>12112</v>
      </c>
      <c r="AG91" s="87">
        <v>12251</v>
      </c>
      <c r="AH91" s="87">
        <v>12889</v>
      </c>
      <c r="AI91" s="87">
        <v>14293</v>
      </c>
      <c r="AJ91" s="87">
        <v>16450</v>
      </c>
      <c r="AK91" s="87">
        <v>17974</v>
      </c>
      <c r="AL91" s="87">
        <v>19226</v>
      </c>
      <c r="AM91" s="87">
        <v>19431</v>
      </c>
      <c r="AN91" s="87">
        <v>19918</v>
      </c>
      <c r="AO91" s="87">
        <v>19779</v>
      </c>
      <c r="AP91" s="87">
        <v>19242</v>
      </c>
      <c r="AQ91" s="87">
        <v>19336</v>
      </c>
      <c r="AR91" s="87">
        <v>19705</v>
      </c>
      <c r="AS91" s="87">
        <v>19621</v>
      </c>
      <c r="AT91" s="87">
        <v>19256</v>
      </c>
      <c r="AU91" s="87">
        <v>19007</v>
      </c>
      <c r="AV91" s="87">
        <v>18323</v>
      </c>
      <c r="AW91" s="87">
        <v>17227</v>
      </c>
      <c r="AX91" s="87">
        <v>17152</v>
      </c>
      <c r="AY91" s="87">
        <v>16895</v>
      </c>
      <c r="AZ91" s="87">
        <v>16114</v>
      </c>
      <c r="BA91" s="87">
        <v>15828</v>
      </c>
      <c r="BB91" s="87">
        <v>15699</v>
      </c>
      <c r="BC91" s="87">
        <v>15480</v>
      </c>
      <c r="BD91" s="87">
        <v>14526</v>
      </c>
      <c r="BE91" s="87">
        <v>13994</v>
      </c>
      <c r="BF91" s="87">
        <v>13441</v>
      </c>
      <c r="BG91" s="87">
        <v>13408</v>
      </c>
      <c r="BH91" s="87">
        <v>13081</v>
      </c>
      <c r="BI91" s="87">
        <v>12706</v>
      </c>
      <c r="BJ91" s="87">
        <v>12188</v>
      </c>
      <c r="BK91" s="87">
        <v>12088</v>
      </c>
      <c r="BL91" s="87">
        <v>12056</v>
      </c>
      <c r="BM91" s="87">
        <v>11933</v>
      </c>
      <c r="BN91" s="87">
        <v>11568</v>
      </c>
      <c r="BO91" s="87">
        <v>11703</v>
      </c>
      <c r="BP91" s="87">
        <v>10640</v>
      </c>
      <c r="BQ91" s="87">
        <v>10211</v>
      </c>
      <c r="BR91" s="87">
        <v>10179</v>
      </c>
      <c r="BS91" s="87">
        <v>10070</v>
      </c>
      <c r="BT91" s="87">
        <v>9522</v>
      </c>
      <c r="BU91" s="87">
        <v>8966</v>
      </c>
      <c r="BV91" s="87">
        <v>8600</v>
      </c>
      <c r="BW91" s="87">
        <v>8601</v>
      </c>
      <c r="BX91" s="87">
        <v>8025</v>
      </c>
      <c r="BY91" s="87">
        <v>7605</v>
      </c>
      <c r="BZ91" s="87">
        <v>6907</v>
      </c>
      <c r="CA91" s="87">
        <v>6548</v>
      </c>
      <c r="CB91" s="87">
        <v>6110</v>
      </c>
      <c r="CC91" s="87">
        <v>5656</v>
      </c>
      <c r="CD91" s="87">
        <v>5183</v>
      </c>
      <c r="CE91" s="87">
        <v>4996</v>
      </c>
      <c r="CF91" s="87">
        <v>4756</v>
      </c>
      <c r="CG91" s="87">
        <v>4422</v>
      </c>
      <c r="CH91" s="87">
        <v>4186</v>
      </c>
      <c r="CI91" s="87">
        <v>4242</v>
      </c>
      <c r="CJ91" s="87">
        <v>4524</v>
      </c>
      <c r="CK91" s="87">
        <v>3492</v>
      </c>
      <c r="CL91" s="87">
        <v>3005</v>
      </c>
      <c r="CM91" s="87">
        <v>2826</v>
      </c>
      <c r="CN91" s="87">
        <v>2621</v>
      </c>
      <c r="CO91" s="87">
        <v>2422</v>
      </c>
      <c r="CP91" s="87">
        <v>2138</v>
      </c>
      <c r="CQ91" s="87">
        <v>2281</v>
      </c>
      <c r="CR91" s="87">
        <v>2043</v>
      </c>
      <c r="CS91" s="87">
        <v>1924</v>
      </c>
      <c r="CT91" s="87">
        <v>1752</v>
      </c>
      <c r="CU91" s="87">
        <v>1508</v>
      </c>
      <c r="CV91" s="87">
        <v>1304</v>
      </c>
      <c r="CW91" s="87">
        <v>1081</v>
      </c>
      <c r="CX91" s="87">
        <v>888</v>
      </c>
      <c r="CY91" s="87">
        <v>3201</v>
      </c>
      <c r="CZ91" s="88">
        <v>13830</v>
      </c>
      <c r="DA91" s="88">
        <v>13234</v>
      </c>
      <c r="DB91" s="88">
        <v>13153</v>
      </c>
      <c r="DC91" s="88">
        <v>12622</v>
      </c>
      <c r="DD91" s="88">
        <v>12796</v>
      </c>
      <c r="DE91" s="88">
        <v>13015</v>
      </c>
      <c r="DF91" s="88">
        <v>13053</v>
      </c>
      <c r="DG91" s="88">
        <v>12538</v>
      </c>
      <c r="DH91" s="88">
        <v>12401</v>
      </c>
      <c r="DI91" s="88">
        <v>12704</v>
      </c>
      <c r="DJ91" s="88">
        <v>12821</v>
      </c>
      <c r="DK91" s="88">
        <v>12531</v>
      </c>
      <c r="DL91" s="88">
        <v>12654</v>
      </c>
      <c r="DM91" s="88">
        <v>12778</v>
      </c>
      <c r="DN91" s="88">
        <v>12701</v>
      </c>
      <c r="DO91" s="88">
        <v>12354</v>
      </c>
      <c r="DP91" s="88">
        <v>12044</v>
      </c>
      <c r="DQ91" s="88">
        <v>11989</v>
      </c>
      <c r="DR91" s="88">
        <v>11993</v>
      </c>
      <c r="DS91" s="88">
        <v>11340</v>
      </c>
      <c r="DT91" s="88">
        <v>12071</v>
      </c>
      <c r="DU91" s="88">
        <v>12587</v>
      </c>
      <c r="DV91" s="88">
        <v>14390</v>
      </c>
      <c r="DW91" s="88">
        <v>17156</v>
      </c>
      <c r="DX91" s="88">
        <v>18561</v>
      </c>
      <c r="DY91" s="88">
        <v>19473</v>
      </c>
      <c r="DZ91" s="88">
        <v>19926</v>
      </c>
      <c r="EA91" s="88">
        <v>20205</v>
      </c>
      <c r="EB91" s="88">
        <v>20292</v>
      </c>
      <c r="EC91" s="88">
        <v>20407</v>
      </c>
      <c r="ED91" s="88">
        <v>20803</v>
      </c>
      <c r="EE91" s="88">
        <v>20815</v>
      </c>
      <c r="EF91" s="88">
        <v>20621</v>
      </c>
      <c r="EG91" s="88">
        <v>20206</v>
      </c>
      <c r="EH91" s="88">
        <v>20132</v>
      </c>
      <c r="EI91" s="88">
        <v>19211</v>
      </c>
      <c r="EJ91" s="88">
        <v>18728</v>
      </c>
      <c r="EK91" s="88">
        <v>18456</v>
      </c>
      <c r="EL91" s="88">
        <v>17599</v>
      </c>
      <c r="EM91" s="88">
        <v>17200</v>
      </c>
      <c r="EN91" s="88">
        <v>16559</v>
      </c>
      <c r="EO91" s="88">
        <v>16362</v>
      </c>
      <c r="EP91" s="88">
        <v>16146</v>
      </c>
      <c r="EQ91" s="88">
        <v>14978</v>
      </c>
      <c r="ER91" s="88">
        <v>14021</v>
      </c>
      <c r="ES91" s="88">
        <v>13684</v>
      </c>
      <c r="ET91" s="88">
        <v>13300</v>
      </c>
      <c r="EU91" s="88">
        <v>12925</v>
      </c>
      <c r="EV91" s="88">
        <v>12403</v>
      </c>
      <c r="EW91" s="88">
        <v>11977</v>
      </c>
      <c r="EX91" s="88">
        <v>11968</v>
      </c>
      <c r="EY91" s="88">
        <v>11775</v>
      </c>
      <c r="EZ91" s="88">
        <v>12113</v>
      </c>
      <c r="FA91" s="88">
        <v>11741</v>
      </c>
      <c r="FB91" s="88">
        <v>11434</v>
      </c>
      <c r="FC91" s="88">
        <v>10978</v>
      </c>
      <c r="FD91" s="88">
        <v>11136</v>
      </c>
      <c r="FE91" s="88">
        <v>10736</v>
      </c>
      <c r="FF91" s="88">
        <v>10428</v>
      </c>
      <c r="FG91" s="88">
        <v>9870</v>
      </c>
      <c r="FH91" s="88">
        <v>9298</v>
      </c>
      <c r="FI91" s="88">
        <v>8961</v>
      </c>
      <c r="FJ91" s="88">
        <v>8606</v>
      </c>
      <c r="FK91" s="88">
        <v>7969</v>
      </c>
      <c r="FL91" s="88">
        <v>7513</v>
      </c>
      <c r="FM91" s="88">
        <v>7411</v>
      </c>
      <c r="FN91" s="88">
        <v>6901</v>
      </c>
      <c r="FO91" s="88">
        <v>6355</v>
      </c>
      <c r="FP91" s="88">
        <v>6208</v>
      </c>
      <c r="FQ91" s="88">
        <v>5920</v>
      </c>
      <c r="FR91" s="88">
        <v>5752</v>
      </c>
      <c r="FS91" s="88">
        <v>5396</v>
      </c>
      <c r="FT91" s="88">
        <v>5274</v>
      </c>
      <c r="FU91" s="88">
        <v>5094</v>
      </c>
      <c r="FV91" s="88">
        <v>5293</v>
      </c>
      <c r="FW91" s="88">
        <v>5304</v>
      </c>
      <c r="FX91" s="88">
        <v>4258</v>
      </c>
      <c r="FY91" s="88">
        <v>3911</v>
      </c>
      <c r="FZ91" s="88">
        <v>3776</v>
      </c>
      <c r="GA91" s="88">
        <v>3720</v>
      </c>
      <c r="GB91" s="88">
        <v>3267</v>
      </c>
      <c r="GC91" s="88">
        <v>2810</v>
      </c>
      <c r="GD91" s="88">
        <v>2998</v>
      </c>
      <c r="GE91" s="88">
        <v>2794</v>
      </c>
      <c r="GF91" s="88">
        <v>2676</v>
      </c>
      <c r="GG91" s="88">
        <v>2414</v>
      </c>
      <c r="GH91" s="88">
        <v>2192</v>
      </c>
      <c r="GI91" s="88">
        <v>1971</v>
      </c>
      <c r="GJ91" s="88">
        <v>1733</v>
      </c>
      <c r="GK91" s="88">
        <v>1478</v>
      </c>
      <c r="GL91" s="89">
        <v>6269</v>
      </c>
    </row>
    <row r="92" spans="1:194" s="1" customFormat="1" x14ac:dyDescent="0.2">
      <c r="A92" s="90" t="s">
        <v>94</v>
      </c>
      <c r="B92" s="146" t="s">
        <v>177</v>
      </c>
      <c r="C92" s="30" t="str">
        <f t="shared" si="4"/>
        <v xml:space="preserve">England – CCGs - North Lincolnshire </v>
      </c>
      <c r="D92" s="51">
        <f t="shared" si="13"/>
        <v>72739</v>
      </c>
      <c r="E92" s="51">
        <f t="shared" si="13"/>
        <v>75200</v>
      </c>
      <c r="F92" s="52">
        <f t="shared" si="8"/>
        <v>170042</v>
      </c>
      <c r="G92" s="52">
        <f t="shared" si="9"/>
        <v>83843</v>
      </c>
      <c r="H92" s="52">
        <f t="shared" si="10"/>
        <v>86199</v>
      </c>
      <c r="I92" s="697">
        <f t="shared" si="5"/>
        <v>72739</v>
      </c>
      <c r="J92" s="53">
        <f t="shared" si="6"/>
        <v>75200</v>
      </c>
      <c r="K92" s="50">
        <f t="shared" si="11"/>
        <v>17472</v>
      </c>
      <c r="L92" s="51">
        <f t="shared" si="12"/>
        <v>16889</v>
      </c>
      <c r="M92" s="87">
        <v>832</v>
      </c>
      <c r="N92" s="87">
        <v>831</v>
      </c>
      <c r="O92" s="87">
        <v>838</v>
      </c>
      <c r="P92" s="87">
        <v>822</v>
      </c>
      <c r="Q92" s="87">
        <v>914</v>
      </c>
      <c r="R92" s="87">
        <v>969</v>
      </c>
      <c r="S92" s="87">
        <v>911</v>
      </c>
      <c r="T92" s="87">
        <v>948</v>
      </c>
      <c r="U92" s="87">
        <v>984</v>
      </c>
      <c r="V92" s="87">
        <v>1004</v>
      </c>
      <c r="W92" s="87">
        <v>1045</v>
      </c>
      <c r="X92" s="87">
        <v>1006</v>
      </c>
      <c r="Y92" s="87">
        <v>1097</v>
      </c>
      <c r="Z92" s="87">
        <v>1090</v>
      </c>
      <c r="AA92" s="87">
        <v>1067</v>
      </c>
      <c r="AB92" s="87">
        <v>1022</v>
      </c>
      <c r="AC92" s="87">
        <v>1040</v>
      </c>
      <c r="AD92" s="87">
        <v>1052</v>
      </c>
      <c r="AE92" s="87">
        <v>933</v>
      </c>
      <c r="AF92" s="87">
        <v>688</v>
      </c>
      <c r="AG92" s="87">
        <v>735</v>
      </c>
      <c r="AH92" s="87">
        <v>740</v>
      </c>
      <c r="AI92" s="87">
        <v>891</v>
      </c>
      <c r="AJ92" s="87">
        <v>845</v>
      </c>
      <c r="AK92" s="87">
        <v>867</v>
      </c>
      <c r="AL92" s="87">
        <v>884</v>
      </c>
      <c r="AM92" s="87">
        <v>891</v>
      </c>
      <c r="AN92" s="87">
        <v>963</v>
      </c>
      <c r="AO92" s="87">
        <v>875</v>
      </c>
      <c r="AP92" s="87">
        <v>1003</v>
      </c>
      <c r="AQ92" s="87">
        <v>1023</v>
      </c>
      <c r="AR92" s="87">
        <v>1070</v>
      </c>
      <c r="AS92" s="87">
        <v>1044</v>
      </c>
      <c r="AT92" s="87">
        <v>1021</v>
      </c>
      <c r="AU92" s="87">
        <v>1002</v>
      </c>
      <c r="AV92" s="87">
        <v>1029</v>
      </c>
      <c r="AW92" s="87">
        <v>1078</v>
      </c>
      <c r="AX92" s="87">
        <v>1080</v>
      </c>
      <c r="AY92" s="87">
        <v>1037</v>
      </c>
      <c r="AZ92" s="87">
        <v>1012</v>
      </c>
      <c r="BA92" s="87">
        <v>947</v>
      </c>
      <c r="BB92" s="87">
        <v>959</v>
      </c>
      <c r="BC92" s="87">
        <v>992</v>
      </c>
      <c r="BD92" s="87">
        <v>916</v>
      </c>
      <c r="BE92" s="87">
        <v>848</v>
      </c>
      <c r="BF92" s="87">
        <v>925</v>
      </c>
      <c r="BG92" s="87">
        <v>910</v>
      </c>
      <c r="BH92" s="87">
        <v>954</v>
      </c>
      <c r="BI92" s="87">
        <v>973</v>
      </c>
      <c r="BJ92" s="87">
        <v>1016</v>
      </c>
      <c r="BK92" s="87">
        <v>1137</v>
      </c>
      <c r="BL92" s="87">
        <v>1196</v>
      </c>
      <c r="BM92" s="87">
        <v>1184</v>
      </c>
      <c r="BN92" s="87">
        <v>1280</v>
      </c>
      <c r="BO92" s="87">
        <v>1249</v>
      </c>
      <c r="BP92" s="87">
        <v>1305</v>
      </c>
      <c r="BQ92" s="87">
        <v>1270</v>
      </c>
      <c r="BR92" s="87">
        <v>1340</v>
      </c>
      <c r="BS92" s="87">
        <v>1306</v>
      </c>
      <c r="BT92" s="87">
        <v>1329</v>
      </c>
      <c r="BU92" s="87">
        <v>1269</v>
      </c>
      <c r="BV92" s="87">
        <v>1224</v>
      </c>
      <c r="BW92" s="87">
        <v>1177</v>
      </c>
      <c r="BX92" s="87">
        <v>1133</v>
      </c>
      <c r="BY92" s="87">
        <v>1120</v>
      </c>
      <c r="BZ92" s="87">
        <v>1054</v>
      </c>
      <c r="CA92" s="87">
        <v>1023</v>
      </c>
      <c r="CB92" s="87">
        <v>956</v>
      </c>
      <c r="CC92" s="87">
        <v>920</v>
      </c>
      <c r="CD92" s="87">
        <v>969</v>
      </c>
      <c r="CE92" s="87">
        <v>928</v>
      </c>
      <c r="CF92" s="87">
        <v>926</v>
      </c>
      <c r="CG92" s="87">
        <v>954</v>
      </c>
      <c r="CH92" s="87">
        <v>948</v>
      </c>
      <c r="CI92" s="87">
        <v>978</v>
      </c>
      <c r="CJ92" s="87">
        <v>1084</v>
      </c>
      <c r="CK92" s="87">
        <v>759</v>
      </c>
      <c r="CL92" s="87">
        <v>745</v>
      </c>
      <c r="CM92" s="87">
        <v>694</v>
      </c>
      <c r="CN92" s="87">
        <v>633</v>
      </c>
      <c r="CO92" s="87">
        <v>556</v>
      </c>
      <c r="CP92" s="87">
        <v>442</v>
      </c>
      <c r="CQ92" s="87">
        <v>458</v>
      </c>
      <c r="CR92" s="87">
        <v>421</v>
      </c>
      <c r="CS92" s="87">
        <v>387</v>
      </c>
      <c r="CT92" s="87">
        <v>344</v>
      </c>
      <c r="CU92" s="87">
        <v>317</v>
      </c>
      <c r="CV92" s="87">
        <v>282</v>
      </c>
      <c r="CW92" s="87">
        <v>201</v>
      </c>
      <c r="CX92" s="87">
        <v>186</v>
      </c>
      <c r="CY92" s="87">
        <v>536</v>
      </c>
      <c r="CZ92" s="88">
        <v>790</v>
      </c>
      <c r="DA92" s="88">
        <v>813</v>
      </c>
      <c r="DB92" s="88">
        <v>846</v>
      </c>
      <c r="DC92" s="88">
        <v>862</v>
      </c>
      <c r="DD92" s="88">
        <v>890</v>
      </c>
      <c r="DE92" s="88">
        <v>881</v>
      </c>
      <c r="DF92" s="88">
        <v>966</v>
      </c>
      <c r="DG92" s="88">
        <v>909</v>
      </c>
      <c r="DH92" s="88">
        <v>925</v>
      </c>
      <c r="DI92" s="88">
        <v>1049</v>
      </c>
      <c r="DJ92" s="88">
        <v>1006</v>
      </c>
      <c r="DK92" s="88">
        <v>1062</v>
      </c>
      <c r="DL92" s="88">
        <v>970</v>
      </c>
      <c r="DM92" s="88">
        <v>1008</v>
      </c>
      <c r="DN92" s="88">
        <v>1019</v>
      </c>
      <c r="DO92" s="88">
        <v>959</v>
      </c>
      <c r="DP92" s="88">
        <v>962</v>
      </c>
      <c r="DQ92" s="88">
        <v>972</v>
      </c>
      <c r="DR92" s="88">
        <v>885</v>
      </c>
      <c r="DS92" s="88">
        <v>597</v>
      </c>
      <c r="DT92" s="88">
        <v>590</v>
      </c>
      <c r="DU92" s="88">
        <v>687</v>
      </c>
      <c r="DV92" s="88">
        <v>773</v>
      </c>
      <c r="DW92" s="88">
        <v>786</v>
      </c>
      <c r="DX92" s="88">
        <v>808</v>
      </c>
      <c r="DY92" s="88">
        <v>893</v>
      </c>
      <c r="DZ92" s="88">
        <v>849</v>
      </c>
      <c r="EA92" s="88">
        <v>942</v>
      </c>
      <c r="EB92" s="88">
        <v>979</v>
      </c>
      <c r="EC92" s="88">
        <v>983</v>
      </c>
      <c r="ED92" s="88">
        <v>1001</v>
      </c>
      <c r="EE92" s="88">
        <v>1078</v>
      </c>
      <c r="EF92" s="88">
        <v>1070</v>
      </c>
      <c r="EG92" s="88">
        <v>1110</v>
      </c>
      <c r="EH92" s="88">
        <v>1097</v>
      </c>
      <c r="EI92" s="88">
        <v>1136</v>
      </c>
      <c r="EJ92" s="88">
        <v>1075</v>
      </c>
      <c r="EK92" s="88">
        <v>1090</v>
      </c>
      <c r="EL92" s="88">
        <v>1078</v>
      </c>
      <c r="EM92" s="88">
        <v>1058</v>
      </c>
      <c r="EN92" s="88">
        <v>988</v>
      </c>
      <c r="EO92" s="88">
        <v>1001</v>
      </c>
      <c r="EP92" s="88">
        <v>1016</v>
      </c>
      <c r="EQ92" s="88">
        <v>985</v>
      </c>
      <c r="ER92" s="88">
        <v>877</v>
      </c>
      <c r="ES92" s="88">
        <v>850</v>
      </c>
      <c r="ET92" s="88">
        <v>969</v>
      </c>
      <c r="EU92" s="88">
        <v>988</v>
      </c>
      <c r="EV92" s="88">
        <v>1034</v>
      </c>
      <c r="EW92" s="88">
        <v>1073</v>
      </c>
      <c r="EX92" s="88">
        <v>1136</v>
      </c>
      <c r="EY92" s="88">
        <v>1190</v>
      </c>
      <c r="EZ92" s="88">
        <v>1290</v>
      </c>
      <c r="FA92" s="88">
        <v>1323</v>
      </c>
      <c r="FB92" s="88">
        <v>1235</v>
      </c>
      <c r="FC92" s="88">
        <v>1288</v>
      </c>
      <c r="FD92" s="88">
        <v>1322</v>
      </c>
      <c r="FE92" s="88">
        <v>1301</v>
      </c>
      <c r="FF92" s="88">
        <v>1354</v>
      </c>
      <c r="FG92" s="88">
        <v>1270</v>
      </c>
      <c r="FH92" s="88">
        <v>1264</v>
      </c>
      <c r="FI92" s="88">
        <v>1242</v>
      </c>
      <c r="FJ92" s="88">
        <v>1156</v>
      </c>
      <c r="FK92" s="88">
        <v>1152</v>
      </c>
      <c r="FL92" s="88">
        <v>1125</v>
      </c>
      <c r="FM92" s="88">
        <v>1065</v>
      </c>
      <c r="FN92" s="88">
        <v>1075</v>
      </c>
      <c r="FO92" s="88">
        <v>1031</v>
      </c>
      <c r="FP92" s="88">
        <v>1056</v>
      </c>
      <c r="FQ92" s="88">
        <v>1000</v>
      </c>
      <c r="FR92" s="88">
        <v>969</v>
      </c>
      <c r="FS92" s="88">
        <v>960</v>
      </c>
      <c r="FT92" s="88">
        <v>1038</v>
      </c>
      <c r="FU92" s="88">
        <v>1013</v>
      </c>
      <c r="FV92" s="88">
        <v>1025</v>
      </c>
      <c r="FW92" s="88">
        <v>1089</v>
      </c>
      <c r="FX92" s="88">
        <v>848</v>
      </c>
      <c r="FY92" s="88">
        <v>849</v>
      </c>
      <c r="FZ92" s="88">
        <v>804</v>
      </c>
      <c r="GA92" s="88">
        <v>671</v>
      </c>
      <c r="GB92" s="88">
        <v>673</v>
      </c>
      <c r="GC92" s="88">
        <v>554</v>
      </c>
      <c r="GD92" s="88">
        <v>606</v>
      </c>
      <c r="GE92" s="88">
        <v>535</v>
      </c>
      <c r="GF92" s="88">
        <v>460</v>
      </c>
      <c r="GG92" s="88">
        <v>448</v>
      </c>
      <c r="GH92" s="88">
        <v>426</v>
      </c>
      <c r="GI92" s="88">
        <v>359</v>
      </c>
      <c r="GJ92" s="88">
        <v>299</v>
      </c>
      <c r="GK92" s="88">
        <v>297</v>
      </c>
      <c r="GL92" s="89">
        <v>1166</v>
      </c>
    </row>
    <row r="93" spans="1:194" s="1" customFormat="1" x14ac:dyDescent="0.2">
      <c r="A93" s="90" t="s">
        <v>94</v>
      </c>
      <c r="B93" s="146" t="s">
        <v>178</v>
      </c>
      <c r="C93" s="30" t="str">
        <f t="shared" ref="C93:C134" si="14">CONCATENATE(A93," - ",B93)</f>
        <v xml:space="preserve">England – CCGs - North Staffordshire </v>
      </c>
      <c r="D93" s="51">
        <f t="shared" si="13"/>
        <v>91782</v>
      </c>
      <c r="E93" s="51">
        <f t="shared" si="13"/>
        <v>96436</v>
      </c>
      <c r="F93" s="52">
        <f t="shared" si="8"/>
        <v>213148</v>
      </c>
      <c r="G93" s="52">
        <f t="shared" si="9"/>
        <v>104607</v>
      </c>
      <c r="H93" s="52">
        <f t="shared" si="10"/>
        <v>108541</v>
      </c>
      <c r="I93" s="697">
        <f t="shared" si="5"/>
        <v>91782</v>
      </c>
      <c r="J93" s="53">
        <f t="shared" si="6"/>
        <v>96436</v>
      </c>
      <c r="K93" s="50">
        <f t="shared" si="11"/>
        <v>19918</v>
      </c>
      <c r="L93" s="51">
        <f t="shared" si="12"/>
        <v>18740</v>
      </c>
      <c r="M93" s="87">
        <v>905</v>
      </c>
      <c r="N93" s="87">
        <v>939</v>
      </c>
      <c r="O93" s="87">
        <v>986</v>
      </c>
      <c r="P93" s="87">
        <v>957</v>
      </c>
      <c r="Q93" s="87">
        <v>1014</v>
      </c>
      <c r="R93" s="87">
        <v>1111</v>
      </c>
      <c r="S93" s="87">
        <v>1077</v>
      </c>
      <c r="T93" s="87">
        <v>1150</v>
      </c>
      <c r="U93" s="87">
        <v>1164</v>
      </c>
      <c r="V93" s="87">
        <v>1169</v>
      </c>
      <c r="W93" s="87">
        <v>1162</v>
      </c>
      <c r="X93" s="87">
        <v>1191</v>
      </c>
      <c r="Y93" s="87">
        <v>1197</v>
      </c>
      <c r="Z93" s="87">
        <v>1237</v>
      </c>
      <c r="AA93" s="87">
        <v>1221</v>
      </c>
      <c r="AB93" s="87">
        <v>1091</v>
      </c>
      <c r="AC93" s="87">
        <v>1079</v>
      </c>
      <c r="AD93" s="87">
        <v>1268</v>
      </c>
      <c r="AE93" s="87">
        <v>1234</v>
      </c>
      <c r="AF93" s="87">
        <v>1564</v>
      </c>
      <c r="AG93" s="87">
        <v>1449</v>
      </c>
      <c r="AH93" s="87">
        <v>1384</v>
      </c>
      <c r="AI93" s="87">
        <v>1265</v>
      </c>
      <c r="AJ93" s="87">
        <v>1236</v>
      </c>
      <c r="AK93" s="87">
        <v>1174</v>
      </c>
      <c r="AL93" s="87">
        <v>1080</v>
      </c>
      <c r="AM93" s="87">
        <v>1093</v>
      </c>
      <c r="AN93" s="87">
        <v>1074</v>
      </c>
      <c r="AO93" s="87">
        <v>1072</v>
      </c>
      <c r="AP93" s="87">
        <v>1094</v>
      </c>
      <c r="AQ93" s="87">
        <v>1123</v>
      </c>
      <c r="AR93" s="87">
        <v>1211</v>
      </c>
      <c r="AS93" s="87">
        <v>1187</v>
      </c>
      <c r="AT93" s="87">
        <v>1257</v>
      </c>
      <c r="AU93" s="87">
        <v>1218</v>
      </c>
      <c r="AV93" s="87">
        <v>1191</v>
      </c>
      <c r="AW93" s="87">
        <v>1206</v>
      </c>
      <c r="AX93" s="87">
        <v>1217</v>
      </c>
      <c r="AY93" s="87">
        <v>1175</v>
      </c>
      <c r="AZ93" s="87">
        <v>1176</v>
      </c>
      <c r="BA93" s="87">
        <v>1190</v>
      </c>
      <c r="BB93" s="87">
        <v>1166</v>
      </c>
      <c r="BC93" s="87">
        <v>1181</v>
      </c>
      <c r="BD93" s="87">
        <v>1095</v>
      </c>
      <c r="BE93" s="87">
        <v>1091</v>
      </c>
      <c r="BF93" s="87">
        <v>1073</v>
      </c>
      <c r="BG93" s="87">
        <v>1141</v>
      </c>
      <c r="BH93" s="87">
        <v>1191</v>
      </c>
      <c r="BI93" s="87">
        <v>1306</v>
      </c>
      <c r="BJ93" s="87">
        <v>1378</v>
      </c>
      <c r="BK93" s="87">
        <v>1450</v>
      </c>
      <c r="BL93" s="87">
        <v>1576</v>
      </c>
      <c r="BM93" s="87">
        <v>1564</v>
      </c>
      <c r="BN93" s="87">
        <v>1555</v>
      </c>
      <c r="BO93" s="87">
        <v>1565</v>
      </c>
      <c r="BP93" s="87">
        <v>1596</v>
      </c>
      <c r="BQ93" s="87">
        <v>1502</v>
      </c>
      <c r="BR93" s="87">
        <v>1533</v>
      </c>
      <c r="BS93" s="87">
        <v>1639</v>
      </c>
      <c r="BT93" s="87">
        <v>1584</v>
      </c>
      <c r="BU93" s="87">
        <v>1538</v>
      </c>
      <c r="BV93" s="87">
        <v>1529</v>
      </c>
      <c r="BW93" s="87">
        <v>1382</v>
      </c>
      <c r="BX93" s="87">
        <v>1402</v>
      </c>
      <c r="BY93" s="87">
        <v>1453</v>
      </c>
      <c r="BZ93" s="87">
        <v>1276</v>
      </c>
      <c r="CA93" s="87">
        <v>1241</v>
      </c>
      <c r="CB93" s="87">
        <v>1197</v>
      </c>
      <c r="CC93" s="87">
        <v>1247</v>
      </c>
      <c r="CD93" s="87">
        <v>1229</v>
      </c>
      <c r="CE93" s="87">
        <v>1155</v>
      </c>
      <c r="CF93" s="87">
        <v>1185</v>
      </c>
      <c r="CG93" s="87">
        <v>1198</v>
      </c>
      <c r="CH93" s="87">
        <v>1304</v>
      </c>
      <c r="CI93" s="87">
        <v>1358</v>
      </c>
      <c r="CJ93" s="87">
        <v>1406</v>
      </c>
      <c r="CK93" s="87">
        <v>1015</v>
      </c>
      <c r="CL93" s="87">
        <v>1025</v>
      </c>
      <c r="CM93" s="87">
        <v>1021</v>
      </c>
      <c r="CN93" s="87">
        <v>867</v>
      </c>
      <c r="CO93" s="87">
        <v>770</v>
      </c>
      <c r="CP93" s="87">
        <v>667</v>
      </c>
      <c r="CQ93" s="87">
        <v>585</v>
      </c>
      <c r="CR93" s="87">
        <v>588</v>
      </c>
      <c r="CS93" s="87">
        <v>510</v>
      </c>
      <c r="CT93" s="87">
        <v>514</v>
      </c>
      <c r="CU93" s="87">
        <v>400</v>
      </c>
      <c r="CV93" s="87">
        <v>349</v>
      </c>
      <c r="CW93" s="87">
        <v>296</v>
      </c>
      <c r="CX93" s="87">
        <v>214</v>
      </c>
      <c r="CY93" s="87">
        <v>712</v>
      </c>
      <c r="CZ93" s="88">
        <v>818</v>
      </c>
      <c r="DA93" s="88">
        <v>897</v>
      </c>
      <c r="DB93" s="88">
        <v>989</v>
      </c>
      <c r="DC93" s="88">
        <v>951</v>
      </c>
      <c r="DD93" s="88">
        <v>972</v>
      </c>
      <c r="DE93" s="88">
        <v>1023</v>
      </c>
      <c r="DF93" s="88">
        <v>1055</v>
      </c>
      <c r="DG93" s="88">
        <v>998</v>
      </c>
      <c r="DH93" s="88">
        <v>1057</v>
      </c>
      <c r="DI93" s="88">
        <v>1076</v>
      </c>
      <c r="DJ93" s="88">
        <v>1149</v>
      </c>
      <c r="DK93" s="88">
        <v>1120</v>
      </c>
      <c r="DL93" s="88">
        <v>1028</v>
      </c>
      <c r="DM93" s="88">
        <v>1110</v>
      </c>
      <c r="DN93" s="88">
        <v>1169</v>
      </c>
      <c r="DO93" s="88">
        <v>1104</v>
      </c>
      <c r="DP93" s="88">
        <v>1070</v>
      </c>
      <c r="DQ93" s="88">
        <v>1154</v>
      </c>
      <c r="DR93" s="88">
        <v>1206</v>
      </c>
      <c r="DS93" s="88">
        <v>1631</v>
      </c>
      <c r="DT93" s="88">
        <v>1577</v>
      </c>
      <c r="DU93" s="88">
        <v>1398</v>
      </c>
      <c r="DV93" s="88">
        <v>1185</v>
      </c>
      <c r="DW93" s="88">
        <v>1140</v>
      </c>
      <c r="DX93" s="88">
        <v>1056</v>
      </c>
      <c r="DY93" s="88">
        <v>1109</v>
      </c>
      <c r="DZ93" s="88">
        <v>1108</v>
      </c>
      <c r="EA93" s="88">
        <v>1074</v>
      </c>
      <c r="EB93" s="88">
        <v>1169</v>
      </c>
      <c r="EC93" s="88">
        <v>1181</v>
      </c>
      <c r="ED93" s="88">
        <v>1255</v>
      </c>
      <c r="EE93" s="88">
        <v>1305</v>
      </c>
      <c r="EF93" s="88">
        <v>1231</v>
      </c>
      <c r="EG93" s="88">
        <v>1284</v>
      </c>
      <c r="EH93" s="88">
        <v>1307</v>
      </c>
      <c r="EI93" s="88">
        <v>1280</v>
      </c>
      <c r="EJ93" s="88">
        <v>1280</v>
      </c>
      <c r="EK93" s="88">
        <v>1250</v>
      </c>
      <c r="EL93" s="88">
        <v>1144</v>
      </c>
      <c r="EM93" s="88">
        <v>1238</v>
      </c>
      <c r="EN93" s="88">
        <v>1241</v>
      </c>
      <c r="EO93" s="88">
        <v>1209</v>
      </c>
      <c r="EP93" s="88">
        <v>1235</v>
      </c>
      <c r="EQ93" s="88">
        <v>1193</v>
      </c>
      <c r="ER93" s="88">
        <v>1122</v>
      </c>
      <c r="ES93" s="88">
        <v>1124</v>
      </c>
      <c r="ET93" s="88">
        <v>1228</v>
      </c>
      <c r="EU93" s="88">
        <v>1290</v>
      </c>
      <c r="EV93" s="88">
        <v>1314</v>
      </c>
      <c r="EW93" s="88">
        <v>1290</v>
      </c>
      <c r="EX93" s="88">
        <v>1508</v>
      </c>
      <c r="EY93" s="88">
        <v>1549</v>
      </c>
      <c r="EZ93" s="88">
        <v>1598</v>
      </c>
      <c r="FA93" s="88">
        <v>1611</v>
      </c>
      <c r="FB93" s="88">
        <v>1596</v>
      </c>
      <c r="FC93" s="88">
        <v>1618</v>
      </c>
      <c r="FD93" s="88">
        <v>1635</v>
      </c>
      <c r="FE93" s="88">
        <v>1646</v>
      </c>
      <c r="FF93" s="88">
        <v>1626</v>
      </c>
      <c r="FG93" s="88">
        <v>1537</v>
      </c>
      <c r="FH93" s="88">
        <v>1567</v>
      </c>
      <c r="FI93" s="88">
        <v>1591</v>
      </c>
      <c r="FJ93" s="88">
        <v>1453</v>
      </c>
      <c r="FK93" s="88">
        <v>1387</v>
      </c>
      <c r="FL93" s="88">
        <v>1439</v>
      </c>
      <c r="FM93" s="88">
        <v>1329</v>
      </c>
      <c r="FN93" s="88">
        <v>1350</v>
      </c>
      <c r="FO93" s="88">
        <v>1240</v>
      </c>
      <c r="FP93" s="88">
        <v>1309</v>
      </c>
      <c r="FQ93" s="88">
        <v>1258</v>
      </c>
      <c r="FR93" s="88">
        <v>1262</v>
      </c>
      <c r="FS93" s="88">
        <v>1266</v>
      </c>
      <c r="FT93" s="88">
        <v>1363</v>
      </c>
      <c r="FU93" s="88">
        <v>1296</v>
      </c>
      <c r="FV93" s="88">
        <v>1457</v>
      </c>
      <c r="FW93" s="88">
        <v>1478</v>
      </c>
      <c r="FX93" s="88">
        <v>1102</v>
      </c>
      <c r="FY93" s="88">
        <v>1141</v>
      </c>
      <c r="FZ93" s="88">
        <v>1063</v>
      </c>
      <c r="GA93" s="88">
        <v>961</v>
      </c>
      <c r="GB93" s="88">
        <v>864</v>
      </c>
      <c r="GC93" s="88">
        <v>821</v>
      </c>
      <c r="GD93" s="88">
        <v>720</v>
      </c>
      <c r="GE93" s="88">
        <v>725</v>
      </c>
      <c r="GF93" s="88">
        <v>723</v>
      </c>
      <c r="GG93" s="88">
        <v>644</v>
      </c>
      <c r="GH93" s="88">
        <v>566</v>
      </c>
      <c r="GI93" s="88">
        <v>520</v>
      </c>
      <c r="GJ93" s="88">
        <v>439</v>
      </c>
      <c r="GK93" s="88">
        <v>340</v>
      </c>
      <c r="GL93" s="89">
        <v>1549</v>
      </c>
    </row>
    <row r="94" spans="1:194" s="1" customFormat="1" x14ac:dyDescent="0.2">
      <c r="A94" s="90" t="s">
        <v>94</v>
      </c>
      <c r="B94" s="146" t="s">
        <v>179</v>
      </c>
      <c r="C94" s="30" t="str">
        <f t="shared" si="14"/>
        <v xml:space="preserve">England – CCGs - North Tyneside </v>
      </c>
      <c r="D94" s="51">
        <f t="shared" si="13"/>
        <v>88075</v>
      </c>
      <c r="E94" s="51">
        <f t="shared" si="13"/>
        <v>94856</v>
      </c>
      <c r="F94" s="52">
        <f t="shared" si="8"/>
        <v>210487</v>
      </c>
      <c r="G94" s="52">
        <f t="shared" si="9"/>
        <v>102303</v>
      </c>
      <c r="H94" s="52">
        <f t="shared" si="10"/>
        <v>108184</v>
      </c>
      <c r="I94" s="697">
        <f t="shared" ref="I94:I156" si="15">SUM(Y94:CY94)</f>
        <v>88075</v>
      </c>
      <c r="J94" s="53">
        <f t="shared" ref="J94:J156" si="16">SUM(DL94:GL94)</f>
        <v>94856</v>
      </c>
      <c r="K94" s="50">
        <f t="shared" si="11"/>
        <v>21839</v>
      </c>
      <c r="L94" s="51">
        <f t="shared" si="12"/>
        <v>20255</v>
      </c>
      <c r="M94" s="87">
        <v>1057</v>
      </c>
      <c r="N94" s="87">
        <v>995</v>
      </c>
      <c r="O94" s="87">
        <v>1108</v>
      </c>
      <c r="P94" s="87">
        <v>1220</v>
      </c>
      <c r="Q94" s="87">
        <v>1161</v>
      </c>
      <c r="R94" s="87">
        <v>1182</v>
      </c>
      <c r="S94" s="87">
        <v>1244</v>
      </c>
      <c r="T94" s="87">
        <v>1219</v>
      </c>
      <c r="U94" s="87">
        <v>1286</v>
      </c>
      <c r="V94" s="87">
        <v>1264</v>
      </c>
      <c r="W94" s="87">
        <v>1231</v>
      </c>
      <c r="X94" s="87">
        <v>1261</v>
      </c>
      <c r="Y94" s="87">
        <v>1302</v>
      </c>
      <c r="Z94" s="87">
        <v>1296</v>
      </c>
      <c r="AA94" s="87">
        <v>1311</v>
      </c>
      <c r="AB94" s="87">
        <v>1242</v>
      </c>
      <c r="AC94" s="87">
        <v>1249</v>
      </c>
      <c r="AD94" s="87">
        <v>1211</v>
      </c>
      <c r="AE94" s="87">
        <v>1079</v>
      </c>
      <c r="AF94" s="87">
        <v>906</v>
      </c>
      <c r="AG94" s="87">
        <v>811</v>
      </c>
      <c r="AH94" s="87">
        <v>841</v>
      </c>
      <c r="AI94" s="87">
        <v>914</v>
      </c>
      <c r="AJ94" s="87">
        <v>1056</v>
      </c>
      <c r="AK94" s="87">
        <v>1092</v>
      </c>
      <c r="AL94" s="87">
        <v>1100</v>
      </c>
      <c r="AM94" s="87">
        <v>1051</v>
      </c>
      <c r="AN94" s="87">
        <v>1225</v>
      </c>
      <c r="AO94" s="87">
        <v>1226</v>
      </c>
      <c r="AP94" s="87">
        <v>1210</v>
      </c>
      <c r="AQ94" s="87">
        <v>1330</v>
      </c>
      <c r="AR94" s="87">
        <v>1377</v>
      </c>
      <c r="AS94" s="87">
        <v>1310</v>
      </c>
      <c r="AT94" s="87">
        <v>1361</v>
      </c>
      <c r="AU94" s="87">
        <v>1355</v>
      </c>
      <c r="AV94" s="87">
        <v>1357</v>
      </c>
      <c r="AW94" s="87">
        <v>1419</v>
      </c>
      <c r="AX94" s="87">
        <v>1419</v>
      </c>
      <c r="AY94" s="87">
        <v>1371</v>
      </c>
      <c r="AZ94" s="87">
        <v>1421</v>
      </c>
      <c r="BA94" s="87">
        <v>1376</v>
      </c>
      <c r="BB94" s="87">
        <v>1427</v>
      </c>
      <c r="BC94" s="87">
        <v>1519</v>
      </c>
      <c r="BD94" s="87">
        <v>1436</v>
      </c>
      <c r="BE94" s="87">
        <v>1219</v>
      </c>
      <c r="BF94" s="87">
        <v>1149</v>
      </c>
      <c r="BG94" s="87">
        <v>1227</v>
      </c>
      <c r="BH94" s="87">
        <v>1312</v>
      </c>
      <c r="BI94" s="87">
        <v>1216</v>
      </c>
      <c r="BJ94" s="87">
        <v>1327</v>
      </c>
      <c r="BK94" s="87">
        <v>1477</v>
      </c>
      <c r="BL94" s="87">
        <v>1467</v>
      </c>
      <c r="BM94" s="87">
        <v>1409</v>
      </c>
      <c r="BN94" s="87">
        <v>1326</v>
      </c>
      <c r="BO94" s="87">
        <v>1405</v>
      </c>
      <c r="BP94" s="87">
        <v>1421</v>
      </c>
      <c r="BQ94" s="87">
        <v>1478</v>
      </c>
      <c r="BR94" s="87">
        <v>1485</v>
      </c>
      <c r="BS94" s="87">
        <v>1496</v>
      </c>
      <c r="BT94" s="87">
        <v>1538</v>
      </c>
      <c r="BU94" s="87">
        <v>1434</v>
      </c>
      <c r="BV94" s="87">
        <v>1352</v>
      </c>
      <c r="BW94" s="87">
        <v>1333</v>
      </c>
      <c r="BX94" s="87">
        <v>1275</v>
      </c>
      <c r="BY94" s="87">
        <v>1306</v>
      </c>
      <c r="BZ94" s="87">
        <v>1195</v>
      </c>
      <c r="CA94" s="87">
        <v>1178</v>
      </c>
      <c r="CB94" s="87">
        <v>1167</v>
      </c>
      <c r="CC94" s="87">
        <v>1166</v>
      </c>
      <c r="CD94" s="87">
        <v>1165</v>
      </c>
      <c r="CE94" s="87">
        <v>1097</v>
      </c>
      <c r="CF94" s="87">
        <v>1038</v>
      </c>
      <c r="CG94" s="87">
        <v>1037</v>
      </c>
      <c r="CH94" s="87">
        <v>1056</v>
      </c>
      <c r="CI94" s="87">
        <v>1151</v>
      </c>
      <c r="CJ94" s="87">
        <v>1160</v>
      </c>
      <c r="CK94" s="87">
        <v>866</v>
      </c>
      <c r="CL94" s="87">
        <v>790</v>
      </c>
      <c r="CM94" s="87">
        <v>751</v>
      </c>
      <c r="CN94" s="87">
        <v>628</v>
      </c>
      <c r="CO94" s="87">
        <v>545</v>
      </c>
      <c r="CP94" s="87">
        <v>447</v>
      </c>
      <c r="CQ94" s="87">
        <v>484</v>
      </c>
      <c r="CR94" s="87">
        <v>461</v>
      </c>
      <c r="CS94" s="87">
        <v>424</v>
      </c>
      <c r="CT94" s="87">
        <v>354</v>
      </c>
      <c r="CU94" s="87">
        <v>319</v>
      </c>
      <c r="CV94" s="87">
        <v>309</v>
      </c>
      <c r="CW94" s="87">
        <v>238</v>
      </c>
      <c r="CX94" s="87">
        <v>192</v>
      </c>
      <c r="CY94" s="87">
        <v>605</v>
      </c>
      <c r="CZ94" s="88">
        <v>969</v>
      </c>
      <c r="DA94" s="88">
        <v>962</v>
      </c>
      <c r="DB94" s="88">
        <v>949</v>
      </c>
      <c r="DC94" s="88">
        <v>1126</v>
      </c>
      <c r="DD94" s="88">
        <v>1148</v>
      </c>
      <c r="DE94" s="88">
        <v>1118</v>
      </c>
      <c r="DF94" s="88">
        <v>1192</v>
      </c>
      <c r="DG94" s="88">
        <v>1132</v>
      </c>
      <c r="DH94" s="88">
        <v>1159</v>
      </c>
      <c r="DI94" s="88">
        <v>1189</v>
      </c>
      <c r="DJ94" s="88">
        <v>1227</v>
      </c>
      <c r="DK94" s="88">
        <v>1157</v>
      </c>
      <c r="DL94" s="88">
        <v>1197</v>
      </c>
      <c r="DM94" s="88">
        <v>1143</v>
      </c>
      <c r="DN94" s="88">
        <v>1198</v>
      </c>
      <c r="DO94" s="88">
        <v>1101</v>
      </c>
      <c r="DP94" s="88">
        <v>1183</v>
      </c>
      <c r="DQ94" s="88">
        <v>1105</v>
      </c>
      <c r="DR94" s="88">
        <v>1039</v>
      </c>
      <c r="DS94" s="88">
        <v>768</v>
      </c>
      <c r="DT94" s="88">
        <v>739</v>
      </c>
      <c r="DU94" s="88">
        <v>755</v>
      </c>
      <c r="DV94" s="88">
        <v>913</v>
      </c>
      <c r="DW94" s="88">
        <v>940</v>
      </c>
      <c r="DX94" s="88">
        <v>1079</v>
      </c>
      <c r="DY94" s="88">
        <v>1174</v>
      </c>
      <c r="DZ94" s="88">
        <v>1212</v>
      </c>
      <c r="EA94" s="88">
        <v>1201</v>
      </c>
      <c r="EB94" s="88">
        <v>1270</v>
      </c>
      <c r="EC94" s="88">
        <v>1329</v>
      </c>
      <c r="ED94" s="88">
        <v>1413</v>
      </c>
      <c r="EE94" s="88">
        <v>1456</v>
      </c>
      <c r="EF94" s="88">
        <v>1404</v>
      </c>
      <c r="EG94" s="88">
        <v>1514</v>
      </c>
      <c r="EH94" s="88">
        <v>1477</v>
      </c>
      <c r="EI94" s="88">
        <v>1599</v>
      </c>
      <c r="EJ94" s="88">
        <v>1531</v>
      </c>
      <c r="EK94" s="88">
        <v>1576</v>
      </c>
      <c r="EL94" s="88">
        <v>1534</v>
      </c>
      <c r="EM94" s="88">
        <v>1479</v>
      </c>
      <c r="EN94" s="88">
        <v>1455</v>
      </c>
      <c r="EO94" s="88">
        <v>1569</v>
      </c>
      <c r="EP94" s="88">
        <v>1565</v>
      </c>
      <c r="EQ94" s="88">
        <v>1458</v>
      </c>
      <c r="ER94" s="88">
        <v>1269</v>
      </c>
      <c r="ES94" s="88">
        <v>1240</v>
      </c>
      <c r="ET94" s="88">
        <v>1305</v>
      </c>
      <c r="EU94" s="88">
        <v>1336</v>
      </c>
      <c r="EV94" s="88">
        <v>1366</v>
      </c>
      <c r="EW94" s="88">
        <v>1423</v>
      </c>
      <c r="EX94" s="88">
        <v>1519</v>
      </c>
      <c r="EY94" s="88">
        <v>1528</v>
      </c>
      <c r="EZ94" s="88">
        <v>1462</v>
      </c>
      <c r="FA94" s="88">
        <v>1524</v>
      </c>
      <c r="FB94" s="88">
        <v>1504</v>
      </c>
      <c r="FC94" s="88">
        <v>1510</v>
      </c>
      <c r="FD94" s="88">
        <v>1500</v>
      </c>
      <c r="FE94" s="88">
        <v>1546</v>
      </c>
      <c r="FF94" s="88">
        <v>1539</v>
      </c>
      <c r="FG94" s="88">
        <v>1562</v>
      </c>
      <c r="FH94" s="88">
        <v>1539</v>
      </c>
      <c r="FI94" s="88">
        <v>1430</v>
      </c>
      <c r="FJ94" s="88">
        <v>1457</v>
      </c>
      <c r="FK94" s="88">
        <v>1408</v>
      </c>
      <c r="FL94" s="88">
        <v>1454</v>
      </c>
      <c r="FM94" s="88">
        <v>1336</v>
      </c>
      <c r="FN94" s="88">
        <v>1358</v>
      </c>
      <c r="FO94" s="88">
        <v>1295</v>
      </c>
      <c r="FP94" s="88">
        <v>1267</v>
      </c>
      <c r="FQ94" s="88">
        <v>1274</v>
      </c>
      <c r="FR94" s="88">
        <v>1138</v>
      </c>
      <c r="FS94" s="88">
        <v>1168</v>
      </c>
      <c r="FT94" s="88">
        <v>1201</v>
      </c>
      <c r="FU94" s="88">
        <v>1192</v>
      </c>
      <c r="FV94" s="88">
        <v>1272</v>
      </c>
      <c r="FW94" s="88">
        <v>1356</v>
      </c>
      <c r="FX94" s="88">
        <v>986</v>
      </c>
      <c r="FY94" s="88">
        <v>876</v>
      </c>
      <c r="FZ94" s="88">
        <v>891</v>
      </c>
      <c r="GA94" s="88">
        <v>756</v>
      </c>
      <c r="GB94" s="88">
        <v>665</v>
      </c>
      <c r="GC94" s="88">
        <v>606</v>
      </c>
      <c r="GD94" s="88">
        <v>674</v>
      </c>
      <c r="GE94" s="88">
        <v>597</v>
      </c>
      <c r="GF94" s="88">
        <v>606</v>
      </c>
      <c r="GG94" s="88">
        <v>546</v>
      </c>
      <c r="GH94" s="88">
        <v>491</v>
      </c>
      <c r="GI94" s="88">
        <v>427</v>
      </c>
      <c r="GJ94" s="88">
        <v>366</v>
      </c>
      <c r="GK94" s="88">
        <v>333</v>
      </c>
      <c r="GL94" s="89">
        <v>1382</v>
      </c>
    </row>
    <row r="95" spans="1:194" s="1" customFormat="1" x14ac:dyDescent="0.2">
      <c r="A95" s="90" t="s">
        <v>94</v>
      </c>
      <c r="B95" s="146" t="s">
        <v>180</v>
      </c>
      <c r="C95" s="30" t="str">
        <f t="shared" si="14"/>
        <v xml:space="preserve">England – CCGs - North West London </v>
      </c>
      <c r="D95" s="51">
        <f t="shared" si="13"/>
        <v>887606</v>
      </c>
      <c r="E95" s="51">
        <f t="shared" si="13"/>
        <v>939566</v>
      </c>
      <c r="F95" s="52">
        <f t="shared" ref="F95:F134" si="17">G95+H95</f>
        <v>2116269</v>
      </c>
      <c r="G95" s="52">
        <f t="shared" ref="G95:G134" si="18">SUM(M95:CY95)</f>
        <v>1035418</v>
      </c>
      <c r="H95" s="52">
        <f t="shared" ref="H95:H134" si="19">SUM(CZ95:GL95)</f>
        <v>1080851</v>
      </c>
      <c r="I95" s="697">
        <f t="shared" si="15"/>
        <v>887606</v>
      </c>
      <c r="J95" s="53">
        <f t="shared" si="16"/>
        <v>939566</v>
      </c>
      <c r="K95" s="50">
        <f t="shared" ref="K95:K134" si="20">SUM(M95:AD95)</f>
        <v>223719</v>
      </c>
      <c r="L95" s="51">
        <f t="shared" ref="L95:L134" si="21">SUM(CZ95:DQ95)</f>
        <v>212928</v>
      </c>
      <c r="M95" s="87">
        <v>13145</v>
      </c>
      <c r="N95" s="87">
        <v>12114</v>
      </c>
      <c r="O95" s="87">
        <v>12178</v>
      </c>
      <c r="P95" s="87">
        <v>12054</v>
      </c>
      <c r="Q95" s="87">
        <v>12040</v>
      </c>
      <c r="R95" s="87">
        <v>12185</v>
      </c>
      <c r="S95" s="87">
        <v>12303</v>
      </c>
      <c r="T95" s="87">
        <v>12063</v>
      </c>
      <c r="U95" s="87">
        <v>12090</v>
      </c>
      <c r="V95" s="87">
        <v>12190</v>
      </c>
      <c r="W95" s="87">
        <v>12622</v>
      </c>
      <c r="X95" s="87">
        <v>12828</v>
      </c>
      <c r="Y95" s="87">
        <v>12719</v>
      </c>
      <c r="Z95" s="87">
        <v>12814</v>
      </c>
      <c r="AA95" s="87">
        <v>12802</v>
      </c>
      <c r="AB95" s="87">
        <v>12632</v>
      </c>
      <c r="AC95" s="87">
        <v>12421</v>
      </c>
      <c r="AD95" s="87">
        <v>12519</v>
      </c>
      <c r="AE95" s="87">
        <v>12833</v>
      </c>
      <c r="AF95" s="87">
        <v>12802</v>
      </c>
      <c r="AG95" s="87">
        <v>13194</v>
      </c>
      <c r="AH95" s="87">
        <v>13966</v>
      </c>
      <c r="AI95" s="87">
        <v>14980</v>
      </c>
      <c r="AJ95" s="87">
        <v>16809</v>
      </c>
      <c r="AK95" s="87">
        <v>17934</v>
      </c>
      <c r="AL95" s="87">
        <v>18366</v>
      </c>
      <c r="AM95" s="87">
        <v>18003</v>
      </c>
      <c r="AN95" s="87">
        <v>17791</v>
      </c>
      <c r="AO95" s="87">
        <v>17913</v>
      </c>
      <c r="AP95" s="87">
        <v>17881</v>
      </c>
      <c r="AQ95" s="87">
        <v>17519</v>
      </c>
      <c r="AR95" s="87">
        <v>17363</v>
      </c>
      <c r="AS95" s="87">
        <v>17506</v>
      </c>
      <c r="AT95" s="87">
        <v>17466</v>
      </c>
      <c r="AU95" s="87">
        <v>16975</v>
      </c>
      <c r="AV95" s="87">
        <v>16691</v>
      </c>
      <c r="AW95" s="87">
        <v>16560</v>
      </c>
      <c r="AX95" s="87">
        <v>16266</v>
      </c>
      <c r="AY95" s="87">
        <v>15774</v>
      </c>
      <c r="AZ95" s="87">
        <v>15604</v>
      </c>
      <c r="BA95" s="87">
        <v>16020</v>
      </c>
      <c r="BB95" s="87">
        <v>15812</v>
      </c>
      <c r="BC95" s="87">
        <v>15988</v>
      </c>
      <c r="BD95" s="87">
        <v>15247</v>
      </c>
      <c r="BE95" s="87">
        <v>14534</v>
      </c>
      <c r="BF95" s="87">
        <v>14373</v>
      </c>
      <c r="BG95" s="87">
        <v>14285</v>
      </c>
      <c r="BH95" s="87">
        <v>13998</v>
      </c>
      <c r="BI95" s="87">
        <v>13930</v>
      </c>
      <c r="BJ95" s="87">
        <v>13994</v>
      </c>
      <c r="BK95" s="87">
        <v>13639</v>
      </c>
      <c r="BL95" s="87">
        <v>13541</v>
      </c>
      <c r="BM95" s="87">
        <v>13788</v>
      </c>
      <c r="BN95" s="87">
        <v>13462</v>
      </c>
      <c r="BO95" s="87">
        <v>13331</v>
      </c>
      <c r="BP95" s="87">
        <v>13000</v>
      </c>
      <c r="BQ95" s="87">
        <v>12876</v>
      </c>
      <c r="BR95" s="87">
        <v>12684</v>
      </c>
      <c r="BS95" s="87">
        <v>12188</v>
      </c>
      <c r="BT95" s="87">
        <v>11585</v>
      </c>
      <c r="BU95" s="87">
        <v>11044</v>
      </c>
      <c r="BV95" s="87">
        <v>10708</v>
      </c>
      <c r="BW95" s="87">
        <v>10268</v>
      </c>
      <c r="BX95" s="87">
        <v>9563</v>
      </c>
      <c r="BY95" s="87">
        <v>9114</v>
      </c>
      <c r="BZ95" s="87">
        <v>8631</v>
      </c>
      <c r="CA95" s="87">
        <v>8336</v>
      </c>
      <c r="CB95" s="87">
        <v>7836</v>
      </c>
      <c r="CC95" s="87">
        <v>7325</v>
      </c>
      <c r="CD95" s="87">
        <v>7058</v>
      </c>
      <c r="CE95" s="87">
        <v>6708</v>
      </c>
      <c r="CF95" s="87">
        <v>6352</v>
      </c>
      <c r="CG95" s="87">
        <v>6173</v>
      </c>
      <c r="CH95" s="87">
        <v>6001</v>
      </c>
      <c r="CI95" s="87">
        <v>5844</v>
      </c>
      <c r="CJ95" s="87">
        <v>5875</v>
      </c>
      <c r="CK95" s="87">
        <v>4737</v>
      </c>
      <c r="CL95" s="87">
        <v>4404</v>
      </c>
      <c r="CM95" s="87">
        <v>4319</v>
      </c>
      <c r="CN95" s="87">
        <v>3822</v>
      </c>
      <c r="CO95" s="87">
        <v>3567</v>
      </c>
      <c r="CP95" s="87">
        <v>3042</v>
      </c>
      <c r="CQ95" s="87">
        <v>3186</v>
      </c>
      <c r="CR95" s="87">
        <v>2957</v>
      </c>
      <c r="CS95" s="87">
        <v>2684</v>
      </c>
      <c r="CT95" s="87">
        <v>2348</v>
      </c>
      <c r="CU95" s="87">
        <v>2136</v>
      </c>
      <c r="CV95" s="87">
        <v>1783</v>
      </c>
      <c r="CW95" s="87">
        <v>1588</v>
      </c>
      <c r="CX95" s="87">
        <v>1348</v>
      </c>
      <c r="CY95" s="87">
        <v>4471</v>
      </c>
      <c r="CZ95" s="88">
        <v>12328</v>
      </c>
      <c r="DA95" s="88">
        <v>11704</v>
      </c>
      <c r="DB95" s="88">
        <v>11755</v>
      </c>
      <c r="DC95" s="88">
        <v>11486</v>
      </c>
      <c r="DD95" s="88">
        <v>11320</v>
      </c>
      <c r="DE95" s="88">
        <v>11671</v>
      </c>
      <c r="DF95" s="88">
        <v>11753</v>
      </c>
      <c r="DG95" s="88">
        <v>11653</v>
      </c>
      <c r="DH95" s="88">
        <v>11493</v>
      </c>
      <c r="DI95" s="88">
        <v>11863</v>
      </c>
      <c r="DJ95" s="88">
        <v>12209</v>
      </c>
      <c r="DK95" s="88">
        <v>12050</v>
      </c>
      <c r="DL95" s="88">
        <v>11969</v>
      </c>
      <c r="DM95" s="88">
        <v>12352</v>
      </c>
      <c r="DN95" s="88">
        <v>12164</v>
      </c>
      <c r="DO95" s="88">
        <v>11799</v>
      </c>
      <c r="DP95" s="88">
        <v>11712</v>
      </c>
      <c r="DQ95" s="88">
        <v>11647</v>
      </c>
      <c r="DR95" s="88">
        <v>11827</v>
      </c>
      <c r="DS95" s="88">
        <v>11332</v>
      </c>
      <c r="DT95" s="88">
        <v>11897</v>
      </c>
      <c r="DU95" s="88">
        <v>13171</v>
      </c>
      <c r="DV95" s="88">
        <v>15052</v>
      </c>
      <c r="DW95" s="88">
        <v>17669</v>
      </c>
      <c r="DX95" s="88">
        <v>19191</v>
      </c>
      <c r="DY95" s="88">
        <v>19495</v>
      </c>
      <c r="DZ95" s="88">
        <v>18931</v>
      </c>
      <c r="EA95" s="88">
        <v>18420</v>
      </c>
      <c r="EB95" s="88">
        <v>18852</v>
      </c>
      <c r="EC95" s="88">
        <v>18188</v>
      </c>
      <c r="ED95" s="88">
        <v>18368</v>
      </c>
      <c r="EE95" s="88">
        <v>18160</v>
      </c>
      <c r="EF95" s="88">
        <v>18636</v>
      </c>
      <c r="EG95" s="88">
        <v>18351</v>
      </c>
      <c r="EH95" s="88">
        <v>18569</v>
      </c>
      <c r="EI95" s="88">
        <v>17946</v>
      </c>
      <c r="EJ95" s="88">
        <v>17876</v>
      </c>
      <c r="EK95" s="88">
        <v>17967</v>
      </c>
      <c r="EL95" s="88">
        <v>17110</v>
      </c>
      <c r="EM95" s="88">
        <v>17118</v>
      </c>
      <c r="EN95" s="88">
        <v>16653</v>
      </c>
      <c r="EO95" s="88">
        <v>16966</v>
      </c>
      <c r="EP95" s="88">
        <v>16973</v>
      </c>
      <c r="EQ95" s="88">
        <v>16136</v>
      </c>
      <c r="ER95" s="88">
        <v>15171</v>
      </c>
      <c r="ES95" s="88">
        <v>14801</v>
      </c>
      <c r="ET95" s="88">
        <v>14555</v>
      </c>
      <c r="EU95" s="88">
        <v>14746</v>
      </c>
      <c r="EV95" s="88">
        <v>14330</v>
      </c>
      <c r="EW95" s="88">
        <v>13990</v>
      </c>
      <c r="EX95" s="88">
        <v>13968</v>
      </c>
      <c r="EY95" s="88">
        <v>14367</v>
      </c>
      <c r="EZ95" s="88">
        <v>14357</v>
      </c>
      <c r="FA95" s="88">
        <v>14498</v>
      </c>
      <c r="FB95" s="88">
        <v>14295</v>
      </c>
      <c r="FC95" s="88">
        <v>13630</v>
      </c>
      <c r="FD95" s="88">
        <v>13480</v>
      </c>
      <c r="FE95" s="88">
        <v>12894</v>
      </c>
      <c r="FF95" s="88">
        <v>12605</v>
      </c>
      <c r="FG95" s="88">
        <v>12312</v>
      </c>
      <c r="FH95" s="88">
        <v>12136</v>
      </c>
      <c r="FI95" s="88">
        <v>11227</v>
      </c>
      <c r="FJ95" s="88">
        <v>10861</v>
      </c>
      <c r="FK95" s="88">
        <v>10617</v>
      </c>
      <c r="FL95" s="88">
        <v>9740</v>
      </c>
      <c r="FM95" s="88">
        <v>9137</v>
      </c>
      <c r="FN95" s="88">
        <v>8871</v>
      </c>
      <c r="FO95" s="88">
        <v>8529</v>
      </c>
      <c r="FP95" s="88">
        <v>8061</v>
      </c>
      <c r="FQ95" s="88">
        <v>7669</v>
      </c>
      <c r="FR95" s="88">
        <v>7411</v>
      </c>
      <c r="FS95" s="88">
        <v>7148</v>
      </c>
      <c r="FT95" s="88">
        <v>7127</v>
      </c>
      <c r="FU95" s="88">
        <v>6982</v>
      </c>
      <c r="FV95" s="88">
        <v>6899</v>
      </c>
      <c r="FW95" s="88">
        <v>6839</v>
      </c>
      <c r="FX95" s="88">
        <v>5902</v>
      </c>
      <c r="FY95" s="88">
        <v>5515</v>
      </c>
      <c r="FZ95" s="88">
        <v>5227</v>
      </c>
      <c r="GA95" s="88">
        <v>4920</v>
      </c>
      <c r="GB95" s="88">
        <v>4555</v>
      </c>
      <c r="GC95" s="88">
        <v>4073</v>
      </c>
      <c r="GD95" s="88">
        <v>4231</v>
      </c>
      <c r="GE95" s="88">
        <v>3937</v>
      </c>
      <c r="GF95" s="88">
        <v>3714</v>
      </c>
      <c r="GG95" s="88">
        <v>3376</v>
      </c>
      <c r="GH95" s="88">
        <v>3030</v>
      </c>
      <c r="GI95" s="88">
        <v>2704</v>
      </c>
      <c r="GJ95" s="88">
        <v>2246</v>
      </c>
      <c r="GK95" s="88">
        <v>1998</v>
      </c>
      <c r="GL95" s="89">
        <v>8388</v>
      </c>
    </row>
    <row r="96" spans="1:194" s="1" customFormat="1" x14ac:dyDescent="0.2">
      <c r="A96" s="90" t="s">
        <v>94</v>
      </c>
      <c r="B96" s="146" t="s">
        <v>181</v>
      </c>
      <c r="C96" s="30" t="str">
        <f t="shared" si="14"/>
        <v xml:space="preserve">England – CCGs - North Yorkshire </v>
      </c>
      <c r="D96" s="51">
        <f t="shared" si="13"/>
        <v>186108</v>
      </c>
      <c r="E96" s="51">
        <f t="shared" si="13"/>
        <v>194711</v>
      </c>
      <c r="F96" s="52">
        <f t="shared" si="17"/>
        <v>430179</v>
      </c>
      <c r="G96" s="52">
        <f t="shared" si="18"/>
        <v>211387</v>
      </c>
      <c r="H96" s="52">
        <f t="shared" si="19"/>
        <v>218792</v>
      </c>
      <c r="I96" s="697">
        <f t="shared" si="15"/>
        <v>186108</v>
      </c>
      <c r="J96" s="53">
        <f t="shared" si="16"/>
        <v>194711</v>
      </c>
      <c r="K96" s="50">
        <f t="shared" si="20"/>
        <v>40407</v>
      </c>
      <c r="L96" s="51">
        <f t="shared" si="21"/>
        <v>37915</v>
      </c>
      <c r="M96" s="87">
        <v>1806</v>
      </c>
      <c r="N96" s="87">
        <v>1910</v>
      </c>
      <c r="O96" s="87">
        <v>1840</v>
      </c>
      <c r="P96" s="87">
        <v>2053</v>
      </c>
      <c r="Q96" s="87">
        <v>1992</v>
      </c>
      <c r="R96" s="87">
        <v>2088</v>
      </c>
      <c r="S96" s="87">
        <v>2283</v>
      </c>
      <c r="T96" s="87">
        <v>2207</v>
      </c>
      <c r="U96" s="87">
        <v>2205</v>
      </c>
      <c r="V96" s="87">
        <v>2222</v>
      </c>
      <c r="W96" s="87">
        <v>2244</v>
      </c>
      <c r="X96" s="87">
        <v>2429</v>
      </c>
      <c r="Y96" s="87">
        <v>2476</v>
      </c>
      <c r="Z96" s="87">
        <v>2370</v>
      </c>
      <c r="AA96" s="87">
        <v>2462</v>
      </c>
      <c r="AB96" s="87">
        <v>2350</v>
      </c>
      <c r="AC96" s="87">
        <v>2411</v>
      </c>
      <c r="AD96" s="87">
        <v>3059</v>
      </c>
      <c r="AE96" s="87">
        <v>2639</v>
      </c>
      <c r="AF96" s="87">
        <v>1994</v>
      </c>
      <c r="AG96" s="87">
        <v>2076</v>
      </c>
      <c r="AH96" s="87">
        <v>1965</v>
      </c>
      <c r="AI96" s="87">
        <v>1980</v>
      </c>
      <c r="AJ96" s="87">
        <v>2110</v>
      </c>
      <c r="AK96" s="87">
        <v>2190</v>
      </c>
      <c r="AL96" s="87">
        <v>2189</v>
      </c>
      <c r="AM96" s="87">
        <v>2285</v>
      </c>
      <c r="AN96" s="87">
        <v>2148</v>
      </c>
      <c r="AO96" s="87">
        <v>2346</v>
      </c>
      <c r="AP96" s="87">
        <v>2332</v>
      </c>
      <c r="AQ96" s="87">
        <v>2280</v>
      </c>
      <c r="AR96" s="87">
        <v>2302</v>
      </c>
      <c r="AS96" s="87">
        <v>2413</v>
      </c>
      <c r="AT96" s="87">
        <v>2289</v>
      </c>
      <c r="AU96" s="87">
        <v>2291</v>
      </c>
      <c r="AV96" s="87">
        <v>2286</v>
      </c>
      <c r="AW96" s="87">
        <v>2341</v>
      </c>
      <c r="AX96" s="87">
        <v>2282</v>
      </c>
      <c r="AY96" s="87">
        <v>2182</v>
      </c>
      <c r="AZ96" s="87">
        <v>2259</v>
      </c>
      <c r="BA96" s="87">
        <v>2347</v>
      </c>
      <c r="BB96" s="87">
        <v>2356</v>
      </c>
      <c r="BC96" s="87">
        <v>2349</v>
      </c>
      <c r="BD96" s="87">
        <v>2286</v>
      </c>
      <c r="BE96" s="87">
        <v>2072</v>
      </c>
      <c r="BF96" s="87">
        <v>2059</v>
      </c>
      <c r="BG96" s="87">
        <v>2251</v>
      </c>
      <c r="BH96" s="87">
        <v>2281</v>
      </c>
      <c r="BI96" s="87">
        <v>2444</v>
      </c>
      <c r="BJ96" s="87">
        <v>2606</v>
      </c>
      <c r="BK96" s="87">
        <v>2795</v>
      </c>
      <c r="BL96" s="87">
        <v>2983</v>
      </c>
      <c r="BM96" s="87">
        <v>2902</v>
      </c>
      <c r="BN96" s="87">
        <v>3145</v>
      </c>
      <c r="BO96" s="87">
        <v>3107</v>
      </c>
      <c r="BP96" s="87">
        <v>3339</v>
      </c>
      <c r="BQ96" s="87">
        <v>3219</v>
      </c>
      <c r="BR96" s="87">
        <v>3438</v>
      </c>
      <c r="BS96" s="87">
        <v>3408</v>
      </c>
      <c r="BT96" s="87">
        <v>3414</v>
      </c>
      <c r="BU96" s="87">
        <v>3300</v>
      </c>
      <c r="BV96" s="87">
        <v>3299</v>
      </c>
      <c r="BW96" s="87">
        <v>3185</v>
      </c>
      <c r="BX96" s="87">
        <v>3097</v>
      </c>
      <c r="BY96" s="87">
        <v>2964</v>
      </c>
      <c r="BZ96" s="87">
        <v>2914</v>
      </c>
      <c r="CA96" s="87">
        <v>2792</v>
      </c>
      <c r="CB96" s="87">
        <v>2714</v>
      </c>
      <c r="CC96" s="87">
        <v>2803</v>
      </c>
      <c r="CD96" s="87">
        <v>2650</v>
      </c>
      <c r="CE96" s="87">
        <v>2559</v>
      </c>
      <c r="CF96" s="87">
        <v>2537</v>
      </c>
      <c r="CG96" s="87">
        <v>2619</v>
      </c>
      <c r="CH96" s="87">
        <v>2710</v>
      </c>
      <c r="CI96" s="87">
        <v>2895</v>
      </c>
      <c r="CJ96" s="87">
        <v>3103</v>
      </c>
      <c r="CK96" s="87">
        <v>2274</v>
      </c>
      <c r="CL96" s="87">
        <v>2220</v>
      </c>
      <c r="CM96" s="87">
        <v>2167</v>
      </c>
      <c r="CN96" s="87">
        <v>1887</v>
      </c>
      <c r="CO96" s="87">
        <v>1512</v>
      </c>
      <c r="CP96" s="87">
        <v>1295</v>
      </c>
      <c r="CQ96" s="87">
        <v>1401</v>
      </c>
      <c r="CR96" s="87">
        <v>1296</v>
      </c>
      <c r="CS96" s="87">
        <v>1226</v>
      </c>
      <c r="CT96" s="87">
        <v>968</v>
      </c>
      <c r="CU96" s="87">
        <v>914</v>
      </c>
      <c r="CV96" s="87">
        <v>752</v>
      </c>
      <c r="CW96" s="87">
        <v>659</v>
      </c>
      <c r="CX96" s="87">
        <v>500</v>
      </c>
      <c r="CY96" s="87">
        <v>1788</v>
      </c>
      <c r="CZ96" s="88">
        <v>1682</v>
      </c>
      <c r="DA96" s="88">
        <v>1674</v>
      </c>
      <c r="DB96" s="88">
        <v>1880</v>
      </c>
      <c r="DC96" s="88">
        <v>1886</v>
      </c>
      <c r="DD96" s="88">
        <v>1943</v>
      </c>
      <c r="DE96" s="88">
        <v>2021</v>
      </c>
      <c r="DF96" s="88">
        <v>2059</v>
      </c>
      <c r="DG96" s="88">
        <v>2069</v>
      </c>
      <c r="DH96" s="88">
        <v>2049</v>
      </c>
      <c r="DI96" s="88">
        <v>2217</v>
      </c>
      <c r="DJ96" s="88">
        <v>2305</v>
      </c>
      <c r="DK96" s="88">
        <v>2296</v>
      </c>
      <c r="DL96" s="88">
        <v>2285</v>
      </c>
      <c r="DM96" s="88">
        <v>2329</v>
      </c>
      <c r="DN96" s="88">
        <v>2299</v>
      </c>
      <c r="DO96" s="88">
        <v>2298</v>
      </c>
      <c r="DP96" s="88">
        <v>2281</v>
      </c>
      <c r="DQ96" s="88">
        <v>2342</v>
      </c>
      <c r="DR96" s="88">
        <v>2160</v>
      </c>
      <c r="DS96" s="88">
        <v>1496</v>
      </c>
      <c r="DT96" s="88">
        <v>1283</v>
      </c>
      <c r="DU96" s="88">
        <v>1361</v>
      </c>
      <c r="DV96" s="88">
        <v>1661</v>
      </c>
      <c r="DW96" s="88">
        <v>1843</v>
      </c>
      <c r="DX96" s="88">
        <v>2039</v>
      </c>
      <c r="DY96" s="88">
        <v>1980</v>
      </c>
      <c r="DZ96" s="88">
        <v>1949</v>
      </c>
      <c r="EA96" s="88">
        <v>2085</v>
      </c>
      <c r="EB96" s="88">
        <v>2051</v>
      </c>
      <c r="EC96" s="88">
        <v>2217</v>
      </c>
      <c r="ED96" s="88">
        <v>2321</v>
      </c>
      <c r="EE96" s="88">
        <v>2446</v>
      </c>
      <c r="EF96" s="88">
        <v>2495</v>
      </c>
      <c r="EG96" s="88">
        <v>2372</v>
      </c>
      <c r="EH96" s="88">
        <v>2468</v>
      </c>
      <c r="EI96" s="88">
        <v>2429</v>
      </c>
      <c r="EJ96" s="88">
        <v>2439</v>
      </c>
      <c r="EK96" s="88">
        <v>2410</v>
      </c>
      <c r="EL96" s="88">
        <v>2362</v>
      </c>
      <c r="EM96" s="88">
        <v>2364</v>
      </c>
      <c r="EN96" s="88">
        <v>2350</v>
      </c>
      <c r="EO96" s="88">
        <v>2549</v>
      </c>
      <c r="EP96" s="88">
        <v>2459</v>
      </c>
      <c r="EQ96" s="88">
        <v>2483</v>
      </c>
      <c r="ER96" s="88">
        <v>2274</v>
      </c>
      <c r="ES96" s="88">
        <v>2274</v>
      </c>
      <c r="ET96" s="88">
        <v>2414</v>
      </c>
      <c r="EU96" s="88">
        <v>2465</v>
      </c>
      <c r="EV96" s="88">
        <v>2630</v>
      </c>
      <c r="EW96" s="88">
        <v>2793</v>
      </c>
      <c r="EX96" s="88">
        <v>3024</v>
      </c>
      <c r="EY96" s="88">
        <v>3317</v>
      </c>
      <c r="EZ96" s="88">
        <v>3165</v>
      </c>
      <c r="FA96" s="88">
        <v>3436</v>
      </c>
      <c r="FB96" s="88">
        <v>3383</v>
      </c>
      <c r="FC96" s="88">
        <v>3530</v>
      </c>
      <c r="FD96" s="88">
        <v>3496</v>
      </c>
      <c r="FE96" s="88">
        <v>3737</v>
      </c>
      <c r="FF96" s="88">
        <v>3591</v>
      </c>
      <c r="FG96" s="88">
        <v>3679</v>
      </c>
      <c r="FH96" s="88">
        <v>3445</v>
      </c>
      <c r="FI96" s="88">
        <v>3401</v>
      </c>
      <c r="FJ96" s="88">
        <v>3306</v>
      </c>
      <c r="FK96" s="88">
        <v>3353</v>
      </c>
      <c r="FL96" s="88">
        <v>3156</v>
      </c>
      <c r="FM96" s="88">
        <v>2963</v>
      </c>
      <c r="FN96" s="88">
        <v>3040</v>
      </c>
      <c r="FO96" s="88">
        <v>2830</v>
      </c>
      <c r="FP96" s="88">
        <v>2783</v>
      </c>
      <c r="FQ96" s="88">
        <v>2785</v>
      </c>
      <c r="FR96" s="88">
        <v>2727</v>
      </c>
      <c r="FS96" s="88">
        <v>2909</v>
      </c>
      <c r="FT96" s="88">
        <v>2785</v>
      </c>
      <c r="FU96" s="88">
        <v>2931</v>
      </c>
      <c r="FV96" s="88">
        <v>3039</v>
      </c>
      <c r="FW96" s="88">
        <v>3274</v>
      </c>
      <c r="FX96" s="88">
        <v>2473</v>
      </c>
      <c r="FY96" s="88">
        <v>2464</v>
      </c>
      <c r="FZ96" s="88">
        <v>2268</v>
      </c>
      <c r="GA96" s="88">
        <v>1998</v>
      </c>
      <c r="GB96" s="88">
        <v>1886</v>
      </c>
      <c r="GC96" s="88">
        <v>1704</v>
      </c>
      <c r="GD96" s="88">
        <v>1676</v>
      </c>
      <c r="GE96" s="88">
        <v>1677</v>
      </c>
      <c r="GF96" s="88">
        <v>1504</v>
      </c>
      <c r="GG96" s="88">
        <v>1422</v>
      </c>
      <c r="GH96" s="88">
        <v>1267</v>
      </c>
      <c r="GI96" s="88">
        <v>1171</v>
      </c>
      <c r="GJ96" s="88">
        <v>986</v>
      </c>
      <c r="GK96" s="88">
        <v>823</v>
      </c>
      <c r="GL96" s="89">
        <v>3551</v>
      </c>
    </row>
    <row r="97" spans="1:194" s="1" customFormat="1" x14ac:dyDescent="0.2">
      <c r="A97" s="90" t="s">
        <v>94</v>
      </c>
      <c r="B97" s="146" t="s">
        <v>182</v>
      </c>
      <c r="C97" s="30" t="str">
        <f t="shared" si="14"/>
        <v xml:space="preserve">England – CCGs - Northamptonshire </v>
      </c>
      <c r="D97" s="51">
        <f t="shared" si="13"/>
        <v>325455</v>
      </c>
      <c r="E97" s="51">
        <f t="shared" si="13"/>
        <v>337772</v>
      </c>
      <c r="F97" s="52">
        <f t="shared" si="17"/>
        <v>775246</v>
      </c>
      <c r="G97" s="52">
        <f t="shared" si="18"/>
        <v>382651</v>
      </c>
      <c r="H97" s="52">
        <f t="shared" si="19"/>
        <v>392595</v>
      </c>
      <c r="I97" s="697">
        <f t="shared" si="15"/>
        <v>325455</v>
      </c>
      <c r="J97" s="53">
        <f t="shared" si="16"/>
        <v>337772</v>
      </c>
      <c r="K97" s="50">
        <f t="shared" si="20"/>
        <v>86615</v>
      </c>
      <c r="L97" s="51">
        <f t="shared" si="21"/>
        <v>83294</v>
      </c>
      <c r="M97" s="87">
        <v>4259</v>
      </c>
      <c r="N97" s="87">
        <v>4319</v>
      </c>
      <c r="O97" s="87">
        <v>4552</v>
      </c>
      <c r="P97" s="87">
        <v>4600</v>
      </c>
      <c r="Q97" s="87">
        <v>4628</v>
      </c>
      <c r="R97" s="87">
        <v>4707</v>
      </c>
      <c r="S97" s="87">
        <v>4867</v>
      </c>
      <c r="T97" s="87">
        <v>4890</v>
      </c>
      <c r="U97" s="87">
        <v>4899</v>
      </c>
      <c r="V97" s="87">
        <v>5037</v>
      </c>
      <c r="W97" s="87">
        <v>5227</v>
      </c>
      <c r="X97" s="87">
        <v>5211</v>
      </c>
      <c r="Y97" s="87">
        <v>5131</v>
      </c>
      <c r="Z97" s="87">
        <v>5121</v>
      </c>
      <c r="AA97" s="87">
        <v>5117</v>
      </c>
      <c r="AB97" s="87">
        <v>4813</v>
      </c>
      <c r="AC97" s="87">
        <v>4673</v>
      </c>
      <c r="AD97" s="87">
        <v>4564</v>
      </c>
      <c r="AE97" s="87">
        <v>4507</v>
      </c>
      <c r="AF97" s="87">
        <v>3562</v>
      </c>
      <c r="AG97" s="87">
        <v>3618</v>
      </c>
      <c r="AH97" s="87">
        <v>3957</v>
      </c>
      <c r="AI97" s="87">
        <v>4178</v>
      </c>
      <c r="AJ97" s="87">
        <v>4284</v>
      </c>
      <c r="AK97" s="87">
        <v>4333</v>
      </c>
      <c r="AL97" s="87">
        <v>4395</v>
      </c>
      <c r="AM97" s="87">
        <v>4425</v>
      </c>
      <c r="AN97" s="87">
        <v>4706</v>
      </c>
      <c r="AO97" s="87">
        <v>4878</v>
      </c>
      <c r="AP97" s="87">
        <v>5030</v>
      </c>
      <c r="AQ97" s="87">
        <v>5313</v>
      </c>
      <c r="AR97" s="87">
        <v>5460</v>
      </c>
      <c r="AS97" s="87">
        <v>5472</v>
      </c>
      <c r="AT97" s="87">
        <v>5456</v>
      </c>
      <c r="AU97" s="87">
        <v>5652</v>
      </c>
      <c r="AV97" s="87">
        <v>5377</v>
      </c>
      <c r="AW97" s="87">
        <v>5360</v>
      </c>
      <c r="AX97" s="87">
        <v>5349</v>
      </c>
      <c r="AY97" s="87">
        <v>5244</v>
      </c>
      <c r="AZ97" s="87">
        <v>5276</v>
      </c>
      <c r="BA97" s="87">
        <v>5238</v>
      </c>
      <c r="BB97" s="87">
        <v>5430</v>
      </c>
      <c r="BC97" s="87">
        <v>5513</v>
      </c>
      <c r="BD97" s="87">
        <v>5188</v>
      </c>
      <c r="BE97" s="87">
        <v>4759</v>
      </c>
      <c r="BF97" s="87">
        <v>4776</v>
      </c>
      <c r="BG97" s="87">
        <v>4751</v>
      </c>
      <c r="BH97" s="87">
        <v>4946</v>
      </c>
      <c r="BI97" s="87">
        <v>5033</v>
      </c>
      <c r="BJ97" s="87">
        <v>5131</v>
      </c>
      <c r="BK97" s="87">
        <v>5343</v>
      </c>
      <c r="BL97" s="87">
        <v>5612</v>
      </c>
      <c r="BM97" s="87">
        <v>5385</v>
      </c>
      <c r="BN97" s="87">
        <v>5537</v>
      </c>
      <c r="BO97" s="87">
        <v>5576</v>
      </c>
      <c r="BP97" s="87">
        <v>5527</v>
      </c>
      <c r="BQ97" s="87">
        <v>5445</v>
      </c>
      <c r="BR97" s="87">
        <v>5443</v>
      </c>
      <c r="BS97" s="87">
        <v>5229</v>
      </c>
      <c r="BT97" s="87">
        <v>5084</v>
      </c>
      <c r="BU97" s="87">
        <v>4851</v>
      </c>
      <c r="BV97" s="87">
        <v>4564</v>
      </c>
      <c r="BW97" s="87">
        <v>4293</v>
      </c>
      <c r="BX97" s="87">
        <v>4163</v>
      </c>
      <c r="BY97" s="87">
        <v>4058</v>
      </c>
      <c r="BZ97" s="87">
        <v>3870</v>
      </c>
      <c r="CA97" s="87">
        <v>3632</v>
      </c>
      <c r="CB97" s="87">
        <v>3470</v>
      </c>
      <c r="CC97" s="87">
        <v>3614</v>
      </c>
      <c r="CD97" s="87">
        <v>3379</v>
      </c>
      <c r="CE97" s="87">
        <v>3304</v>
      </c>
      <c r="CF97" s="87">
        <v>3266</v>
      </c>
      <c r="CG97" s="87">
        <v>3310</v>
      </c>
      <c r="CH97" s="87">
        <v>3357</v>
      </c>
      <c r="CI97" s="87">
        <v>3633</v>
      </c>
      <c r="CJ97" s="87">
        <v>3830</v>
      </c>
      <c r="CK97" s="87">
        <v>2829</v>
      </c>
      <c r="CL97" s="87">
        <v>2694</v>
      </c>
      <c r="CM97" s="87">
        <v>2595</v>
      </c>
      <c r="CN97" s="87">
        <v>2197</v>
      </c>
      <c r="CO97" s="87">
        <v>2024</v>
      </c>
      <c r="CP97" s="87">
        <v>1642</v>
      </c>
      <c r="CQ97" s="87">
        <v>1534</v>
      </c>
      <c r="CR97" s="87">
        <v>1511</v>
      </c>
      <c r="CS97" s="87">
        <v>1306</v>
      </c>
      <c r="CT97" s="87">
        <v>1100</v>
      </c>
      <c r="CU97" s="87">
        <v>1051</v>
      </c>
      <c r="CV97" s="87">
        <v>887</v>
      </c>
      <c r="CW97" s="87">
        <v>686</v>
      </c>
      <c r="CX97" s="87">
        <v>605</v>
      </c>
      <c r="CY97" s="87">
        <v>2003</v>
      </c>
      <c r="CZ97" s="88">
        <v>4020</v>
      </c>
      <c r="DA97" s="88">
        <v>4094</v>
      </c>
      <c r="DB97" s="88">
        <v>4385</v>
      </c>
      <c r="DC97" s="88">
        <v>4407</v>
      </c>
      <c r="DD97" s="88">
        <v>4603</v>
      </c>
      <c r="DE97" s="88">
        <v>4490</v>
      </c>
      <c r="DF97" s="88">
        <v>4704</v>
      </c>
      <c r="DG97" s="88">
        <v>4671</v>
      </c>
      <c r="DH97" s="88">
        <v>4770</v>
      </c>
      <c r="DI97" s="88">
        <v>4919</v>
      </c>
      <c r="DJ97" s="88">
        <v>4949</v>
      </c>
      <c r="DK97" s="88">
        <v>4811</v>
      </c>
      <c r="DL97" s="88">
        <v>4859</v>
      </c>
      <c r="DM97" s="88">
        <v>4893</v>
      </c>
      <c r="DN97" s="88">
        <v>4879</v>
      </c>
      <c r="DO97" s="88">
        <v>4764</v>
      </c>
      <c r="DP97" s="88">
        <v>4627</v>
      </c>
      <c r="DQ97" s="88">
        <v>4449</v>
      </c>
      <c r="DR97" s="88">
        <v>4227</v>
      </c>
      <c r="DS97" s="88">
        <v>3200</v>
      </c>
      <c r="DT97" s="88">
        <v>3483</v>
      </c>
      <c r="DU97" s="88">
        <v>3871</v>
      </c>
      <c r="DV97" s="88">
        <v>3869</v>
      </c>
      <c r="DW97" s="88">
        <v>4037</v>
      </c>
      <c r="DX97" s="88">
        <v>4204</v>
      </c>
      <c r="DY97" s="88">
        <v>4440</v>
      </c>
      <c r="DZ97" s="88">
        <v>4569</v>
      </c>
      <c r="EA97" s="88">
        <v>4730</v>
      </c>
      <c r="EB97" s="88">
        <v>5145</v>
      </c>
      <c r="EC97" s="88">
        <v>5191</v>
      </c>
      <c r="ED97" s="88">
        <v>5480</v>
      </c>
      <c r="EE97" s="88">
        <v>5579</v>
      </c>
      <c r="EF97" s="88">
        <v>5734</v>
      </c>
      <c r="EG97" s="88">
        <v>5770</v>
      </c>
      <c r="EH97" s="88">
        <v>5874</v>
      </c>
      <c r="EI97" s="88">
        <v>5660</v>
      </c>
      <c r="EJ97" s="88">
        <v>5772</v>
      </c>
      <c r="EK97" s="88">
        <v>5670</v>
      </c>
      <c r="EL97" s="88">
        <v>5378</v>
      </c>
      <c r="EM97" s="88">
        <v>5577</v>
      </c>
      <c r="EN97" s="88">
        <v>5468</v>
      </c>
      <c r="EO97" s="88">
        <v>5493</v>
      </c>
      <c r="EP97" s="88">
        <v>5549</v>
      </c>
      <c r="EQ97" s="88">
        <v>5260</v>
      </c>
      <c r="ER97" s="88">
        <v>4777</v>
      </c>
      <c r="ES97" s="88">
        <v>4715</v>
      </c>
      <c r="ET97" s="88">
        <v>4937</v>
      </c>
      <c r="EU97" s="88">
        <v>4988</v>
      </c>
      <c r="EV97" s="88">
        <v>5116</v>
      </c>
      <c r="EW97" s="88">
        <v>5247</v>
      </c>
      <c r="EX97" s="88">
        <v>5486</v>
      </c>
      <c r="EY97" s="88">
        <v>5705</v>
      </c>
      <c r="EZ97" s="88">
        <v>5240</v>
      </c>
      <c r="FA97" s="88">
        <v>5658</v>
      </c>
      <c r="FB97" s="88">
        <v>5560</v>
      </c>
      <c r="FC97" s="88">
        <v>5528</v>
      </c>
      <c r="FD97" s="88">
        <v>5340</v>
      </c>
      <c r="FE97" s="88">
        <v>5410</v>
      </c>
      <c r="FF97" s="88">
        <v>5254</v>
      </c>
      <c r="FG97" s="88">
        <v>5123</v>
      </c>
      <c r="FH97" s="88">
        <v>4975</v>
      </c>
      <c r="FI97" s="88">
        <v>4684</v>
      </c>
      <c r="FJ97" s="88">
        <v>4451</v>
      </c>
      <c r="FK97" s="88">
        <v>4331</v>
      </c>
      <c r="FL97" s="88">
        <v>4273</v>
      </c>
      <c r="FM97" s="88">
        <v>3955</v>
      </c>
      <c r="FN97" s="88">
        <v>3841</v>
      </c>
      <c r="FO97" s="88">
        <v>3676</v>
      </c>
      <c r="FP97" s="88">
        <v>3691</v>
      </c>
      <c r="FQ97" s="88">
        <v>3750</v>
      </c>
      <c r="FR97" s="88">
        <v>3693</v>
      </c>
      <c r="FS97" s="88">
        <v>3608</v>
      </c>
      <c r="FT97" s="88">
        <v>3682</v>
      </c>
      <c r="FU97" s="88">
        <v>3827</v>
      </c>
      <c r="FV97" s="88">
        <v>4051</v>
      </c>
      <c r="FW97" s="88">
        <v>4232</v>
      </c>
      <c r="FX97" s="88">
        <v>3113</v>
      </c>
      <c r="FY97" s="88">
        <v>2978</v>
      </c>
      <c r="FZ97" s="88">
        <v>2963</v>
      </c>
      <c r="GA97" s="88">
        <v>2548</v>
      </c>
      <c r="GB97" s="88">
        <v>2259</v>
      </c>
      <c r="GC97" s="88">
        <v>1881</v>
      </c>
      <c r="GD97" s="88">
        <v>1854</v>
      </c>
      <c r="GE97" s="88">
        <v>1848</v>
      </c>
      <c r="GF97" s="88">
        <v>1721</v>
      </c>
      <c r="GG97" s="88">
        <v>1534</v>
      </c>
      <c r="GH97" s="88">
        <v>1329</v>
      </c>
      <c r="GI97" s="88">
        <v>1132</v>
      </c>
      <c r="GJ97" s="88">
        <v>1123</v>
      </c>
      <c r="GK97" s="88">
        <v>931</v>
      </c>
      <c r="GL97" s="89">
        <v>4053</v>
      </c>
    </row>
    <row r="98" spans="1:194" s="1" customFormat="1" x14ac:dyDescent="0.2">
      <c r="A98" s="90" t="s">
        <v>94</v>
      </c>
      <c r="B98" s="146" t="s">
        <v>183</v>
      </c>
      <c r="C98" s="30" t="str">
        <f t="shared" si="14"/>
        <v xml:space="preserve">England – CCGs - Northumberland </v>
      </c>
      <c r="D98" s="51">
        <f t="shared" si="13"/>
        <v>138987</v>
      </c>
      <c r="E98" s="51">
        <f t="shared" si="13"/>
        <v>147599</v>
      </c>
      <c r="F98" s="52">
        <f t="shared" si="17"/>
        <v>324362</v>
      </c>
      <c r="G98" s="52">
        <f t="shared" si="18"/>
        <v>158454</v>
      </c>
      <c r="H98" s="52">
        <f t="shared" si="19"/>
        <v>165908</v>
      </c>
      <c r="I98" s="697">
        <f t="shared" si="15"/>
        <v>138987</v>
      </c>
      <c r="J98" s="53">
        <f t="shared" si="16"/>
        <v>147599</v>
      </c>
      <c r="K98" s="50">
        <f t="shared" si="20"/>
        <v>30220</v>
      </c>
      <c r="L98" s="51">
        <f t="shared" si="21"/>
        <v>28370</v>
      </c>
      <c r="M98" s="87">
        <v>1325</v>
      </c>
      <c r="N98" s="87">
        <v>1439</v>
      </c>
      <c r="O98" s="87">
        <v>1376</v>
      </c>
      <c r="P98" s="87">
        <v>1489</v>
      </c>
      <c r="Q98" s="87">
        <v>1600</v>
      </c>
      <c r="R98" s="87">
        <v>1548</v>
      </c>
      <c r="S98" s="87">
        <v>1703</v>
      </c>
      <c r="T98" s="87">
        <v>1694</v>
      </c>
      <c r="U98" s="87">
        <v>1757</v>
      </c>
      <c r="V98" s="87">
        <v>1792</v>
      </c>
      <c r="W98" s="87">
        <v>1836</v>
      </c>
      <c r="X98" s="87">
        <v>1908</v>
      </c>
      <c r="Y98" s="87">
        <v>1823</v>
      </c>
      <c r="Z98" s="87">
        <v>1755</v>
      </c>
      <c r="AA98" s="87">
        <v>1878</v>
      </c>
      <c r="AB98" s="87">
        <v>1745</v>
      </c>
      <c r="AC98" s="87">
        <v>1794</v>
      </c>
      <c r="AD98" s="87">
        <v>1758</v>
      </c>
      <c r="AE98" s="87">
        <v>1692</v>
      </c>
      <c r="AF98" s="87">
        <v>1409</v>
      </c>
      <c r="AG98" s="87">
        <v>1310</v>
      </c>
      <c r="AH98" s="87">
        <v>1428</v>
      </c>
      <c r="AI98" s="87">
        <v>1426</v>
      </c>
      <c r="AJ98" s="87">
        <v>1524</v>
      </c>
      <c r="AK98" s="87">
        <v>1573</v>
      </c>
      <c r="AL98" s="87">
        <v>1614</v>
      </c>
      <c r="AM98" s="87">
        <v>1559</v>
      </c>
      <c r="AN98" s="87">
        <v>1599</v>
      </c>
      <c r="AO98" s="87">
        <v>1615</v>
      </c>
      <c r="AP98" s="87">
        <v>1616</v>
      </c>
      <c r="AQ98" s="87">
        <v>1700</v>
      </c>
      <c r="AR98" s="87">
        <v>1740</v>
      </c>
      <c r="AS98" s="87">
        <v>1619</v>
      </c>
      <c r="AT98" s="87">
        <v>1693</v>
      </c>
      <c r="AU98" s="87">
        <v>1775</v>
      </c>
      <c r="AV98" s="87">
        <v>1777</v>
      </c>
      <c r="AW98" s="87">
        <v>1698</v>
      </c>
      <c r="AX98" s="87">
        <v>1739</v>
      </c>
      <c r="AY98" s="87">
        <v>1711</v>
      </c>
      <c r="AZ98" s="87">
        <v>1746</v>
      </c>
      <c r="BA98" s="87">
        <v>1682</v>
      </c>
      <c r="BB98" s="87">
        <v>1728</v>
      </c>
      <c r="BC98" s="87">
        <v>1797</v>
      </c>
      <c r="BD98" s="87">
        <v>1848</v>
      </c>
      <c r="BE98" s="87">
        <v>1589</v>
      </c>
      <c r="BF98" s="87">
        <v>1613</v>
      </c>
      <c r="BG98" s="87">
        <v>1719</v>
      </c>
      <c r="BH98" s="87">
        <v>1816</v>
      </c>
      <c r="BI98" s="87">
        <v>1904</v>
      </c>
      <c r="BJ98" s="87">
        <v>1955</v>
      </c>
      <c r="BK98" s="87">
        <v>2103</v>
      </c>
      <c r="BL98" s="87">
        <v>2264</v>
      </c>
      <c r="BM98" s="87">
        <v>2113</v>
      </c>
      <c r="BN98" s="87">
        <v>2240</v>
      </c>
      <c r="BO98" s="87">
        <v>2348</v>
      </c>
      <c r="BP98" s="87">
        <v>2413</v>
      </c>
      <c r="BQ98" s="87">
        <v>2388</v>
      </c>
      <c r="BR98" s="87">
        <v>2577</v>
      </c>
      <c r="BS98" s="87">
        <v>2583</v>
      </c>
      <c r="BT98" s="87">
        <v>2418</v>
      </c>
      <c r="BU98" s="87">
        <v>2552</v>
      </c>
      <c r="BV98" s="87">
        <v>2430</v>
      </c>
      <c r="BW98" s="87">
        <v>2508</v>
      </c>
      <c r="BX98" s="87">
        <v>2445</v>
      </c>
      <c r="BY98" s="87">
        <v>2377</v>
      </c>
      <c r="BZ98" s="87">
        <v>2284</v>
      </c>
      <c r="CA98" s="87">
        <v>2362</v>
      </c>
      <c r="CB98" s="87">
        <v>2193</v>
      </c>
      <c r="CC98" s="87">
        <v>2319</v>
      </c>
      <c r="CD98" s="87">
        <v>2203</v>
      </c>
      <c r="CE98" s="87">
        <v>2099</v>
      </c>
      <c r="CF98" s="87">
        <v>2117</v>
      </c>
      <c r="CG98" s="87">
        <v>2045</v>
      </c>
      <c r="CH98" s="87">
        <v>2158</v>
      </c>
      <c r="CI98" s="87">
        <v>2246</v>
      </c>
      <c r="CJ98" s="87">
        <v>2404</v>
      </c>
      <c r="CK98" s="87">
        <v>1675</v>
      </c>
      <c r="CL98" s="87">
        <v>1645</v>
      </c>
      <c r="CM98" s="87">
        <v>1621</v>
      </c>
      <c r="CN98" s="87">
        <v>1301</v>
      </c>
      <c r="CO98" s="87">
        <v>1150</v>
      </c>
      <c r="CP98" s="87">
        <v>1017</v>
      </c>
      <c r="CQ98" s="87">
        <v>941</v>
      </c>
      <c r="CR98" s="87">
        <v>883</v>
      </c>
      <c r="CS98" s="87">
        <v>786</v>
      </c>
      <c r="CT98" s="87">
        <v>705</v>
      </c>
      <c r="CU98" s="87">
        <v>611</v>
      </c>
      <c r="CV98" s="87">
        <v>557</v>
      </c>
      <c r="CW98" s="87">
        <v>437</v>
      </c>
      <c r="CX98" s="87">
        <v>369</v>
      </c>
      <c r="CY98" s="87">
        <v>1133</v>
      </c>
      <c r="CZ98" s="88">
        <v>1230</v>
      </c>
      <c r="DA98" s="88">
        <v>1305</v>
      </c>
      <c r="DB98" s="88">
        <v>1332</v>
      </c>
      <c r="DC98" s="88">
        <v>1430</v>
      </c>
      <c r="DD98" s="88">
        <v>1476</v>
      </c>
      <c r="DE98" s="88">
        <v>1612</v>
      </c>
      <c r="DF98" s="88">
        <v>1566</v>
      </c>
      <c r="DG98" s="88">
        <v>1566</v>
      </c>
      <c r="DH98" s="88">
        <v>1619</v>
      </c>
      <c r="DI98" s="88">
        <v>1693</v>
      </c>
      <c r="DJ98" s="88">
        <v>1752</v>
      </c>
      <c r="DK98" s="88">
        <v>1728</v>
      </c>
      <c r="DL98" s="88">
        <v>1726</v>
      </c>
      <c r="DM98" s="88">
        <v>1711</v>
      </c>
      <c r="DN98" s="88">
        <v>1766</v>
      </c>
      <c r="DO98" s="88">
        <v>1615</v>
      </c>
      <c r="DP98" s="88">
        <v>1658</v>
      </c>
      <c r="DQ98" s="88">
        <v>1585</v>
      </c>
      <c r="DR98" s="88">
        <v>1551</v>
      </c>
      <c r="DS98" s="88">
        <v>1166</v>
      </c>
      <c r="DT98" s="88">
        <v>1054</v>
      </c>
      <c r="DU98" s="88">
        <v>1147</v>
      </c>
      <c r="DV98" s="88">
        <v>1317</v>
      </c>
      <c r="DW98" s="88">
        <v>1487</v>
      </c>
      <c r="DX98" s="88">
        <v>1542</v>
      </c>
      <c r="DY98" s="88">
        <v>1518</v>
      </c>
      <c r="DZ98" s="88">
        <v>1448</v>
      </c>
      <c r="EA98" s="88">
        <v>1623</v>
      </c>
      <c r="EB98" s="88">
        <v>1613</v>
      </c>
      <c r="EC98" s="88">
        <v>1641</v>
      </c>
      <c r="ED98" s="88">
        <v>1825</v>
      </c>
      <c r="EE98" s="88">
        <v>1755</v>
      </c>
      <c r="EF98" s="88">
        <v>1791</v>
      </c>
      <c r="EG98" s="88">
        <v>1772</v>
      </c>
      <c r="EH98" s="88">
        <v>1825</v>
      </c>
      <c r="EI98" s="88">
        <v>1859</v>
      </c>
      <c r="EJ98" s="88">
        <v>1841</v>
      </c>
      <c r="EK98" s="88">
        <v>1931</v>
      </c>
      <c r="EL98" s="88">
        <v>1813</v>
      </c>
      <c r="EM98" s="88">
        <v>1757</v>
      </c>
      <c r="EN98" s="88">
        <v>1925</v>
      </c>
      <c r="EO98" s="88">
        <v>1849</v>
      </c>
      <c r="EP98" s="88">
        <v>2047</v>
      </c>
      <c r="EQ98" s="88">
        <v>1893</v>
      </c>
      <c r="ER98" s="88">
        <v>1681</v>
      </c>
      <c r="ES98" s="88">
        <v>1673</v>
      </c>
      <c r="ET98" s="88">
        <v>1858</v>
      </c>
      <c r="EU98" s="88">
        <v>1901</v>
      </c>
      <c r="EV98" s="88">
        <v>1912</v>
      </c>
      <c r="EW98" s="88">
        <v>2092</v>
      </c>
      <c r="EX98" s="88">
        <v>2339</v>
      </c>
      <c r="EY98" s="88">
        <v>2448</v>
      </c>
      <c r="EZ98" s="88">
        <v>2339</v>
      </c>
      <c r="FA98" s="88">
        <v>2414</v>
      </c>
      <c r="FB98" s="88">
        <v>2449</v>
      </c>
      <c r="FC98" s="88">
        <v>2531</v>
      </c>
      <c r="FD98" s="88">
        <v>2600</v>
      </c>
      <c r="FE98" s="88">
        <v>2741</v>
      </c>
      <c r="FF98" s="88">
        <v>2691</v>
      </c>
      <c r="FG98" s="88">
        <v>2752</v>
      </c>
      <c r="FH98" s="88">
        <v>2730</v>
      </c>
      <c r="FI98" s="88">
        <v>2651</v>
      </c>
      <c r="FJ98" s="88">
        <v>2668</v>
      </c>
      <c r="FK98" s="88">
        <v>2603</v>
      </c>
      <c r="FL98" s="88">
        <v>2551</v>
      </c>
      <c r="FM98" s="88">
        <v>2508</v>
      </c>
      <c r="FN98" s="88">
        <v>2421</v>
      </c>
      <c r="FO98" s="88">
        <v>2315</v>
      </c>
      <c r="FP98" s="88">
        <v>2251</v>
      </c>
      <c r="FQ98" s="88">
        <v>2245</v>
      </c>
      <c r="FR98" s="88">
        <v>2231</v>
      </c>
      <c r="FS98" s="88">
        <v>2221</v>
      </c>
      <c r="FT98" s="88">
        <v>2271</v>
      </c>
      <c r="FU98" s="88">
        <v>2246</v>
      </c>
      <c r="FV98" s="88">
        <v>2508</v>
      </c>
      <c r="FW98" s="88">
        <v>2534</v>
      </c>
      <c r="FX98" s="88">
        <v>1905</v>
      </c>
      <c r="FY98" s="88">
        <v>1798</v>
      </c>
      <c r="FZ98" s="88">
        <v>1688</v>
      </c>
      <c r="GA98" s="88">
        <v>1600</v>
      </c>
      <c r="GB98" s="88">
        <v>1310</v>
      </c>
      <c r="GC98" s="88">
        <v>1169</v>
      </c>
      <c r="GD98" s="88">
        <v>1208</v>
      </c>
      <c r="GE98" s="88">
        <v>1144</v>
      </c>
      <c r="GF98" s="88">
        <v>1057</v>
      </c>
      <c r="GG98" s="88">
        <v>1028</v>
      </c>
      <c r="GH98" s="88">
        <v>886</v>
      </c>
      <c r="GI98" s="88">
        <v>779</v>
      </c>
      <c r="GJ98" s="88">
        <v>640</v>
      </c>
      <c r="GK98" s="88">
        <v>555</v>
      </c>
      <c r="GL98" s="89">
        <v>2406</v>
      </c>
    </row>
    <row r="99" spans="1:194" s="1" customFormat="1" x14ac:dyDescent="0.2">
      <c r="A99" s="90" t="s">
        <v>94</v>
      </c>
      <c r="B99" s="146" t="s">
        <v>184</v>
      </c>
      <c r="C99" s="30" t="str">
        <f t="shared" si="14"/>
        <v xml:space="preserve">England – CCGs - Nottingham and Nottinghamshire </v>
      </c>
      <c r="D99" s="51">
        <f t="shared" si="13"/>
        <v>440930</v>
      </c>
      <c r="E99" s="51">
        <f t="shared" si="13"/>
        <v>463502</v>
      </c>
      <c r="F99" s="52">
        <f t="shared" si="17"/>
        <v>1043323</v>
      </c>
      <c r="G99" s="52">
        <f t="shared" si="18"/>
        <v>511972</v>
      </c>
      <c r="H99" s="52">
        <f t="shared" si="19"/>
        <v>531351</v>
      </c>
      <c r="I99" s="697">
        <f t="shared" si="15"/>
        <v>440930</v>
      </c>
      <c r="J99" s="53">
        <f t="shared" si="16"/>
        <v>463502</v>
      </c>
      <c r="K99" s="50">
        <f t="shared" si="20"/>
        <v>107393</v>
      </c>
      <c r="L99" s="51">
        <f t="shared" si="21"/>
        <v>102348</v>
      </c>
      <c r="M99" s="87">
        <v>5149</v>
      </c>
      <c r="N99" s="87">
        <v>5276</v>
      </c>
      <c r="O99" s="87">
        <v>5518</v>
      </c>
      <c r="P99" s="87">
        <v>5640</v>
      </c>
      <c r="Q99" s="87">
        <v>5810</v>
      </c>
      <c r="R99" s="87">
        <v>5949</v>
      </c>
      <c r="S99" s="87">
        <v>6077</v>
      </c>
      <c r="T99" s="87">
        <v>6153</v>
      </c>
      <c r="U99" s="87">
        <v>6136</v>
      </c>
      <c r="V99" s="87">
        <v>6241</v>
      </c>
      <c r="W99" s="87">
        <v>6560</v>
      </c>
      <c r="X99" s="87">
        <v>6533</v>
      </c>
      <c r="Y99" s="87">
        <v>6310</v>
      </c>
      <c r="Z99" s="87">
        <v>6222</v>
      </c>
      <c r="AA99" s="87">
        <v>6248</v>
      </c>
      <c r="AB99" s="87">
        <v>5976</v>
      </c>
      <c r="AC99" s="87">
        <v>5892</v>
      </c>
      <c r="AD99" s="87">
        <v>5703</v>
      </c>
      <c r="AE99" s="87">
        <v>6503</v>
      </c>
      <c r="AF99" s="87">
        <v>10704</v>
      </c>
      <c r="AG99" s="87">
        <v>10916</v>
      </c>
      <c r="AH99" s="87">
        <v>9745</v>
      </c>
      <c r="AI99" s="87">
        <v>8061</v>
      </c>
      <c r="AJ99" s="87">
        <v>6703</v>
      </c>
      <c r="AK99" s="87">
        <v>6269</v>
      </c>
      <c r="AL99" s="87">
        <v>6369</v>
      </c>
      <c r="AM99" s="87">
        <v>6398</v>
      </c>
      <c r="AN99" s="87">
        <v>6317</v>
      </c>
      <c r="AO99" s="87">
        <v>6599</v>
      </c>
      <c r="AP99" s="87">
        <v>6623</v>
      </c>
      <c r="AQ99" s="87">
        <v>6775</v>
      </c>
      <c r="AR99" s="87">
        <v>6988</v>
      </c>
      <c r="AS99" s="87">
        <v>6931</v>
      </c>
      <c r="AT99" s="87">
        <v>6676</v>
      </c>
      <c r="AU99" s="87">
        <v>6968</v>
      </c>
      <c r="AV99" s="87">
        <v>6508</v>
      </c>
      <c r="AW99" s="87">
        <v>6809</v>
      </c>
      <c r="AX99" s="87">
        <v>6743</v>
      </c>
      <c r="AY99" s="87">
        <v>6438</v>
      </c>
      <c r="AZ99" s="87">
        <v>6431</v>
      </c>
      <c r="BA99" s="87">
        <v>6155</v>
      </c>
      <c r="BB99" s="87">
        <v>6318</v>
      </c>
      <c r="BC99" s="87">
        <v>6405</v>
      </c>
      <c r="BD99" s="87">
        <v>6072</v>
      </c>
      <c r="BE99" s="87">
        <v>5701</v>
      </c>
      <c r="BF99" s="87">
        <v>5717</v>
      </c>
      <c r="BG99" s="87">
        <v>5742</v>
      </c>
      <c r="BH99" s="87">
        <v>5873</v>
      </c>
      <c r="BI99" s="87">
        <v>5954</v>
      </c>
      <c r="BJ99" s="87">
        <v>6398</v>
      </c>
      <c r="BK99" s="87">
        <v>6668</v>
      </c>
      <c r="BL99" s="87">
        <v>6936</v>
      </c>
      <c r="BM99" s="87">
        <v>6571</v>
      </c>
      <c r="BN99" s="87">
        <v>6938</v>
      </c>
      <c r="BO99" s="87">
        <v>6946</v>
      </c>
      <c r="BP99" s="87">
        <v>6946</v>
      </c>
      <c r="BQ99" s="87">
        <v>6960</v>
      </c>
      <c r="BR99" s="87">
        <v>6902</v>
      </c>
      <c r="BS99" s="87">
        <v>6593</v>
      </c>
      <c r="BT99" s="87">
        <v>6801</v>
      </c>
      <c r="BU99" s="87">
        <v>6402</v>
      </c>
      <c r="BV99" s="87">
        <v>6288</v>
      </c>
      <c r="BW99" s="87">
        <v>5945</v>
      </c>
      <c r="BX99" s="87">
        <v>5742</v>
      </c>
      <c r="BY99" s="87">
        <v>5488</v>
      </c>
      <c r="BZ99" s="87">
        <v>5300</v>
      </c>
      <c r="CA99" s="87">
        <v>5007</v>
      </c>
      <c r="CB99" s="87">
        <v>4723</v>
      </c>
      <c r="CC99" s="87">
        <v>4775</v>
      </c>
      <c r="CD99" s="87">
        <v>4617</v>
      </c>
      <c r="CE99" s="87">
        <v>4605</v>
      </c>
      <c r="CF99" s="87">
        <v>4701</v>
      </c>
      <c r="CG99" s="87">
        <v>4727</v>
      </c>
      <c r="CH99" s="87">
        <v>4596</v>
      </c>
      <c r="CI99" s="87">
        <v>4710</v>
      </c>
      <c r="CJ99" s="87">
        <v>5093</v>
      </c>
      <c r="CK99" s="87">
        <v>3813</v>
      </c>
      <c r="CL99" s="87">
        <v>3522</v>
      </c>
      <c r="CM99" s="87">
        <v>3608</v>
      </c>
      <c r="CN99" s="87">
        <v>3247</v>
      </c>
      <c r="CO99" s="87">
        <v>2622</v>
      </c>
      <c r="CP99" s="87">
        <v>2349</v>
      </c>
      <c r="CQ99" s="87">
        <v>2237</v>
      </c>
      <c r="CR99" s="87">
        <v>2099</v>
      </c>
      <c r="CS99" s="87">
        <v>1978</v>
      </c>
      <c r="CT99" s="87">
        <v>1702</v>
      </c>
      <c r="CU99" s="87">
        <v>1411</v>
      </c>
      <c r="CV99" s="87">
        <v>1285</v>
      </c>
      <c r="CW99" s="87">
        <v>1060</v>
      </c>
      <c r="CX99" s="87">
        <v>904</v>
      </c>
      <c r="CY99" s="87">
        <v>2953</v>
      </c>
      <c r="CZ99" s="88">
        <v>5165</v>
      </c>
      <c r="DA99" s="88">
        <v>4983</v>
      </c>
      <c r="DB99" s="88">
        <v>5198</v>
      </c>
      <c r="DC99" s="88">
        <v>5397</v>
      </c>
      <c r="DD99" s="88">
        <v>5276</v>
      </c>
      <c r="DE99" s="88">
        <v>5819</v>
      </c>
      <c r="DF99" s="88">
        <v>5917</v>
      </c>
      <c r="DG99" s="88">
        <v>5850</v>
      </c>
      <c r="DH99" s="88">
        <v>5817</v>
      </c>
      <c r="DI99" s="88">
        <v>6147</v>
      </c>
      <c r="DJ99" s="88">
        <v>6106</v>
      </c>
      <c r="DK99" s="88">
        <v>6174</v>
      </c>
      <c r="DL99" s="88">
        <v>6002</v>
      </c>
      <c r="DM99" s="88">
        <v>5931</v>
      </c>
      <c r="DN99" s="88">
        <v>5963</v>
      </c>
      <c r="DO99" s="88">
        <v>5602</v>
      </c>
      <c r="DP99" s="88">
        <v>5536</v>
      </c>
      <c r="DQ99" s="88">
        <v>5465</v>
      </c>
      <c r="DR99" s="88">
        <v>6260</v>
      </c>
      <c r="DS99" s="88">
        <v>10699</v>
      </c>
      <c r="DT99" s="88">
        <v>11060</v>
      </c>
      <c r="DU99" s="88">
        <v>10111</v>
      </c>
      <c r="DV99" s="88">
        <v>7875</v>
      </c>
      <c r="DW99" s="88">
        <v>6464</v>
      </c>
      <c r="DX99" s="88">
        <v>6278</v>
      </c>
      <c r="DY99" s="88">
        <v>6431</v>
      </c>
      <c r="DZ99" s="88">
        <v>6379</v>
      </c>
      <c r="EA99" s="88">
        <v>6565</v>
      </c>
      <c r="EB99" s="88">
        <v>6929</v>
      </c>
      <c r="EC99" s="88">
        <v>7008</v>
      </c>
      <c r="ED99" s="88">
        <v>7309</v>
      </c>
      <c r="EE99" s="88">
        <v>7241</v>
      </c>
      <c r="EF99" s="88">
        <v>7438</v>
      </c>
      <c r="EG99" s="88">
        <v>7261</v>
      </c>
      <c r="EH99" s="88">
        <v>7319</v>
      </c>
      <c r="EI99" s="88">
        <v>7421</v>
      </c>
      <c r="EJ99" s="88">
        <v>7017</v>
      </c>
      <c r="EK99" s="88">
        <v>7022</v>
      </c>
      <c r="EL99" s="88">
        <v>6718</v>
      </c>
      <c r="EM99" s="88">
        <v>6714</v>
      </c>
      <c r="EN99" s="88">
        <v>6490</v>
      </c>
      <c r="EO99" s="88">
        <v>6604</v>
      </c>
      <c r="EP99" s="88">
        <v>6693</v>
      </c>
      <c r="EQ99" s="88">
        <v>6212</v>
      </c>
      <c r="ER99" s="88">
        <v>5908</v>
      </c>
      <c r="ES99" s="88">
        <v>5658</v>
      </c>
      <c r="ET99" s="88">
        <v>5854</v>
      </c>
      <c r="EU99" s="88">
        <v>5939</v>
      </c>
      <c r="EV99" s="88">
        <v>6099</v>
      </c>
      <c r="EW99" s="88">
        <v>6443</v>
      </c>
      <c r="EX99" s="88">
        <v>6659</v>
      </c>
      <c r="EY99" s="88">
        <v>7037</v>
      </c>
      <c r="EZ99" s="88">
        <v>6806</v>
      </c>
      <c r="FA99" s="88">
        <v>7198</v>
      </c>
      <c r="FB99" s="88">
        <v>6989</v>
      </c>
      <c r="FC99" s="88">
        <v>7055</v>
      </c>
      <c r="FD99" s="88">
        <v>6929</v>
      </c>
      <c r="FE99" s="88">
        <v>7174</v>
      </c>
      <c r="FF99" s="88">
        <v>6982</v>
      </c>
      <c r="FG99" s="88">
        <v>6876</v>
      </c>
      <c r="FH99" s="88">
        <v>6710</v>
      </c>
      <c r="FI99" s="88">
        <v>6290</v>
      </c>
      <c r="FJ99" s="88">
        <v>6286</v>
      </c>
      <c r="FK99" s="88">
        <v>5992</v>
      </c>
      <c r="FL99" s="88">
        <v>5671</v>
      </c>
      <c r="FM99" s="88">
        <v>5328</v>
      </c>
      <c r="FN99" s="88">
        <v>5289</v>
      </c>
      <c r="FO99" s="88">
        <v>5041</v>
      </c>
      <c r="FP99" s="88">
        <v>5214</v>
      </c>
      <c r="FQ99" s="88">
        <v>4954</v>
      </c>
      <c r="FR99" s="88">
        <v>4898</v>
      </c>
      <c r="FS99" s="88">
        <v>4756</v>
      </c>
      <c r="FT99" s="88">
        <v>4888</v>
      </c>
      <c r="FU99" s="88">
        <v>4987</v>
      </c>
      <c r="FV99" s="88">
        <v>5294</v>
      </c>
      <c r="FW99" s="88">
        <v>5609</v>
      </c>
      <c r="FX99" s="88">
        <v>4227</v>
      </c>
      <c r="FY99" s="88">
        <v>4333</v>
      </c>
      <c r="FZ99" s="88">
        <v>4175</v>
      </c>
      <c r="GA99" s="88">
        <v>3703</v>
      </c>
      <c r="GB99" s="88">
        <v>3296</v>
      </c>
      <c r="GC99" s="88">
        <v>2858</v>
      </c>
      <c r="GD99" s="88">
        <v>2918</v>
      </c>
      <c r="GE99" s="88">
        <v>2831</v>
      </c>
      <c r="GF99" s="88">
        <v>2582</v>
      </c>
      <c r="GG99" s="88">
        <v>2338</v>
      </c>
      <c r="GH99" s="88">
        <v>2154</v>
      </c>
      <c r="GI99" s="88">
        <v>1906</v>
      </c>
      <c r="GJ99" s="88">
        <v>1661</v>
      </c>
      <c r="GK99" s="88">
        <v>1431</v>
      </c>
      <c r="GL99" s="89">
        <v>6259</v>
      </c>
    </row>
    <row r="100" spans="1:194" s="1" customFormat="1" x14ac:dyDescent="0.2">
      <c r="A100" s="90" t="s">
        <v>94</v>
      </c>
      <c r="B100" s="146" t="s">
        <v>185</v>
      </c>
      <c r="C100" s="30" t="str">
        <f t="shared" si="14"/>
        <v xml:space="preserve">England – CCGs - Oldham </v>
      </c>
      <c r="D100" s="51">
        <f t="shared" si="13"/>
        <v>98613</v>
      </c>
      <c r="E100" s="51">
        <f t="shared" si="13"/>
        <v>104493</v>
      </c>
      <c r="F100" s="52">
        <f t="shared" si="17"/>
        <v>243912</v>
      </c>
      <c r="G100" s="52">
        <f t="shared" si="18"/>
        <v>119371</v>
      </c>
      <c r="H100" s="52">
        <f t="shared" si="19"/>
        <v>124541</v>
      </c>
      <c r="I100" s="697">
        <f t="shared" si="15"/>
        <v>98613</v>
      </c>
      <c r="J100" s="53">
        <f t="shared" si="16"/>
        <v>104493</v>
      </c>
      <c r="K100" s="50">
        <f t="shared" si="20"/>
        <v>31770</v>
      </c>
      <c r="L100" s="51">
        <f t="shared" si="21"/>
        <v>30669</v>
      </c>
      <c r="M100" s="87">
        <v>1638</v>
      </c>
      <c r="N100" s="87">
        <v>1674</v>
      </c>
      <c r="O100" s="87">
        <v>1646</v>
      </c>
      <c r="P100" s="87">
        <v>1612</v>
      </c>
      <c r="Q100" s="87">
        <v>1694</v>
      </c>
      <c r="R100" s="87">
        <v>1766</v>
      </c>
      <c r="S100" s="87">
        <v>1809</v>
      </c>
      <c r="T100" s="87">
        <v>1791</v>
      </c>
      <c r="U100" s="87">
        <v>1708</v>
      </c>
      <c r="V100" s="87">
        <v>1902</v>
      </c>
      <c r="W100" s="87">
        <v>1707</v>
      </c>
      <c r="X100" s="87">
        <v>1811</v>
      </c>
      <c r="Y100" s="87">
        <v>1870</v>
      </c>
      <c r="Z100" s="87">
        <v>1822</v>
      </c>
      <c r="AA100" s="87">
        <v>1829</v>
      </c>
      <c r="AB100" s="87">
        <v>1810</v>
      </c>
      <c r="AC100" s="87">
        <v>1837</v>
      </c>
      <c r="AD100" s="87">
        <v>1844</v>
      </c>
      <c r="AE100" s="87">
        <v>1693</v>
      </c>
      <c r="AF100" s="87">
        <v>1419</v>
      </c>
      <c r="AG100" s="87">
        <v>1456</v>
      </c>
      <c r="AH100" s="87">
        <v>1377</v>
      </c>
      <c r="AI100" s="87">
        <v>1419</v>
      </c>
      <c r="AJ100" s="87">
        <v>1549</v>
      </c>
      <c r="AK100" s="87">
        <v>1449</v>
      </c>
      <c r="AL100" s="87">
        <v>1540</v>
      </c>
      <c r="AM100" s="87">
        <v>1403</v>
      </c>
      <c r="AN100" s="87">
        <v>1479</v>
      </c>
      <c r="AO100" s="87">
        <v>1437</v>
      </c>
      <c r="AP100" s="87">
        <v>1520</v>
      </c>
      <c r="AQ100" s="87">
        <v>1484</v>
      </c>
      <c r="AR100" s="87">
        <v>1482</v>
      </c>
      <c r="AS100" s="87">
        <v>1564</v>
      </c>
      <c r="AT100" s="87">
        <v>1567</v>
      </c>
      <c r="AU100" s="87">
        <v>1592</v>
      </c>
      <c r="AV100" s="87">
        <v>1529</v>
      </c>
      <c r="AW100" s="87">
        <v>1580</v>
      </c>
      <c r="AX100" s="87">
        <v>1643</v>
      </c>
      <c r="AY100" s="87">
        <v>1544</v>
      </c>
      <c r="AZ100" s="87">
        <v>1476</v>
      </c>
      <c r="BA100" s="87">
        <v>1518</v>
      </c>
      <c r="BB100" s="87">
        <v>1587</v>
      </c>
      <c r="BC100" s="87">
        <v>1542</v>
      </c>
      <c r="BD100" s="87">
        <v>1446</v>
      </c>
      <c r="BE100" s="87">
        <v>1364</v>
      </c>
      <c r="BF100" s="87">
        <v>1395</v>
      </c>
      <c r="BG100" s="87">
        <v>1455</v>
      </c>
      <c r="BH100" s="87">
        <v>1477</v>
      </c>
      <c r="BI100" s="87">
        <v>1408</v>
      </c>
      <c r="BJ100" s="87">
        <v>1424</v>
      </c>
      <c r="BK100" s="87">
        <v>1557</v>
      </c>
      <c r="BL100" s="87">
        <v>1606</v>
      </c>
      <c r="BM100" s="87">
        <v>1613</v>
      </c>
      <c r="BN100" s="87">
        <v>1657</v>
      </c>
      <c r="BO100" s="87">
        <v>1586</v>
      </c>
      <c r="BP100" s="87">
        <v>1552</v>
      </c>
      <c r="BQ100" s="87">
        <v>1539</v>
      </c>
      <c r="BR100" s="87">
        <v>1508</v>
      </c>
      <c r="BS100" s="87">
        <v>1493</v>
      </c>
      <c r="BT100" s="87">
        <v>1386</v>
      </c>
      <c r="BU100" s="87">
        <v>1358</v>
      </c>
      <c r="BV100" s="87">
        <v>1419</v>
      </c>
      <c r="BW100" s="87">
        <v>1263</v>
      </c>
      <c r="BX100" s="87">
        <v>1222</v>
      </c>
      <c r="BY100" s="87">
        <v>1152</v>
      </c>
      <c r="BZ100" s="87">
        <v>1131</v>
      </c>
      <c r="CA100" s="87">
        <v>1028</v>
      </c>
      <c r="CB100" s="87">
        <v>1019</v>
      </c>
      <c r="CC100" s="87">
        <v>1076</v>
      </c>
      <c r="CD100" s="87">
        <v>1024</v>
      </c>
      <c r="CE100" s="87">
        <v>1003</v>
      </c>
      <c r="CF100" s="87">
        <v>893</v>
      </c>
      <c r="CG100" s="87">
        <v>910</v>
      </c>
      <c r="CH100" s="87">
        <v>963</v>
      </c>
      <c r="CI100" s="87">
        <v>1017</v>
      </c>
      <c r="CJ100" s="87">
        <v>1072</v>
      </c>
      <c r="CK100" s="87">
        <v>704</v>
      </c>
      <c r="CL100" s="87">
        <v>681</v>
      </c>
      <c r="CM100" s="87">
        <v>764</v>
      </c>
      <c r="CN100" s="87">
        <v>625</v>
      </c>
      <c r="CO100" s="87">
        <v>524</v>
      </c>
      <c r="CP100" s="87">
        <v>468</v>
      </c>
      <c r="CQ100" s="87">
        <v>473</v>
      </c>
      <c r="CR100" s="87">
        <v>442</v>
      </c>
      <c r="CS100" s="87">
        <v>421</v>
      </c>
      <c r="CT100" s="87">
        <v>359</v>
      </c>
      <c r="CU100" s="87">
        <v>264</v>
      </c>
      <c r="CV100" s="87">
        <v>221</v>
      </c>
      <c r="CW100" s="87">
        <v>178</v>
      </c>
      <c r="CX100" s="87">
        <v>146</v>
      </c>
      <c r="CY100" s="87">
        <v>466</v>
      </c>
      <c r="CZ100" s="88">
        <v>1607</v>
      </c>
      <c r="DA100" s="88">
        <v>1443</v>
      </c>
      <c r="DB100" s="88">
        <v>1573</v>
      </c>
      <c r="DC100" s="88">
        <v>1643</v>
      </c>
      <c r="DD100" s="88">
        <v>1585</v>
      </c>
      <c r="DE100" s="88">
        <v>1653</v>
      </c>
      <c r="DF100" s="88">
        <v>1616</v>
      </c>
      <c r="DG100" s="88">
        <v>1787</v>
      </c>
      <c r="DH100" s="88">
        <v>1768</v>
      </c>
      <c r="DI100" s="88">
        <v>1781</v>
      </c>
      <c r="DJ100" s="88">
        <v>1787</v>
      </c>
      <c r="DK100" s="88">
        <v>1805</v>
      </c>
      <c r="DL100" s="88">
        <v>1843</v>
      </c>
      <c r="DM100" s="88">
        <v>1761</v>
      </c>
      <c r="DN100" s="88">
        <v>1800</v>
      </c>
      <c r="DO100" s="88">
        <v>1754</v>
      </c>
      <c r="DP100" s="88">
        <v>1724</v>
      </c>
      <c r="DQ100" s="88">
        <v>1739</v>
      </c>
      <c r="DR100" s="88">
        <v>1663</v>
      </c>
      <c r="DS100" s="88">
        <v>1217</v>
      </c>
      <c r="DT100" s="88">
        <v>1274</v>
      </c>
      <c r="DU100" s="88">
        <v>1372</v>
      </c>
      <c r="DV100" s="88">
        <v>1384</v>
      </c>
      <c r="DW100" s="88">
        <v>1514</v>
      </c>
      <c r="DX100" s="88">
        <v>1414</v>
      </c>
      <c r="DY100" s="88">
        <v>1515</v>
      </c>
      <c r="DZ100" s="88">
        <v>1479</v>
      </c>
      <c r="EA100" s="88">
        <v>1619</v>
      </c>
      <c r="EB100" s="88">
        <v>1627</v>
      </c>
      <c r="EC100" s="88">
        <v>1546</v>
      </c>
      <c r="ED100" s="88">
        <v>1554</v>
      </c>
      <c r="EE100" s="88">
        <v>1758</v>
      </c>
      <c r="EF100" s="88">
        <v>1906</v>
      </c>
      <c r="EG100" s="88">
        <v>1864</v>
      </c>
      <c r="EH100" s="88">
        <v>1817</v>
      </c>
      <c r="EI100" s="88">
        <v>1828</v>
      </c>
      <c r="EJ100" s="88">
        <v>1769</v>
      </c>
      <c r="EK100" s="88">
        <v>1765</v>
      </c>
      <c r="EL100" s="88">
        <v>1699</v>
      </c>
      <c r="EM100" s="88">
        <v>1735</v>
      </c>
      <c r="EN100" s="88">
        <v>1610</v>
      </c>
      <c r="EO100" s="88">
        <v>1672</v>
      </c>
      <c r="EP100" s="88">
        <v>1729</v>
      </c>
      <c r="EQ100" s="88">
        <v>1617</v>
      </c>
      <c r="ER100" s="88">
        <v>1460</v>
      </c>
      <c r="ES100" s="88">
        <v>1399</v>
      </c>
      <c r="ET100" s="88">
        <v>1400</v>
      </c>
      <c r="EU100" s="88">
        <v>1425</v>
      </c>
      <c r="EV100" s="88">
        <v>1388</v>
      </c>
      <c r="EW100" s="88">
        <v>1559</v>
      </c>
      <c r="EX100" s="88">
        <v>1560</v>
      </c>
      <c r="EY100" s="88">
        <v>1697</v>
      </c>
      <c r="EZ100" s="88">
        <v>1635</v>
      </c>
      <c r="FA100" s="88">
        <v>1520</v>
      </c>
      <c r="FB100" s="88">
        <v>1532</v>
      </c>
      <c r="FC100" s="88">
        <v>1469</v>
      </c>
      <c r="FD100" s="88">
        <v>1553</v>
      </c>
      <c r="FE100" s="88">
        <v>1608</v>
      </c>
      <c r="FF100" s="88">
        <v>1557</v>
      </c>
      <c r="FG100" s="88">
        <v>1360</v>
      </c>
      <c r="FH100" s="88">
        <v>1482</v>
      </c>
      <c r="FI100" s="88">
        <v>1369</v>
      </c>
      <c r="FJ100" s="88">
        <v>1428</v>
      </c>
      <c r="FK100" s="88">
        <v>1228</v>
      </c>
      <c r="FL100" s="88">
        <v>1142</v>
      </c>
      <c r="FM100" s="88">
        <v>1125</v>
      </c>
      <c r="FN100" s="88">
        <v>1188</v>
      </c>
      <c r="FO100" s="88">
        <v>1110</v>
      </c>
      <c r="FP100" s="88">
        <v>1038</v>
      </c>
      <c r="FQ100" s="88">
        <v>1080</v>
      </c>
      <c r="FR100" s="88">
        <v>1016</v>
      </c>
      <c r="FS100" s="88">
        <v>1013</v>
      </c>
      <c r="FT100" s="88">
        <v>1067</v>
      </c>
      <c r="FU100" s="88">
        <v>1010</v>
      </c>
      <c r="FV100" s="88">
        <v>1152</v>
      </c>
      <c r="FW100" s="88">
        <v>1193</v>
      </c>
      <c r="FX100" s="88">
        <v>894</v>
      </c>
      <c r="FY100" s="88">
        <v>837</v>
      </c>
      <c r="FZ100" s="88">
        <v>854</v>
      </c>
      <c r="GA100" s="88">
        <v>764</v>
      </c>
      <c r="GB100" s="88">
        <v>705</v>
      </c>
      <c r="GC100" s="88">
        <v>583</v>
      </c>
      <c r="GD100" s="88">
        <v>582</v>
      </c>
      <c r="GE100" s="88">
        <v>589</v>
      </c>
      <c r="GF100" s="88">
        <v>542</v>
      </c>
      <c r="GG100" s="88">
        <v>480</v>
      </c>
      <c r="GH100" s="88">
        <v>411</v>
      </c>
      <c r="GI100" s="88">
        <v>348</v>
      </c>
      <c r="GJ100" s="88">
        <v>324</v>
      </c>
      <c r="GK100" s="88">
        <v>243</v>
      </c>
      <c r="GL100" s="89">
        <v>1006</v>
      </c>
    </row>
    <row r="101" spans="1:194" s="1" customFormat="1" x14ac:dyDescent="0.2">
      <c r="A101" s="90" t="s">
        <v>94</v>
      </c>
      <c r="B101" s="146" t="s">
        <v>186</v>
      </c>
      <c r="C101" s="30" t="str">
        <f t="shared" si="14"/>
        <v xml:space="preserve">England – CCGs - Oxfordshire </v>
      </c>
      <c r="D101" s="51">
        <f t="shared" si="13"/>
        <v>307305</v>
      </c>
      <c r="E101" s="51">
        <f t="shared" si="13"/>
        <v>319064</v>
      </c>
      <c r="F101" s="52">
        <f t="shared" si="17"/>
        <v>721245</v>
      </c>
      <c r="G101" s="52">
        <f t="shared" si="18"/>
        <v>356252</v>
      </c>
      <c r="H101" s="52">
        <f t="shared" si="19"/>
        <v>364993</v>
      </c>
      <c r="I101" s="697">
        <f t="shared" si="15"/>
        <v>307305</v>
      </c>
      <c r="J101" s="53">
        <f t="shared" si="16"/>
        <v>319064</v>
      </c>
      <c r="K101" s="50">
        <f t="shared" si="20"/>
        <v>75041</v>
      </c>
      <c r="L101" s="51">
        <f t="shared" si="21"/>
        <v>70370</v>
      </c>
      <c r="M101" s="87">
        <v>3708</v>
      </c>
      <c r="N101" s="87">
        <v>3696</v>
      </c>
      <c r="O101" s="87">
        <v>3853</v>
      </c>
      <c r="P101" s="87">
        <v>3990</v>
      </c>
      <c r="Q101" s="87">
        <v>3943</v>
      </c>
      <c r="R101" s="87">
        <v>4039</v>
      </c>
      <c r="S101" s="87">
        <v>4200</v>
      </c>
      <c r="T101" s="87">
        <v>4085</v>
      </c>
      <c r="U101" s="87">
        <v>4172</v>
      </c>
      <c r="V101" s="87">
        <v>4240</v>
      </c>
      <c r="W101" s="87">
        <v>4382</v>
      </c>
      <c r="X101" s="87">
        <v>4639</v>
      </c>
      <c r="Y101" s="87">
        <v>4400</v>
      </c>
      <c r="Z101" s="87">
        <v>4368</v>
      </c>
      <c r="AA101" s="87">
        <v>4520</v>
      </c>
      <c r="AB101" s="87">
        <v>4390</v>
      </c>
      <c r="AC101" s="87">
        <v>4231</v>
      </c>
      <c r="AD101" s="87">
        <v>4185</v>
      </c>
      <c r="AE101" s="87">
        <v>4438</v>
      </c>
      <c r="AF101" s="87">
        <v>5248</v>
      </c>
      <c r="AG101" s="87">
        <v>5474</v>
      </c>
      <c r="AH101" s="87">
        <v>4894</v>
      </c>
      <c r="AI101" s="87">
        <v>4844</v>
      </c>
      <c r="AJ101" s="87">
        <v>4796</v>
      </c>
      <c r="AK101" s="87">
        <v>5044</v>
      </c>
      <c r="AL101" s="87">
        <v>4901</v>
      </c>
      <c r="AM101" s="87">
        <v>4714</v>
      </c>
      <c r="AN101" s="87">
        <v>4822</v>
      </c>
      <c r="AO101" s="87">
        <v>4897</v>
      </c>
      <c r="AP101" s="87">
        <v>4961</v>
      </c>
      <c r="AQ101" s="87">
        <v>5252</v>
      </c>
      <c r="AR101" s="87">
        <v>5083</v>
      </c>
      <c r="AS101" s="87">
        <v>5153</v>
      </c>
      <c r="AT101" s="87">
        <v>5033</v>
      </c>
      <c r="AU101" s="87">
        <v>5128</v>
      </c>
      <c r="AV101" s="87">
        <v>5007</v>
      </c>
      <c r="AW101" s="87">
        <v>4905</v>
      </c>
      <c r="AX101" s="87">
        <v>4857</v>
      </c>
      <c r="AY101" s="87">
        <v>4692</v>
      </c>
      <c r="AZ101" s="87">
        <v>4882</v>
      </c>
      <c r="BA101" s="87">
        <v>4672</v>
      </c>
      <c r="BB101" s="87">
        <v>4702</v>
      </c>
      <c r="BC101" s="87">
        <v>4859</v>
      </c>
      <c r="BD101" s="87">
        <v>4558</v>
      </c>
      <c r="BE101" s="87">
        <v>4295</v>
      </c>
      <c r="BF101" s="87">
        <v>4300</v>
      </c>
      <c r="BG101" s="87">
        <v>4252</v>
      </c>
      <c r="BH101" s="87">
        <v>4384</v>
      </c>
      <c r="BI101" s="87">
        <v>4403</v>
      </c>
      <c r="BJ101" s="87">
        <v>4547</v>
      </c>
      <c r="BK101" s="87">
        <v>4620</v>
      </c>
      <c r="BL101" s="87">
        <v>4684</v>
      </c>
      <c r="BM101" s="87">
        <v>4673</v>
      </c>
      <c r="BN101" s="87">
        <v>4694</v>
      </c>
      <c r="BO101" s="87">
        <v>4835</v>
      </c>
      <c r="BP101" s="87">
        <v>4861</v>
      </c>
      <c r="BQ101" s="87">
        <v>4844</v>
      </c>
      <c r="BR101" s="87">
        <v>4764</v>
      </c>
      <c r="BS101" s="87">
        <v>4732</v>
      </c>
      <c r="BT101" s="87">
        <v>4689</v>
      </c>
      <c r="BU101" s="87">
        <v>4413</v>
      </c>
      <c r="BV101" s="87">
        <v>4178</v>
      </c>
      <c r="BW101" s="87">
        <v>4000</v>
      </c>
      <c r="BX101" s="87">
        <v>3714</v>
      </c>
      <c r="BY101" s="87">
        <v>3750</v>
      </c>
      <c r="BZ101" s="87">
        <v>3571</v>
      </c>
      <c r="CA101" s="87">
        <v>3378</v>
      </c>
      <c r="CB101" s="87">
        <v>3182</v>
      </c>
      <c r="CC101" s="87">
        <v>3117</v>
      </c>
      <c r="CD101" s="87">
        <v>3115</v>
      </c>
      <c r="CE101" s="87">
        <v>2902</v>
      </c>
      <c r="CF101" s="87">
        <v>3027</v>
      </c>
      <c r="CG101" s="87">
        <v>3016</v>
      </c>
      <c r="CH101" s="87">
        <v>3066</v>
      </c>
      <c r="CI101" s="87">
        <v>3238</v>
      </c>
      <c r="CJ101" s="87">
        <v>3350</v>
      </c>
      <c r="CK101" s="87">
        <v>2505</v>
      </c>
      <c r="CL101" s="87">
        <v>2481</v>
      </c>
      <c r="CM101" s="87">
        <v>2367</v>
      </c>
      <c r="CN101" s="87">
        <v>2121</v>
      </c>
      <c r="CO101" s="87">
        <v>1899</v>
      </c>
      <c r="CP101" s="87">
        <v>1554</v>
      </c>
      <c r="CQ101" s="87">
        <v>1612</v>
      </c>
      <c r="CR101" s="87">
        <v>1534</v>
      </c>
      <c r="CS101" s="87">
        <v>1367</v>
      </c>
      <c r="CT101" s="87">
        <v>1278</v>
      </c>
      <c r="CU101" s="87">
        <v>1178</v>
      </c>
      <c r="CV101" s="87">
        <v>1001</v>
      </c>
      <c r="CW101" s="87">
        <v>860</v>
      </c>
      <c r="CX101" s="87">
        <v>658</v>
      </c>
      <c r="CY101" s="87">
        <v>2386</v>
      </c>
      <c r="CZ101" s="88">
        <v>3606</v>
      </c>
      <c r="DA101" s="88">
        <v>3488</v>
      </c>
      <c r="DB101" s="88">
        <v>3638</v>
      </c>
      <c r="DC101" s="88">
        <v>3680</v>
      </c>
      <c r="DD101" s="88">
        <v>3733</v>
      </c>
      <c r="DE101" s="88">
        <v>3861</v>
      </c>
      <c r="DF101" s="88">
        <v>3832</v>
      </c>
      <c r="DG101" s="88">
        <v>3950</v>
      </c>
      <c r="DH101" s="88">
        <v>3776</v>
      </c>
      <c r="DI101" s="88">
        <v>4001</v>
      </c>
      <c r="DJ101" s="88">
        <v>4147</v>
      </c>
      <c r="DK101" s="88">
        <v>4217</v>
      </c>
      <c r="DL101" s="88">
        <v>4039</v>
      </c>
      <c r="DM101" s="88">
        <v>4038</v>
      </c>
      <c r="DN101" s="88">
        <v>4278</v>
      </c>
      <c r="DO101" s="88">
        <v>4122</v>
      </c>
      <c r="DP101" s="88">
        <v>3940</v>
      </c>
      <c r="DQ101" s="88">
        <v>4024</v>
      </c>
      <c r="DR101" s="88">
        <v>4032</v>
      </c>
      <c r="DS101" s="88">
        <v>4926</v>
      </c>
      <c r="DT101" s="88">
        <v>5509</v>
      </c>
      <c r="DU101" s="88">
        <v>4944</v>
      </c>
      <c r="DV101" s="88">
        <v>4380</v>
      </c>
      <c r="DW101" s="88">
        <v>4484</v>
      </c>
      <c r="DX101" s="88">
        <v>4425</v>
      </c>
      <c r="DY101" s="88">
        <v>4570</v>
      </c>
      <c r="DZ101" s="88">
        <v>4651</v>
      </c>
      <c r="EA101" s="88">
        <v>4790</v>
      </c>
      <c r="EB101" s="88">
        <v>4988</v>
      </c>
      <c r="EC101" s="88">
        <v>4999</v>
      </c>
      <c r="ED101" s="88">
        <v>5101</v>
      </c>
      <c r="EE101" s="88">
        <v>5278</v>
      </c>
      <c r="EF101" s="88">
        <v>5166</v>
      </c>
      <c r="EG101" s="88">
        <v>5088</v>
      </c>
      <c r="EH101" s="88">
        <v>5106</v>
      </c>
      <c r="EI101" s="88">
        <v>5214</v>
      </c>
      <c r="EJ101" s="88">
        <v>5157</v>
      </c>
      <c r="EK101" s="88">
        <v>4974</v>
      </c>
      <c r="EL101" s="88">
        <v>5101</v>
      </c>
      <c r="EM101" s="88">
        <v>4926</v>
      </c>
      <c r="EN101" s="88">
        <v>4783</v>
      </c>
      <c r="EO101" s="88">
        <v>4915</v>
      </c>
      <c r="EP101" s="88">
        <v>4808</v>
      </c>
      <c r="EQ101" s="88">
        <v>4894</v>
      </c>
      <c r="ER101" s="88">
        <v>4343</v>
      </c>
      <c r="ES101" s="88">
        <v>4375</v>
      </c>
      <c r="ET101" s="88">
        <v>4185</v>
      </c>
      <c r="EU101" s="88">
        <v>4466</v>
      </c>
      <c r="EV101" s="88">
        <v>4600</v>
      </c>
      <c r="EW101" s="88">
        <v>4728</v>
      </c>
      <c r="EX101" s="88">
        <v>4859</v>
      </c>
      <c r="EY101" s="88">
        <v>4893</v>
      </c>
      <c r="EZ101" s="88">
        <v>5015</v>
      </c>
      <c r="FA101" s="88">
        <v>4958</v>
      </c>
      <c r="FB101" s="88">
        <v>4914</v>
      </c>
      <c r="FC101" s="88">
        <v>4955</v>
      </c>
      <c r="FD101" s="88">
        <v>4973</v>
      </c>
      <c r="FE101" s="88">
        <v>4969</v>
      </c>
      <c r="FF101" s="88">
        <v>4737</v>
      </c>
      <c r="FG101" s="88">
        <v>4678</v>
      </c>
      <c r="FH101" s="88">
        <v>4571</v>
      </c>
      <c r="FI101" s="88">
        <v>4302</v>
      </c>
      <c r="FJ101" s="88">
        <v>4228</v>
      </c>
      <c r="FK101" s="88">
        <v>3956</v>
      </c>
      <c r="FL101" s="88">
        <v>3877</v>
      </c>
      <c r="FM101" s="88">
        <v>3597</v>
      </c>
      <c r="FN101" s="88">
        <v>3491</v>
      </c>
      <c r="FO101" s="88">
        <v>3356</v>
      </c>
      <c r="FP101" s="88">
        <v>3431</v>
      </c>
      <c r="FQ101" s="88">
        <v>3384</v>
      </c>
      <c r="FR101" s="88">
        <v>3218</v>
      </c>
      <c r="FS101" s="88">
        <v>3260</v>
      </c>
      <c r="FT101" s="88">
        <v>3359</v>
      </c>
      <c r="FU101" s="88">
        <v>3413</v>
      </c>
      <c r="FV101" s="88">
        <v>3531</v>
      </c>
      <c r="FW101" s="88">
        <v>3692</v>
      </c>
      <c r="FX101" s="88">
        <v>2890</v>
      </c>
      <c r="FY101" s="88">
        <v>2886</v>
      </c>
      <c r="FZ101" s="88">
        <v>2932</v>
      </c>
      <c r="GA101" s="88">
        <v>2716</v>
      </c>
      <c r="GB101" s="88">
        <v>2250</v>
      </c>
      <c r="GC101" s="88">
        <v>1999</v>
      </c>
      <c r="GD101" s="88">
        <v>2044</v>
      </c>
      <c r="GE101" s="88">
        <v>1981</v>
      </c>
      <c r="GF101" s="88">
        <v>1811</v>
      </c>
      <c r="GG101" s="88">
        <v>1657</v>
      </c>
      <c r="GH101" s="88">
        <v>1484</v>
      </c>
      <c r="GI101" s="88">
        <v>1401</v>
      </c>
      <c r="GJ101" s="88">
        <v>1240</v>
      </c>
      <c r="GK101" s="88">
        <v>1056</v>
      </c>
      <c r="GL101" s="89">
        <v>4753</v>
      </c>
    </row>
    <row r="102" spans="1:194" s="1" customFormat="1" x14ac:dyDescent="0.2">
      <c r="A102" s="90" t="s">
        <v>94</v>
      </c>
      <c r="B102" s="146" t="s">
        <v>187</v>
      </c>
      <c r="C102" s="30" t="str">
        <f t="shared" si="14"/>
        <v xml:space="preserve">England – CCGs - Portsmouth </v>
      </c>
      <c r="D102" s="51">
        <f t="shared" si="13"/>
        <v>89417</v>
      </c>
      <c r="E102" s="51">
        <f t="shared" si="13"/>
        <v>90745</v>
      </c>
      <c r="F102" s="52">
        <f t="shared" si="17"/>
        <v>208420</v>
      </c>
      <c r="G102" s="52">
        <f t="shared" si="18"/>
        <v>103763</v>
      </c>
      <c r="H102" s="52">
        <f t="shared" si="19"/>
        <v>104657</v>
      </c>
      <c r="I102" s="697">
        <f t="shared" si="15"/>
        <v>89417</v>
      </c>
      <c r="J102" s="53">
        <f t="shared" si="16"/>
        <v>90745</v>
      </c>
      <c r="K102" s="50">
        <f t="shared" si="20"/>
        <v>21499</v>
      </c>
      <c r="L102" s="51">
        <f t="shared" si="21"/>
        <v>20549</v>
      </c>
      <c r="M102" s="87">
        <v>1102</v>
      </c>
      <c r="N102" s="87">
        <v>1147</v>
      </c>
      <c r="O102" s="87">
        <v>1221</v>
      </c>
      <c r="P102" s="87">
        <v>1104</v>
      </c>
      <c r="Q102" s="87">
        <v>1148</v>
      </c>
      <c r="R102" s="87">
        <v>1158</v>
      </c>
      <c r="S102" s="87">
        <v>1247</v>
      </c>
      <c r="T102" s="87">
        <v>1261</v>
      </c>
      <c r="U102" s="87">
        <v>1272</v>
      </c>
      <c r="V102" s="87">
        <v>1252</v>
      </c>
      <c r="W102" s="87">
        <v>1229</v>
      </c>
      <c r="X102" s="87">
        <v>1205</v>
      </c>
      <c r="Y102" s="87">
        <v>1246</v>
      </c>
      <c r="Z102" s="87">
        <v>1281</v>
      </c>
      <c r="AA102" s="87">
        <v>1166</v>
      </c>
      <c r="AB102" s="87">
        <v>1185</v>
      </c>
      <c r="AC102" s="87">
        <v>1119</v>
      </c>
      <c r="AD102" s="87">
        <v>1156</v>
      </c>
      <c r="AE102" s="87">
        <v>1266</v>
      </c>
      <c r="AF102" s="87">
        <v>2265</v>
      </c>
      <c r="AG102" s="87">
        <v>2818</v>
      </c>
      <c r="AH102" s="87">
        <v>2717</v>
      </c>
      <c r="AI102" s="87">
        <v>2215</v>
      </c>
      <c r="AJ102" s="87">
        <v>1561</v>
      </c>
      <c r="AK102" s="87">
        <v>1446</v>
      </c>
      <c r="AL102" s="87">
        <v>1432</v>
      </c>
      <c r="AM102" s="87">
        <v>1447</v>
      </c>
      <c r="AN102" s="87">
        <v>1515</v>
      </c>
      <c r="AO102" s="87">
        <v>1528</v>
      </c>
      <c r="AP102" s="87">
        <v>1564</v>
      </c>
      <c r="AQ102" s="87">
        <v>1618</v>
      </c>
      <c r="AR102" s="87">
        <v>1548</v>
      </c>
      <c r="AS102" s="87">
        <v>1525</v>
      </c>
      <c r="AT102" s="87">
        <v>1499</v>
      </c>
      <c r="AU102" s="87">
        <v>1531</v>
      </c>
      <c r="AV102" s="87">
        <v>1588</v>
      </c>
      <c r="AW102" s="87">
        <v>1605</v>
      </c>
      <c r="AX102" s="87">
        <v>1568</v>
      </c>
      <c r="AY102" s="87">
        <v>1401</v>
      </c>
      <c r="AZ102" s="87">
        <v>1465</v>
      </c>
      <c r="BA102" s="87">
        <v>1436</v>
      </c>
      <c r="BB102" s="87">
        <v>1361</v>
      </c>
      <c r="BC102" s="87">
        <v>1404</v>
      </c>
      <c r="BD102" s="87">
        <v>1199</v>
      </c>
      <c r="BE102" s="87">
        <v>1245</v>
      </c>
      <c r="BF102" s="87">
        <v>1151</v>
      </c>
      <c r="BG102" s="87">
        <v>1161</v>
      </c>
      <c r="BH102" s="87">
        <v>1187</v>
      </c>
      <c r="BI102" s="87">
        <v>1197</v>
      </c>
      <c r="BJ102" s="87">
        <v>1245</v>
      </c>
      <c r="BK102" s="87">
        <v>1314</v>
      </c>
      <c r="BL102" s="87">
        <v>1339</v>
      </c>
      <c r="BM102" s="87">
        <v>1303</v>
      </c>
      <c r="BN102" s="87">
        <v>1301</v>
      </c>
      <c r="BO102" s="87">
        <v>1309</v>
      </c>
      <c r="BP102" s="87">
        <v>1289</v>
      </c>
      <c r="BQ102" s="87">
        <v>1260</v>
      </c>
      <c r="BR102" s="87">
        <v>1270</v>
      </c>
      <c r="BS102" s="87">
        <v>1267</v>
      </c>
      <c r="BT102" s="87">
        <v>1252</v>
      </c>
      <c r="BU102" s="87">
        <v>1187</v>
      </c>
      <c r="BV102" s="87">
        <v>1214</v>
      </c>
      <c r="BW102" s="87">
        <v>1078</v>
      </c>
      <c r="BX102" s="87">
        <v>1030</v>
      </c>
      <c r="BY102" s="87">
        <v>997</v>
      </c>
      <c r="BZ102" s="87">
        <v>917</v>
      </c>
      <c r="CA102" s="87">
        <v>903</v>
      </c>
      <c r="CB102" s="87">
        <v>805</v>
      </c>
      <c r="CC102" s="87">
        <v>755</v>
      </c>
      <c r="CD102" s="87">
        <v>757</v>
      </c>
      <c r="CE102" s="87">
        <v>752</v>
      </c>
      <c r="CF102" s="87">
        <v>723</v>
      </c>
      <c r="CG102" s="87">
        <v>762</v>
      </c>
      <c r="CH102" s="87">
        <v>714</v>
      </c>
      <c r="CI102" s="87">
        <v>766</v>
      </c>
      <c r="CJ102" s="87">
        <v>883</v>
      </c>
      <c r="CK102" s="87">
        <v>627</v>
      </c>
      <c r="CL102" s="87">
        <v>592</v>
      </c>
      <c r="CM102" s="87">
        <v>532</v>
      </c>
      <c r="CN102" s="87">
        <v>470</v>
      </c>
      <c r="CO102" s="87">
        <v>389</v>
      </c>
      <c r="CP102" s="87">
        <v>338</v>
      </c>
      <c r="CQ102" s="87">
        <v>333</v>
      </c>
      <c r="CR102" s="87">
        <v>315</v>
      </c>
      <c r="CS102" s="87">
        <v>313</v>
      </c>
      <c r="CT102" s="87">
        <v>242</v>
      </c>
      <c r="CU102" s="87">
        <v>244</v>
      </c>
      <c r="CV102" s="87">
        <v>215</v>
      </c>
      <c r="CW102" s="87">
        <v>203</v>
      </c>
      <c r="CX102" s="87">
        <v>124</v>
      </c>
      <c r="CY102" s="87">
        <v>472</v>
      </c>
      <c r="CZ102" s="88">
        <v>1013</v>
      </c>
      <c r="DA102" s="88">
        <v>1151</v>
      </c>
      <c r="DB102" s="88">
        <v>1137</v>
      </c>
      <c r="DC102" s="88">
        <v>1142</v>
      </c>
      <c r="DD102" s="88">
        <v>1108</v>
      </c>
      <c r="DE102" s="88">
        <v>1148</v>
      </c>
      <c r="DF102" s="88">
        <v>1204</v>
      </c>
      <c r="DG102" s="88">
        <v>1205</v>
      </c>
      <c r="DH102" s="88">
        <v>1173</v>
      </c>
      <c r="DI102" s="88">
        <v>1210</v>
      </c>
      <c r="DJ102" s="88">
        <v>1210</v>
      </c>
      <c r="DK102" s="88">
        <v>1211</v>
      </c>
      <c r="DL102" s="88">
        <v>1190</v>
      </c>
      <c r="DM102" s="88">
        <v>1093</v>
      </c>
      <c r="DN102" s="88">
        <v>1171</v>
      </c>
      <c r="DO102" s="88">
        <v>1073</v>
      </c>
      <c r="DP102" s="88">
        <v>1040</v>
      </c>
      <c r="DQ102" s="88">
        <v>1070</v>
      </c>
      <c r="DR102" s="88">
        <v>1268</v>
      </c>
      <c r="DS102" s="88">
        <v>2007</v>
      </c>
      <c r="DT102" s="88">
        <v>2330</v>
      </c>
      <c r="DU102" s="88">
        <v>2439</v>
      </c>
      <c r="DV102" s="88">
        <v>1868</v>
      </c>
      <c r="DW102" s="88">
        <v>1475</v>
      </c>
      <c r="DX102" s="88">
        <v>1262</v>
      </c>
      <c r="DY102" s="88">
        <v>1488</v>
      </c>
      <c r="DZ102" s="88">
        <v>1313</v>
      </c>
      <c r="EA102" s="88">
        <v>1513</v>
      </c>
      <c r="EB102" s="88">
        <v>1586</v>
      </c>
      <c r="EC102" s="88">
        <v>1577</v>
      </c>
      <c r="ED102" s="88">
        <v>1630</v>
      </c>
      <c r="EE102" s="88">
        <v>1690</v>
      </c>
      <c r="EF102" s="88">
        <v>1635</v>
      </c>
      <c r="EG102" s="88">
        <v>1629</v>
      </c>
      <c r="EH102" s="88">
        <v>1752</v>
      </c>
      <c r="EI102" s="88">
        <v>1600</v>
      </c>
      <c r="EJ102" s="88">
        <v>1678</v>
      </c>
      <c r="EK102" s="88">
        <v>1560</v>
      </c>
      <c r="EL102" s="88">
        <v>1490</v>
      </c>
      <c r="EM102" s="88">
        <v>1503</v>
      </c>
      <c r="EN102" s="88">
        <v>1396</v>
      </c>
      <c r="EO102" s="88">
        <v>1328</v>
      </c>
      <c r="EP102" s="88">
        <v>1300</v>
      </c>
      <c r="EQ102" s="88">
        <v>1277</v>
      </c>
      <c r="ER102" s="88">
        <v>1165</v>
      </c>
      <c r="ES102" s="88">
        <v>1110</v>
      </c>
      <c r="ET102" s="88">
        <v>1190</v>
      </c>
      <c r="EU102" s="88">
        <v>1158</v>
      </c>
      <c r="EV102" s="88">
        <v>1158</v>
      </c>
      <c r="EW102" s="88">
        <v>1172</v>
      </c>
      <c r="EX102" s="88">
        <v>1265</v>
      </c>
      <c r="EY102" s="88">
        <v>1333</v>
      </c>
      <c r="EZ102" s="88">
        <v>1329</v>
      </c>
      <c r="FA102" s="88">
        <v>1260</v>
      </c>
      <c r="FB102" s="88">
        <v>1329</v>
      </c>
      <c r="FC102" s="88">
        <v>1338</v>
      </c>
      <c r="FD102" s="88">
        <v>1366</v>
      </c>
      <c r="FE102" s="88">
        <v>1329</v>
      </c>
      <c r="FF102" s="88">
        <v>1218</v>
      </c>
      <c r="FG102" s="88">
        <v>1272</v>
      </c>
      <c r="FH102" s="88">
        <v>1195</v>
      </c>
      <c r="FI102" s="88">
        <v>1113</v>
      </c>
      <c r="FJ102" s="88">
        <v>1051</v>
      </c>
      <c r="FK102" s="88">
        <v>1037</v>
      </c>
      <c r="FL102" s="88">
        <v>975</v>
      </c>
      <c r="FM102" s="88">
        <v>947</v>
      </c>
      <c r="FN102" s="88">
        <v>922</v>
      </c>
      <c r="FO102" s="88">
        <v>920</v>
      </c>
      <c r="FP102" s="88">
        <v>859</v>
      </c>
      <c r="FQ102" s="88">
        <v>805</v>
      </c>
      <c r="FR102" s="88">
        <v>795</v>
      </c>
      <c r="FS102" s="88">
        <v>756</v>
      </c>
      <c r="FT102" s="88">
        <v>783</v>
      </c>
      <c r="FU102" s="88">
        <v>793</v>
      </c>
      <c r="FV102" s="88">
        <v>845</v>
      </c>
      <c r="FW102" s="88">
        <v>957</v>
      </c>
      <c r="FX102" s="88">
        <v>702</v>
      </c>
      <c r="FY102" s="88">
        <v>683</v>
      </c>
      <c r="FZ102" s="88">
        <v>575</v>
      </c>
      <c r="GA102" s="88">
        <v>599</v>
      </c>
      <c r="GB102" s="88">
        <v>571</v>
      </c>
      <c r="GC102" s="88">
        <v>443</v>
      </c>
      <c r="GD102" s="88">
        <v>492</v>
      </c>
      <c r="GE102" s="88">
        <v>478</v>
      </c>
      <c r="GF102" s="88">
        <v>453</v>
      </c>
      <c r="GG102" s="88">
        <v>408</v>
      </c>
      <c r="GH102" s="88">
        <v>352</v>
      </c>
      <c r="GI102" s="88">
        <v>358</v>
      </c>
      <c r="GJ102" s="88">
        <v>302</v>
      </c>
      <c r="GK102" s="88">
        <v>266</v>
      </c>
      <c r="GL102" s="89">
        <v>1087</v>
      </c>
    </row>
    <row r="103" spans="1:194" s="1" customFormat="1" x14ac:dyDescent="0.2">
      <c r="A103" s="90" t="s">
        <v>94</v>
      </c>
      <c r="B103" s="146" t="s">
        <v>188</v>
      </c>
      <c r="C103" s="30" t="str">
        <f t="shared" si="14"/>
        <v xml:space="preserve">England – CCGs - Rotherham </v>
      </c>
      <c r="D103" s="51">
        <f t="shared" si="13"/>
        <v>112571</v>
      </c>
      <c r="E103" s="51">
        <f t="shared" si="13"/>
        <v>118164</v>
      </c>
      <c r="F103" s="52">
        <f t="shared" si="17"/>
        <v>268354</v>
      </c>
      <c r="G103" s="52">
        <f t="shared" si="18"/>
        <v>131784</v>
      </c>
      <c r="H103" s="52">
        <f t="shared" si="19"/>
        <v>136570</v>
      </c>
      <c r="I103" s="697">
        <f t="shared" si="15"/>
        <v>112571</v>
      </c>
      <c r="J103" s="53">
        <f t="shared" si="16"/>
        <v>118164</v>
      </c>
      <c r="K103" s="50">
        <f t="shared" si="20"/>
        <v>29238</v>
      </c>
      <c r="L103" s="51">
        <f t="shared" si="21"/>
        <v>27992</v>
      </c>
      <c r="M103" s="87">
        <v>1435</v>
      </c>
      <c r="N103" s="87">
        <v>1529</v>
      </c>
      <c r="O103" s="87">
        <v>1510</v>
      </c>
      <c r="P103" s="87">
        <v>1528</v>
      </c>
      <c r="Q103" s="87">
        <v>1590</v>
      </c>
      <c r="R103" s="87">
        <v>1656</v>
      </c>
      <c r="S103" s="87">
        <v>1640</v>
      </c>
      <c r="T103" s="87">
        <v>1558</v>
      </c>
      <c r="U103" s="87">
        <v>1593</v>
      </c>
      <c r="V103" s="87">
        <v>1705</v>
      </c>
      <c r="W103" s="87">
        <v>1708</v>
      </c>
      <c r="X103" s="87">
        <v>1761</v>
      </c>
      <c r="Y103" s="87">
        <v>1691</v>
      </c>
      <c r="Z103" s="87">
        <v>1757</v>
      </c>
      <c r="AA103" s="87">
        <v>1764</v>
      </c>
      <c r="AB103" s="87">
        <v>1683</v>
      </c>
      <c r="AC103" s="87">
        <v>1594</v>
      </c>
      <c r="AD103" s="87">
        <v>1536</v>
      </c>
      <c r="AE103" s="87">
        <v>1591</v>
      </c>
      <c r="AF103" s="87">
        <v>1294</v>
      </c>
      <c r="AG103" s="87">
        <v>1312</v>
      </c>
      <c r="AH103" s="87">
        <v>1310</v>
      </c>
      <c r="AI103" s="87">
        <v>1406</v>
      </c>
      <c r="AJ103" s="87">
        <v>1462</v>
      </c>
      <c r="AK103" s="87">
        <v>1483</v>
      </c>
      <c r="AL103" s="87">
        <v>1657</v>
      </c>
      <c r="AM103" s="87">
        <v>1493</v>
      </c>
      <c r="AN103" s="87">
        <v>1588</v>
      </c>
      <c r="AO103" s="87">
        <v>1652</v>
      </c>
      <c r="AP103" s="87">
        <v>1682</v>
      </c>
      <c r="AQ103" s="87">
        <v>1765</v>
      </c>
      <c r="AR103" s="87">
        <v>1844</v>
      </c>
      <c r="AS103" s="87">
        <v>1826</v>
      </c>
      <c r="AT103" s="87">
        <v>1742</v>
      </c>
      <c r="AU103" s="87">
        <v>1735</v>
      </c>
      <c r="AV103" s="87">
        <v>1774</v>
      </c>
      <c r="AW103" s="87">
        <v>1686</v>
      </c>
      <c r="AX103" s="87">
        <v>1746</v>
      </c>
      <c r="AY103" s="87">
        <v>1626</v>
      </c>
      <c r="AZ103" s="87">
        <v>1748</v>
      </c>
      <c r="BA103" s="87">
        <v>1620</v>
      </c>
      <c r="BB103" s="87">
        <v>1624</v>
      </c>
      <c r="BC103" s="87">
        <v>1636</v>
      </c>
      <c r="BD103" s="87">
        <v>1466</v>
      </c>
      <c r="BE103" s="87">
        <v>1431</v>
      </c>
      <c r="BF103" s="87">
        <v>1366</v>
      </c>
      <c r="BG103" s="87">
        <v>1458</v>
      </c>
      <c r="BH103" s="87">
        <v>1479</v>
      </c>
      <c r="BI103" s="87">
        <v>1526</v>
      </c>
      <c r="BJ103" s="87">
        <v>1713</v>
      </c>
      <c r="BK103" s="87">
        <v>1842</v>
      </c>
      <c r="BL103" s="87">
        <v>1946</v>
      </c>
      <c r="BM103" s="87">
        <v>1878</v>
      </c>
      <c r="BN103" s="87">
        <v>1915</v>
      </c>
      <c r="BO103" s="87">
        <v>1924</v>
      </c>
      <c r="BP103" s="87">
        <v>1970</v>
      </c>
      <c r="BQ103" s="87">
        <v>1901</v>
      </c>
      <c r="BR103" s="87">
        <v>1869</v>
      </c>
      <c r="BS103" s="87">
        <v>1829</v>
      </c>
      <c r="BT103" s="87">
        <v>1848</v>
      </c>
      <c r="BU103" s="87">
        <v>1831</v>
      </c>
      <c r="BV103" s="87">
        <v>1733</v>
      </c>
      <c r="BW103" s="87">
        <v>1624</v>
      </c>
      <c r="BX103" s="87">
        <v>1558</v>
      </c>
      <c r="BY103" s="87">
        <v>1594</v>
      </c>
      <c r="BZ103" s="87">
        <v>1415</v>
      </c>
      <c r="CA103" s="87">
        <v>1415</v>
      </c>
      <c r="CB103" s="87">
        <v>1365</v>
      </c>
      <c r="CC103" s="87">
        <v>1384</v>
      </c>
      <c r="CD103" s="87">
        <v>1315</v>
      </c>
      <c r="CE103" s="87">
        <v>1271</v>
      </c>
      <c r="CF103" s="87">
        <v>1325</v>
      </c>
      <c r="CG103" s="87">
        <v>1286</v>
      </c>
      <c r="CH103" s="87">
        <v>1287</v>
      </c>
      <c r="CI103" s="87">
        <v>1358</v>
      </c>
      <c r="CJ103" s="87">
        <v>1381</v>
      </c>
      <c r="CK103" s="87">
        <v>1039</v>
      </c>
      <c r="CL103" s="87">
        <v>1195</v>
      </c>
      <c r="CM103" s="87">
        <v>1040</v>
      </c>
      <c r="CN103" s="87">
        <v>828</v>
      </c>
      <c r="CO103" s="87">
        <v>742</v>
      </c>
      <c r="CP103" s="87">
        <v>674</v>
      </c>
      <c r="CQ103" s="87">
        <v>649</v>
      </c>
      <c r="CR103" s="87">
        <v>611</v>
      </c>
      <c r="CS103" s="87">
        <v>531</v>
      </c>
      <c r="CT103" s="87">
        <v>482</v>
      </c>
      <c r="CU103" s="87">
        <v>405</v>
      </c>
      <c r="CV103" s="87">
        <v>337</v>
      </c>
      <c r="CW103" s="87">
        <v>281</v>
      </c>
      <c r="CX103" s="87">
        <v>237</v>
      </c>
      <c r="CY103" s="87">
        <v>690</v>
      </c>
      <c r="CZ103" s="88">
        <v>1438</v>
      </c>
      <c r="DA103" s="88">
        <v>1330</v>
      </c>
      <c r="DB103" s="88">
        <v>1410</v>
      </c>
      <c r="DC103" s="88">
        <v>1465</v>
      </c>
      <c r="DD103" s="88">
        <v>1506</v>
      </c>
      <c r="DE103" s="88">
        <v>1521</v>
      </c>
      <c r="DF103" s="88">
        <v>1627</v>
      </c>
      <c r="DG103" s="88">
        <v>1531</v>
      </c>
      <c r="DH103" s="88">
        <v>1634</v>
      </c>
      <c r="DI103" s="88">
        <v>1629</v>
      </c>
      <c r="DJ103" s="88">
        <v>1680</v>
      </c>
      <c r="DK103" s="88">
        <v>1635</v>
      </c>
      <c r="DL103" s="88">
        <v>1642</v>
      </c>
      <c r="DM103" s="88">
        <v>1646</v>
      </c>
      <c r="DN103" s="88">
        <v>1637</v>
      </c>
      <c r="DO103" s="88">
        <v>1500</v>
      </c>
      <c r="DP103" s="88">
        <v>1583</v>
      </c>
      <c r="DQ103" s="88">
        <v>1578</v>
      </c>
      <c r="DR103" s="88">
        <v>1387</v>
      </c>
      <c r="DS103" s="88">
        <v>1144</v>
      </c>
      <c r="DT103" s="88">
        <v>1142</v>
      </c>
      <c r="DU103" s="88">
        <v>1219</v>
      </c>
      <c r="DV103" s="88">
        <v>1435</v>
      </c>
      <c r="DW103" s="88">
        <v>1542</v>
      </c>
      <c r="DX103" s="88">
        <v>1514</v>
      </c>
      <c r="DY103" s="88">
        <v>1632</v>
      </c>
      <c r="DZ103" s="88">
        <v>1620</v>
      </c>
      <c r="EA103" s="88">
        <v>1584</v>
      </c>
      <c r="EB103" s="88">
        <v>1721</v>
      </c>
      <c r="EC103" s="88">
        <v>1766</v>
      </c>
      <c r="ED103" s="88">
        <v>1881</v>
      </c>
      <c r="EE103" s="88">
        <v>2009</v>
      </c>
      <c r="EF103" s="88">
        <v>1863</v>
      </c>
      <c r="EG103" s="88">
        <v>1893</v>
      </c>
      <c r="EH103" s="88">
        <v>1919</v>
      </c>
      <c r="EI103" s="88">
        <v>1867</v>
      </c>
      <c r="EJ103" s="88">
        <v>1802</v>
      </c>
      <c r="EK103" s="88">
        <v>1793</v>
      </c>
      <c r="EL103" s="88">
        <v>1793</v>
      </c>
      <c r="EM103" s="88">
        <v>1745</v>
      </c>
      <c r="EN103" s="88">
        <v>1702</v>
      </c>
      <c r="EO103" s="88">
        <v>1750</v>
      </c>
      <c r="EP103" s="88">
        <v>1747</v>
      </c>
      <c r="EQ103" s="88">
        <v>1651</v>
      </c>
      <c r="ER103" s="88">
        <v>1428</v>
      </c>
      <c r="ES103" s="88">
        <v>1391</v>
      </c>
      <c r="ET103" s="88">
        <v>1540</v>
      </c>
      <c r="EU103" s="88">
        <v>1553</v>
      </c>
      <c r="EV103" s="88">
        <v>1693</v>
      </c>
      <c r="EW103" s="88">
        <v>1775</v>
      </c>
      <c r="EX103" s="88">
        <v>1852</v>
      </c>
      <c r="EY103" s="88">
        <v>1955</v>
      </c>
      <c r="EZ103" s="88">
        <v>1980</v>
      </c>
      <c r="FA103" s="88">
        <v>1911</v>
      </c>
      <c r="FB103" s="88">
        <v>2020</v>
      </c>
      <c r="FC103" s="88">
        <v>1927</v>
      </c>
      <c r="FD103" s="88">
        <v>1916</v>
      </c>
      <c r="FE103" s="88">
        <v>1890</v>
      </c>
      <c r="FF103" s="88">
        <v>1886</v>
      </c>
      <c r="FG103" s="88">
        <v>1787</v>
      </c>
      <c r="FH103" s="88">
        <v>1779</v>
      </c>
      <c r="FI103" s="88">
        <v>1798</v>
      </c>
      <c r="FJ103" s="88">
        <v>1720</v>
      </c>
      <c r="FK103" s="88">
        <v>1629</v>
      </c>
      <c r="FL103" s="88">
        <v>1652</v>
      </c>
      <c r="FM103" s="88">
        <v>1535</v>
      </c>
      <c r="FN103" s="88">
        <v>1518</v>
      </c>
      <c r="FO103" s="88">
        <v>1420</v>
      </c>
      <c r="FP103" s="88">
        <v>1380</v>
      </c>
      <c r="FQ103" s="88">
        <v>1472</v>
      </c>
      <c r="FR103" s="88">
        <v>1296</v>
      </c>
      <c r="FS103" s="88">
        <v>1365</v>
      </c>
      <c r="FT103" s="88">
        <v>1428</v>
      </c>
      <c r="FU103" s="88">
        <v>1357</v>
      </c>
      <c r="FV103" s="88">
        <v>1473</v>
      </c>
      <c r="FW103" s="88">
        <v>1585</v>
      </c>
      <c r="FX103" s="88">
        <v>1195</v>
      </c>
      <c r="FY103" s="88">
        <v>1275</v>
      </c>
      <c r="FZ103" s="88">
        <v>1125</v>
      </c>
      <c r="GA103" s="88">
        <v>1013</v>
      </c>
      <c r="GB103" s="88">
        <v>909</v>
      </c>
      <c r="GC103" s="88">
        <v>762</v>
      </c>
      <c r="GD103" s="88">
        <v>871</v>
      </c>
      <c r="GE103" s="88">
        <v>773</v>
      </c>
      <c r="GF103" s="88">
        <v>717</v>
      </c>
      <c r="GG103" s="88">
        <v>598</v>
      </c>
      <c r="GH103" s="88">
        <v>581</v>
      </c>
      <c r="GI103" s="88">
        <v>518</v>
      </c>
      <c r="GJ103" s="88">
        <v>458</v>
      </c>
      <c r="GK103" s="88">
        <v>363</v>
      </c>
      <c r="GL103" s="89">
        <v>1388</v>
      </c>
    </row>
    <row r="104" spans="1:194" s="1" customFormat="1" x14ac:dyDescent="0.2">
      <c r="A104" s="90" t="s">
        <v>94</v>
      </c>
      <c r="B104" s="146" t="s">
        <v>189</v>
      </c>
      <c r="C104" s="30" t="str">
        <f t="shared" si="14"/>
        <v xml:space="preserve">England – CCGs - Salford </v>
      </c>
      <c r="D104" s="51">
        <f t="shared" si="13"/>
        <v>118542</v>
      </c>
      <c r="E104" s="51">
        <f t="shared" si="13"/>
        <v>118096</v>
      </c>
      <c r="F104" s="52">
        <f t="shared" si="17"/>
        <v>278064</v>
      </c>
      <c r="G104" s="52">
        <f t="shared" si="18"/>
        <v>139829</v>
      </c>
      <c r="H104" s="52">
        <f t="shared" si="19"/>
        <v>138235</v>
      </c>
      <c r="I104" s="697">
        <f t="shared" si="15"/>
        <v>118542</v>
      </c>
      <c r="J104" s="53">
        <f t="shared" si="16"/>
        <v>118096</v>
      </c>
      <c r="K104" s="50">
        <f t="shared" si="20"/>
        <v>30968</v>
      </c>
      <c r="L104" s="51">
        <f t="shared" si="21"/>
        <v>29327</v>
      </c>
      <c r="M104" s="87">
        <v>1857</v>
      </c>
      <c r="N104" s="87">
        <v>1828</v>
      </c>
      <c r="O104" s="87">
        <v>1841</v>
      </c>
      <c r="P104" s="87">
        <v>1782</v>
      </c>
      <c r="Q104" s="87">
        <v>1726</v>
      </c>
      <c r="R104" s="87">
        <v>1783</v>
      </c>
      <c r="S104" s="87">
        <v>1782</v>
      </c>
      <c r="T104" s="87">
        <v>1674</v>
      </c>
      <c r="U104" s="87">
        <v>1715</v>
      </c>
      <c r="V104" s="87">
        <v>1748</v>
      </c>
      <c r="W104" s="87">
        <v>1738</v>
      </c>
      <c r="X104" s="87">
        <v>1813</v>
      </c>
      <c r="Y104" s="87">
        <v>1745</v>
      </c>
      <c r="Z104" s="87">
        <v>1614</v>
      </c>
      <c r="AA104" s="87">
        <v>1687</v>
      </c>
      <c r="AB104" s="87">
        <v>1605</v>
      </c>
      <c r="AC104" s="87">
        <v>1491</v>
      </c>
      <c r="AD104" s="87">
        <v>1539</v>
      </c>
      <c r="AE104" s="87">
        <v>1560</v>
      </c>
      <c r="AF104" s="87">
        <v>1947</v>
      </c>
      <c r="AG104" s="87">
        <v>1988</v>
      </c>
      <c r="AH104" s="87">
        <v>2155</v>
      </c>
      <c r="AI104" s="87">
        <v>2351</v>
      </c>
      <c r="AJ104" s="87">
        <v>2551</v>
      </c>
      <c r="AK104" s="87">
        <v>2702</v>
      </c>
      <c r="AL104" s="87">
        <v>2728</v>
      </c>
      <c r="AM104" s="87">
        <v>2781</v>
      </c>
      <c r="AN104" s="87">
        <v>2790</v>
      </c>
      <c r="AO104" s="87">
        <v>2814</v>
      </c>
      <c r="AP104" s="87">
        <v>2859</v>
      </c>
      <c r="AQ104" s="87">
        <v>2837</v>
      </c>
      <c r="AR104" s="87">
        <v>2782</v>
      </c>
      <c r="AS104" s="87">
        <v>2661</v>
      </c>
      <c r="AT104" s="87">
        <v>2698</v>
      </c>
      <c r="AU104" s="87">
        <v>2447</v>
      </c>
      <c r="AV104" s="87">
        <v>2306</v>
      </c>
      <c r="AW104" s="87">
        <v>2396</v>
      </c>
      <c r="AX104" s="87">
        <v>2255</v>
      </c>
      <c r="AY104" s="87">
        <v>2144</v>
      </c>
      <c r="AZ104" s="87">
        <v>2144</v>
      </c>
      <c r="BA104" s="87">
        <v>1897</v>
      </c>
      <c r="BB104" s="87">
        <v>1781</v>
      </c>
      <c r="BC104" s="87">
        <v>1804</v>
      </c>
      <c r="BD104" s="87">
        <v>1684</v>
      </c>
      <c r="BE104" s="87">
        <v>1512</v>
      </c>
      <c r="BF104" s="87">
        <v>1513</v>
      </c>
      <c r="BG104" s="87">
        <v>1583</v>
      </c>
      <c r="BH104" s="87">
        <v>1564</v>
      </c>
      <c r="BI104" s="87">
        <v>1352</v>
      </c>
      <c r="BJ104" s="87">
        <v>1455</v>
      </c>
      <c r="BK104" s="87">
        <v>1535</v>
      </c>
      <c r="BL104" s="87">
        <v>1589</v>
      </c>
      <c r="BM104" s="87">
        <v>1439</v>
      </c>
      <c r="BN104" s="87">
        <v>1585</v>
      </c>
      <c r="BO104" s="87">
        <v>1535</v>
      </c>
      <c r="BP104" s="87">
        <v>1546</v>
      </c>
      <c r="BQ104" s="87">
        <v>1531</v>
      </c>
      <c r="BR104" s="87">
        <v>1533</v>
      </c>
      <c r="BS104" s="87">
        <v>1522</v>
      </c>
      <c r="BT104" s="87">
        <v>1593</v>
      </c>
      <c r="BU104" s="87">
        <v>1407</v>
      </c>
      <c r="BV104" s="87">
        <v>1367</v>
      </c>
      <c r="BW104" s="87">
        <v>1294</v>
      </c>
      <c r="BX104" s="87">
        <v>1240</v>
      </c>
      <c r="BY104" s="87">
        <v>1211</v>
      </c>
      <c r="BZ104" s="87">
        <v>1161</v>
      </c>
      <c r="CA104" s="87">
        <v>1020</v>
      </c>
      <c r="CB104" s="87">
        <v>990</v>
      </c>
      <c r="CC104" s="87">
        <v>939</v>
      </c>
      <c r="CD104" s="87">
        <v>925</v>
      </c>
      <c r="CE104" s="87">
        <v>846</v>
      </c>
      <c r="CF104" s="87">
        <v>844</v>
      </c>
      <c r="CG104" s="87">
        <v>910</v>
      </c>
      <c r="CH104" s="87">
        <v>891</v>
      </c>
      <c r="CI104" s="87">
        <v>909</v>
      </c>
      <c r="CJ104" s="87">
        <v>1023</v>
      </c>
      <c r="CK104" s="87">
        <v>766</v>
      </c>
      <c r="CL104" s="87">
        <v>647</v>
      </c>
      <c r="CM104" s="87">
        <v>608</v>
      </c>
      <c r="CN104" s="87">
        <v>569</v>
      </c>
      <c r="CO104" s="87">
        <v>521</v>
      </c>
      <c r="CP104" s="87">
        <v>439</v>
      </c>
      <c r="CQ104" s="87">
        <v>394</v>
      </c>
      <c r="CR104" s="87">
        <v>453</v>
      </c>
      <c r="CS104" s="87">
        <v>349</v>
      </c>
      <c r="CT104" s="87">
        <v>338</v>
      </c>
      <c r="CU104" s="87">
        <v>297</v>
      </c>
      <c r="CV104" s="87">
        <v>239</v>
      </c>
      <c r="CW104" s="87">
        <v>187</v>
      </c>
      <c r="CX104" s="87">
        <v>157</v>
      </c>
      <c r="CY104" s="87">
        <v>471</v>
      </c>
      <c r="CZ104" s="88">
        <v>1702</v>
      </c>
      <c r="DA104" s="88">
        <v>1699</v>
      </c>
      <c r="DB104" s="88">
        <v>1748</v>
      </c>
      <c r="DC104" s="88">
        <v>1725</v>
      </c>
      <c r="DD104" s="88">
        <v>1697</v>
      </c>
      <c r="DE104" s="88">
        <v>1574</v>
      </c>
      <c r="DF104" s="88">
        <v>1774</v>
      </c>
      <c r="DG104" s="88">
        <v>1617</v>
      </c>
      <c r="DH104" s="88">
        <v>1611</v>
      </c>
      <c r="DI104" s="88">
        <v>1678</v>
      </c>
      <c r="DJ104" s="88">
        <v>1645</v>
      </c>
      <c r="DK104" s="88">
        <v>1669</v>
      </c>
      <c r="DL104" s="88">
        <v>1596</v>
      </c>
      <c r="DM104" s="88">
        <v>1564</v>
      </c>
      <c r="DN104" s="88">
        <v>1606</v>
      </c>
      <c r="DO104" s="88">
        <v>1468</v>
      </c>
      <c r="DP104" s="88">
        <v>1541</v>
      </c>
      <c r="DQ104" s="88">
        <v>1413</v>
      </c>
      <c r="DR104" s="88">
        <v>1440</v>
      </c>
      <c r="DS104" s="88">
        <v>1849</v>
      </c>
      <c r="DT104" s="88">
        <v>2123</v>
      </c>
      <c r="DU104" s="88">
        <v>2242</v>
      </c>
      <c r="DV104" s="88">
        <v>2457</v>
      </c>
      <c r="DW104" s="88">
        <v>2805</v>
      </c>
      <c r="DX104" s="88">
        <v>2873</v>
      </c>
      <c r="DY104" s="88">
        <v>2974</v>
      </c>
      <c r="DZ104" s="88">
        <v>2807</v>
      </c>
      <c r="EA104" s="88">
        <v>2811</v>
      </c>
      <c r="EB104" s="88">
        <v>2698</v>
      </c>
      <c r="EC104" s="88">
        <v>2763</v>
      </c>
      <c r="ED104" s="88">
        <v>2634</v>
      </c>
      <c r="EE104" s="88">
        <v>2486</v>
      </c>
      <c r="EF104" s="88">
        <v>2527</v>
      </c>
      <c r="EG104" s="88">
        <v>2424</v>
      </c>
      <c r="EH104" s="88">
        <v>2363</v>
      </c>
      <c r="EI104" s="88">
        <v>2188</v>
      </c>
      <c r="EJ104" s="88">
        <v>2070</v>
      </c>
      <c r="EK104" s="88">
        <v>2053</v>
      </c>
      <c r="EL104" s="88">
        <v>2034</v>
      </c>
      <c r="EM104" s="88">
        <v>1920</v>
      </c>
      <c r="EN104" s="88">
        <v>1797</v>
      </c>
      <c r="EO104" s="88">
        <v>1787</v>
      </c>
      <c r="EP104" s="88">
        <v>1740</v>
      </c>
      <c r="EQ104" s="88">
        <v>1656</v>
      </c>
      <c r="ER104" s="88">
        <v>1499</v>
      </c>
      <c r="ES104" s="88">
        <v>1355</v>
      </c>
      <c r="ET104" s="88">
        <v>1460</v>
      </c>
      <c r="EU104" s="88">
        <v>1391</v>
      </c>
      <c r="EV104" s="88">
        <v>1493</v>
      </c>
      <c r="EW104" s="88">
        <v>1481</v>
      </c>
      <c r="EX104" s="88">
        <v>1529</v>
      </c>
      <c r="EY104" s="88">
        <v>1565</v>
      </c>
      <c r="EZ104" s="88">
        <v>1418</v>
      </c>
      <c r="FA104" s="88">
        <v>1535</v>
      </c>
      <c r="FB104" s="88">
        <v>1538</v>
      </c>
      <c r="FC104" s="88">
        <v>1502</v>
      </c>
      <c r="FD104" s="88">
        <v>1483</v>
      </c>
      <c r="FE104" s="88">
        <v>1429</v>
      </c>
      <c r="FF104" s="88">
        <v>1499</v>
      </c>
      <c r="FG104" s="88">
        <v>1433</v>
      </c>
      <c r="FH104" s="88">
        <v>1371</v>
      </c>
      <c r="FI104" s="88">
        <v>1268</v>
      </c>
      <c r="FJ104" s="88">
        <v>1235</v>
      </c>
      <c r="FK104" s="88">
        <v>1292</v>
      </c>
      <c r="FL104" s="88">
        <v>1205</v>
      </c>
      <c r="FM104" s="88">
        <v>1150</v>
      </c>
      <c r="FN104" s="88">
        <v>1028</v>
      </c>
      <c r="FO104" s="88">
        <v>927</v>
      </c>
      <c r="FP104" s="88">
        <v>991</v>
      </c>
      <c r="FQ104" s="88">
        <v>910</v>
      </c>
      <c r="FR104" s="88">
        <v>922</v>
      </c>
      <c r="FS104" s="88">
        <v>944</v>
      </c>
      <c r="FT104" s="88">
        <v>957</v>
      </c>
      <c r="FU104" s="88">
        <v>943</v>
      </c>
      <c r="FV104" s="88">
        <v>1018</v>
      </c>
      <c r="FW104" s="88">
        <v>1132</v>
      </c>
      <c r="FX104" s="88">
        <v>746</v>
      </c>
      <c r="FY104" s="88">
        <v>731</v>
      </c>
      <c r="FZ104" s="88">
        <v>726</v>
      </c>
      <c r="GA104" s="88">
        <v>686</v>
      </c>
      <c r="GB104" s="88">
        <v>650</v>
      </c>
      <c r="GC104" s="88">
        <v>598</v>
      </c>
      <c r="GD104" s="88">
        <v>596</v>
      </c>
      <c r="GE104" s="88">
        <v>502</v>
      </c>
      <c r="GF104" s="88">
        <v>487</v>
      </c>
      <c r="GG104" s="88">
        <v>441</v>
      </c>
      <c r="GH104" s="88">
        <v>410</v>
      </c>
      <c r="GI104" s="88">
        <v>345</v>
      </c>
      <c r="GJ104" s="88">
        <v>291</v>
      </c>
      <c r="GK104" s="88">
        <v>258</v>
      </c>
      <c r="GL104" s="89">
        <v>1017</v>
      </c>
    </row>
    <row r="105" spans="1:194" s="1" customFormat="1" x14ac:dyDescent="0.2">
      <c r="A105" s="90" t="s">
        <v>94</v>
      </c>
      <c r="B105" s="146" t="s">
        <v>190</v>
      </c>
      <c r="C105" s="30" t="str">
        <f t="shared" si="14"/>
        <v xml:space="preserve">England – CCGs - Sheffield </v>
      </c>
      <c r="D105" s="51">
        <f t="shared" si="13"/>
        <v>241649</v>
      </c>
      <c r="E105" s="51">
        <f t="shared" si="13"/>
        <v>249031</v>
      </c>
      <c r="F105" s="52">
        <f t="shared" si="17"/>
        <v>566242</v>
      </c>
      <c r="G105" s="52">
        <f t="shared" si="18"/>
        <v>280173</v>
      </c>
      <c r="H105" s="52">
        <f t="shared" si="19"/>
        <v>286069</v>
      </c>
      <c r="I105" s="697">
        <f t="shared" si="15"/>
        <v>241649</v>
      </c>
      <c r="J105" s="53">
        <f t="shared" si="16"/>
        <v>249031</v>
      </c>
      <c r="K105" s="50">
        <f t="shared" si="20"/>
        <v>58188</v>
      </c>
      <c r="L105" s="51">
        <f t="shared" si="21"/>
        <v>55530</v>
      </c>
      <c r="M105" s="87">
        <v>3034</v>
      </c>
      <c r="N105" s="87">
        <v>2792</v>
      </c>
      <c r="O105" s="87">
        <v>3082</v>
      </c>
      <c r="P105" s="87">
        <v>3085</v>
      </c>
      <c r="Q105" s="87">
        <v>3106</v>
      </c>
      <c r="R105" s="87">
        <v>3264</v>
      </c>
      <c r="S105" s="87">
        <v>3379</v>
      </c>
      <c r="T105" s="87">
        <v>3314</v>
      </c>
      <c r="U105" s="87">
        <v>3211</v>
      </c>
      <c r="V105" s="87">
        <v>3396</v>
      </c>
      <c r="W105" s="87">
        <v>3469</v>
      </c>
      <c r="X105" s="87">
        <v>3392</v>
      </c>
      <c r="Y105" s="87">
        <v>3325</v>
      </c>
      <c r="Z105" s="87">
        <v>3385</v>
      </c>
      <c r="AA105" s="87">
        <v>3382</v>
      </c>
      <c r="AB105" s="87">
        <v>3155</v>
      </c>
      <c r="AC105" s="87">
        <v>3171</v>
      </c>
      <c r="AD105" s="87">
        <v>3246</v>
      </c>
      <c r="AE105" s="87">
        <v>3659</v>
      </c>
      <c r="AF105" s="87">
        <v>5832</v>
      </c>
      <c r="AG105" s="87">
        <v>6285</v>
      </c>
      <c r="AH105" s="87">
        <v>5516</v>
      </c>
      <c r="AI105" s="87">
        <v>5428</v>
      </c>
      <c r="AJ105" s="87">
        <v>4982</v>
      </c>
      <c r="AK105" s="87">
        <v>4858</v>
      </c>
      <c r="AL105" s="87">
        <v>4558</v>
      </c>
      <c r="AM105" s="87">
        <v>4456</v>
      </c>
      <c r="AN105" s="87">
        <v>4258</v>
      </c>
      <c r="AO105" s="87">
        <v>4098</v>
      </c>
      <c r="AP105" s="87">
        <v>4096</v>
      </c>
      <c r="AQ105" s="87">
        <v>4057</v>
      </c>
      <c r="AR105" s="87">
        <v>4127</v>
      </c>
      <c r="AS105" s="87">
        <v>3963</v>
      </c>
      <c r="AT105" s="87">
        <v>3877</v>
      </c>
      <c r="AU105" s="87">
        <v>3878</v>
      </c>
      <c r="AV105" s="87">
        <v>3701</v>
      </c>
      <c r="AW105" s="87">
        <v>3837</v>
      </c>
      <c r="AX105" s="87">
        <v>3586</v>
      </c>
      <c r="AY105" s="87">
        <v>3501</v>
      </c>
      <c r="AZ105" s="87">
        <v>3415</v>
      </c>
      <c r="BA105" s="87">
        <v>3344</v>
      </c>
      <c r="BB105" s="87">
        <v>3349</v>
      </c>
      <c r="BC105" s="87">
        <v>3438</v>
      </c>
      <c r="BD105" s="87">
        <v>3424</v>
      </c>
      <c r="BE105" s="87">
        <v>3005</v>
      </c>
      <c r="BF105" s="87">
        <v>2955</v>
      </c>
      <c r="BG105" s="87">
        <v>3089</v>
      </c>
      <c r="BH105" s="87">
        <v>3149</v>
      </c>
      <c r="BI105" s="87">
        <v>3084</v>
      </c>
      <c r="BJ105" s="87">
        <v>3289</v>
      </c>
      <c r="BK105" s="87">
        <v>3367</v>
      </c>
      <c r="BL105" s="87">
        <v>3405</v>
      </c>
      <c r="BM105" s="87">
        <v>3526</v>
      </c>
      <c r="BN105" s="87">
        <v>3682</v>
      </c>
      <c r="BO105" s="87">
        <v>3629</v>
      </c>
      <c r="BP105" s="87">
        <v>3507</v>
      </c>
      <c r="BQ105" s="87">
        <v>3507</v>
      </c>
      <c r="BR105" s="87">
        <v>3509</v>
      </c>
      <c r="BS105" s="87">
        <v>3299</v>
      </c>
      <c r="BT105" s="87">
        <v>3390</v>
      </c>
      <c r="BU105" s="87">
        <v>3314</v>
      </c>
      <c r="BV105" s="87">
        <v>3147</v>
      </c>
      <c r="BW105" s="87">
        <v>3011</v>
      </c>
      <c r="BX105" s="87">
        <v>2868</v>
      </c>
      <c r="BY105" s="87">
        <v>2895</v>
      </c>
      <c r="BZ105" s="87">
        <v>2672</v>
      </c>
      <c r="CA105" s="87">
        <v>2499</v>
      </c>
      <c r="CB105" s="87">
        <v>2405</v>
      </c>
      <c r="CC105" s="87">
        <v>2463</v>
      </c>
      <c r="CD105" s="87">
        <v>2371</v>
      </c>
      <c r="CE105" s="87">
        <v>2155</v>
      </c>
      <c r="CF105" s="87">
        <v>2157</v>
      </c>
      <c r="CG105" s="87">
        <v>2225</v>
      </c>
      <c r="CH105" s="87">
        <v>2243</v>
      </c>
      <c r="CI105" s="87">
        <v>2321</v>
      </c>
      <c r="CJ105" s="87">
        <v>2471</v>
      </c>
      <c r="CK105" s="87">
        <v>1817</v>
      </c>
      <c r="CL105" s="87">
        <v>1753</v>
      </c>
      <c r="CM105" s="87">
        <v>1830</v>
      </c>
      <c r="CN105" s="87">
        <v>1601</v>
      </c>
      <c r="CO105" s="87">
        <v>1351</v>
      </c>
      <c r="CP105" s="87">
        <v>1189</v>
      </c>
      <c r="CQ105" s="87">
        <v>1221</v>
      </c>
      <c r="CR105" s="87">
        <v>1140</v>
      </c>
      <c r="CS105" s="87">
        <v>985</v>
      </c>
      <c r="CT105" s="87">
        <v>963</v>
      </c>
      <c r="CU105" s="87">
        <v>799</v>
      </c>
      <c r="CV105" s="87">
        <v>716</v>
      </c>
      <c r="CW105" s="87">
        <v>529</v>
      </c>
      <c r="CX105" s="87">
        <v>415</v>
      </c>
      <c r="CY105" s="87">
        <v>1544</v>
      </c>
      <c r="CZ105" s="88">
        <v>2817</v>
      </c>
      <c r="DA105" s="88">
        <v>2885</v>
      </c>
      <c r="DB105" s="88">
        <v>3032</v>
      </c>
      <c r="DC105" s="88">
        <v>3050</v>
      </c>
      <c r="DD105" s="88">
        <v>3112</v>
      </c>
      <c r="DE105" s="88">
        <v>3180</v>
      </c>
      <c r="DF105" s="88">
        <v>3149</v>
      </c>
      <c r="DG105" s="88">
        <v>3113</v>
      </c>
      <c r="DH105" s="88">
        <v>3134</v>
      </c>
      <c r="DI105" s="88">
        <v>3114</v>
      </c>
      <c r="DJ105" s="88">
        <v>3240</v>
      </c>
      <c r="DK105" s="88">
        <v>3212</v>
      </c>
      <c r="DL105" s="88">
        <v>3156</v>
      </c>
      <c r="DM105" s="88">
        <v>3167</v>
      </c>
      <c r="DN105" s="88">
        <v>3175</v>
      </c>
      <c r="DO105" s="88">
        <v>3096</v>
      </c>
      <c r="DP105" s="88">
        <v>2876</v>
      </c>
      <c r="DQ105" s="88">
        <v>3022</v>
      </c>
      <c r="DR105" s="88">
        <v>3501</v>
      </c>
      <c r="DS105" s="88">
        <v>5583</v>
      </c>
      <c r="DT105" s="88">
        <v>5943</v>
      </c>
      <c r="DU105" s="88">
        <v>5431</v>
      </c>
      <c r="DV105" s="88">
        <v>4820</v>
      </c>
      <c r="DW105" s="88">
        <v>4555</v>
      </c>
      <c r="DX105" s="88">
        <v>4763</v>
      </c>
      <c r="DY105" s="88">
        <v>4597</v>
      </c>
      <c r="DZ105" s="88">
        <v>4254</v>
      </c>
      <c r="EA105" s="88">
        <v>4297</v>
      </c>
      <c r="EB105" s="88">
        <v>4218</v>
      </c>
      <c r="EC105" s="88">
        <v>4191</v>
      </c>
      <c r="ED105" s="88">
        <v>4081</v>
      </c>
      <c r="EE105" s="88">
        <v>4174</v>
      </c>
      <c r="EF105" s="88">
        <v>4066</v>
      </c>
      <c r="EG105" s="88">
        <v>3964</v>
      </c>
      <c r="EH105" s="88">
        <v>4212</v>
      </c>
      <c r="EI105" s="88">
        <v>3957</v>
      </c>
      <c r="EJ105" s="88">
        <v>3794</v>
      </c>
      <c r="EK105" s="88">
        <v>3721</v>
      </c>
      <c r="EL105" s="88">
        <v>3667</v>
      </c>
      <c r="EM105" s="88">
        <v>3537</v>
      </c>
      <c r="EN105" s="88">
        <v>3533</v>
      </c>
      <c r="EO105" s="88">
        <v>3435</v>
      </c>
      <c r="EP105" s="88">
        <v>3458</v>
      </c>
      <c r="EQ105" s="88">
        <v>3374</v>
      </c>
      <c r="ER105" s="88">
        <v>3021</v>
      </c>
      <c r="ES105" s="88">
        <v>2954</v>
      </c>
      <c r="ET105" s="88">
        <v>2887</v>
      </c>
      <c r="EU105" s="88">
        <v>3129</v>
      </c>
      <c r="EV105" s="88">
        <v>3065</v>
      </c>
      <c r="EW105" s="88">
        <v>3339</v>
      </c>
      <c r="EX105" s="88">
        <v>3559</v>
      </c>
      <c r="EY105" s="88">
        <v>3740</v>
      </c>
      <c r="EZ105" s="88">
        <v>3621</v>
      </c>
      <c r="FA105" s="88">
        <v>3583</v>
      </c>
      <c r="FB105" s="88">
        <v>3615</v>
      </c>
      <c r="FC105" s="88">
        <v>3544</v>
      </c>
      <c r="FD105" s="88">
        <v>3568</v>
      </c>
      <c r="FE105" s="88">
        <v>3463</v>
      </c>
      <c r="FF105" s="88">
        <v>3332</v>
      </c>
      <c r="FG105" s="88">
        <v>3353</v>
      </c>
      <c r="FH105" s="88">
        <v>3414</v>
      </c>
      <c r="FI105" s="88">
        <v>3159</v>
      </c>
      <c r="FJ105" s="88">
        <v>3020</v>
      </c>
      <c r="FK105" s="88">
        <v>2988</v>
      </c>
      <c r="FL105" s="88">
        <v>2889</v>
      </c>
      <c r="FM105" s="88">
        <v>2710</v>
      </c>
      <c r="FN105" s="88">
        <v>2595</v>
      </c>
      <c r="FO105" s="88">
        <v>2529</v>
      </c>
      <c r="FP105" s="88">
        <v>2493</v>
      </c>
      <c r="FQ105" s="88">
        <v>2426</v>
      </c>
      <c r="FR105" s="88">
        <v>2402</v>
      </c>
      <c r="FS105" s="88">
        <v>2375</v>
      </c>
      <c r="FT105" s="88">
        <v>2330</v>
      </c>
      <c r="FU105" s="88">
        <v>2457</v>
      </c>
      <c r="FV105" s="88">
        <v>2571</v>
      </c>
      <c r="FW105" s="88">
        <v>2772</v>
      </c>
      <c r="FX105" s="88">
        <v>2212</v>
      </c>
      <c r="FY105" s="88">
        <v>2231</v>
      </c>
      <c r="FZ105" s="88">
        <v>2181</v>
      </c>
      <c r="GA105" s="88">
        <v>1793</v>
      </c>
      <c r="GB105" s="88">
        <v>1715</v>
      </c>
      <c r="GC105" s="88">
        <v>1533</v>
      </c>
      <c r="GD105" s="88">
        <v>1554</v>
      </c>
      <c r="GE105" s="88">
        <v>1537</v>
      </c>
      <c r="GF105" s="88">
        <v>1445</v>
      </c>
      <c r="GG105" s="88">
        <v>1218</v>
      </c>
      <c r="GH105" s="88">
        <v>1161</v>
      </c>
      <c r="GI105" s="88">
        <v>1014</v>
      </c>
      <c r="GJ105" s="88">
        <v>894</v>
      </c>
      <c r="GK105" s="88">
        <v>795</v>
      </c>
      <c r="GL105" s="89">
        <v>3227</v>
      </c>
    </row>
    <row r="106" spans="1:194" s="1" customFormat="1" x14ac:dyDescent="0.2">
      <c r="A106" s="90" t="s">
        <v>94</v>
      </c>
      <c r="B106" s="146" t="s">
        <v>191</v>
      </c>
      <c r="C106" s="30" t="str">
        <f t="shared" si="14"/>
        <v xml:space="preserve">England – CCGs - Shropshire, Telford and Wrekin </v>
      </c>
      <c r="D106" s="51">
        <f t="shared" si="13"/>
        <v>220848</v>
      </c>
      <c r="E106" s="51">
        <f t="shared" si="13"/>
        <v>230115</v>
      </c>
      <c r="F106" s="52">
        <f t="shared" si="17"/>
        <v>516049</v>
      </c>
      <c r="G106" s="52">
        <f t="shared" si="18"/>
        <v>254197</v>
      </c>
      <c r="H106" s="52">
        <f t="shared" si="19"/>
        <v>261852</v>
      </c>
      <c r="I106" s="697">
        <f t="shared" si="15"/>
        <v>220848</v>
      </c>
      <c r="J106" s="53">
        <f t="shared" si="16"/>
        <v>230115</v>
      </c>
      <c r="K106" s="50">
        <f t="shared" si="20"/>
        <v>51864</v>
      </c>
      <c r="L106" s="51">
        <f t="shared" si="21"/>
        <v>49260</v>
      </c>
      <c r="M106" s="87">
        <v>2427</v>
      </c>
      <c r="N106" s="87">
        <v>2443</v>
      </c>
      <c r="O106" s="87">
        <v>2610</v>
      </c>
      <c r="P106" s="87">
        <v>2550</v>
      </c>
      <c r="Q106" s="87">
        <v>2657</v>
      </c>
      <c r="R106" s="87">
        <v>2888</v>
      </c>
      <c r="S106" s="87">
        <v>2873</v>
      </c>
      <c r="T106" s="87">
        <v>2815</v>
      </c>
      <c r="U106" s="87">
        <v>2968</v>
      </c>
      <c r="V106" s="87">
        <v>3073</v>
      </c>
      <c r="W106" s="87">
        <v>3020</v>
      </c>
      <c r="X106" s="87">
        <v>3025</v>
      </c>
      <c r="Y106" s="87">
        <v>3161</v>
      </c>
      <c r="Z106" s="87">
        <v>3154</v>
      </c>
      <c r="AA106" s="87">
        <v>3092</v>
      </c>
      <c r="AB106" s="87">
        <v>3096</v>
      </c>
      <c r="AC106" s="87">
        <v>2929</v>
      </c>
      <c r="AD106" s="87">
        <v>3083</v>
      </c>
      <c r="AE106" s="87">
        <v>2986</v>
      </c>
      <c r="AF106" s="87">
        <v>2543</v>
      </c>
      <c r="AG106" s="87">
        <v>2405</v>
      </c>
      <c r="AH106" s="87">
        <v>2547</v>
      </c>
      <c r="AI106" s="87">
        <v>2816</v>
      </c>
      <c r="AJ106" s="87">
        <v>2727</v>
      </c>
      <c r="AK106" s="87">
        <v>2878</v>
      </c>
      <c r="AL106" s="87">
        <v>2888</v>
      </c>
      <c r="AM106" s="87">
        <v>2799</v>
      </c>
      <c r="AN106" s="87">
        <v>2886</v>
      </c>
      <c r="AO106" s="87">
        <v>3032</v>
      </c>
      <c r="AP106" s="87">
        <v>2928</v>
      </c>
      <c r="AQ106" s="87">
        <v>2972</v>
      </c>
      <c r="AR106" s="87">
        <v>3134</v>
      </c>
      <c r="AS106" s="87">
        <v>3100</v>
      </c>
      <c r="AT106" s="87">
        <v>3078</v>
      </c>
      <c r="AU106" s="87">
        <v>3053</v>
      </c>
      <c r="AV106" s="87">
        <v>3102</v>
      </c>
      <c r="AW106" s="87">
        <v>3098</v>
      </c>
      <c r="AX106" s="87">
        <v>3083</v>
      </c>
      <c r="AY106" s="87">
        <v>2946</v>
      </c>
      <c r="AZ106" s="87">
        <v>2998</v>
      </c>
      <c r="BA106" s="87">
        <v>2864</v>
      </c>
      <c r="BB106" s="87">
        <v>2886</v>
      </c>
      <c r="BC106" s="87">
        <v>2917</v>
      </c>
      <c r="BD106" s="87">
        <v>2774</v>
      </c>
      <c r="BE106" s="87">
        <v>2656</v>
      </c>
      <c r="BF106" s="87">
        <v>2619</v>
      </c>
      <c r="BG106" s="87">
        <v>2782</v>
      </c>
      <c r="BH106" s="87">
        <v>2939</v>
      </c>
      <c r="BI106" s="87">
        <v>2927</v>
      </c>
      <c r="BJ106" s="87">
        <v>3345</v>
      </c>
      <c r="BK106" s="87">
        <v>3645</v>
      </c>
      <c r="BL106" s="87">
        <v>3847</v>
      </c>
      <c r="BM106" s="87">
        <v>3450</v>
      </c>
      <c r="BN106" s="87">
        <v>3729</v>
      </c>
      <c r="BO106" s="87">
        <v>3724</v>
      </c>
      <c r="BP106" s="87">
        <v>3859</v>
      </c>
      <c r="BQ106" s="87">
        <v>3841</v>
      </c>
      <c r="BR106" s="87">
        <v>3804</v>
      </c>
      <c r="BS106" s="87">
        <v>3769</v>
      </c>
      <c r="BT106" s="87">
        <v>3771</v>
      </c>
      <c r="BU106" s="87">
        <v>3779</v>
      </c>
      <c r="BV106" s="87">
        <v>3702</v>
      </c>
      <c r="BW106" s="87">
        <v>3398</v>
      </c>
      <c r="BX106" s="87">
        <v>3373</v>
      </c>
      <c r="BY106" s="87">
        <v>3183</v>
      </c>
      <c r="BZ106" s="87">
        <v>2996</v>
      </c>
      <c r="CA106" s="87">
        <v>3024</v>
      </c>
      <c r="CB106" s="87">
        <v>2930</v>
      </c>
      <c r="CC106" s="87">
        <v>3054</v>
      </c>
      <c r="CD106" s="87">
        <v>2868</v>
      </c>
      <c r="CE106" s="87">
        <v>2851</v>
      </c>
      <c r="CF106" s="87">
        <v>2753</v>
      </c>
      <c r="CG106" s="87">
        <v>2820</v>
      </c>
      <c r="CH106" s="87">
        <v>3005</v>
      </c>
      <c r="CI106" s="87">
        <v>3028</v>
      </c>
      <c r="CJ106" s="87">
        <v>2985</v>
      </c>
      <c r="CK106" s="87">
        <v>2459</v>
      </c>
      <c r="CL106" s="87">
        <v>2317</v>
      </c>
      <c r="CM106" s="87">
        <v>2390</v>
      </c>
      <c r="CN106" s="87">
        <v>2085</v>
      </c>
      <c r="CO106" s="87">
        <v>1707</v>
      </c>
      <c r="CP106" s="87">
        <v>1509</v>
      </c>
      <c r="CQ106" s="87">
        <v>1489</v>
      </c>
      <c r="CR106" s="87">
        <v>1343</v>
      </c>
      <c r="CS106" s="87">
        <v>1194</v>
      </c>
      <c r="CT106" s="87">
        <v>1114</v>
      </c>
      <c r="CU106" s="87">
        <v>915</v>
      </c>
      <c r="CV106" s="87">
        <v>796</v>
      </c>
      <c r="CW106" s="87">
        <v>717</v>
      </c>
      <c r="CX106" s="87">
        <v>551</v>
      </c>
      <c r="CY106" s="87">
        <v>1851</v>
      </c>
      <c r="CZ106" s="88">
        <v>2310</v>
      </c>
      <c r="DA106" s="88">
        <v>2358</v>
      </c>
      <c r="DB106" s="88">
        <v>2372</v>
      </c>
      <c r="DC106" s="88">
        <v>2487</v>
      </c>
      <c r="DD106" s="88">
        <v>2624</v>
      </c>
      <c r="DE106" s="88">
        <v>2657</v>
      </c>
      <c r="DF106" s="88">
        <v>2703</v>
      </c>
      <c r="DG106" s="88">
        <v>2686</v>
      </c>
      <c r="DH106" s="88">
        <v>2803</v>
      </c>
      <c r="DI106" s="88">
        <v>2760</v>
      </c>
      <c r="DJ106" s="88">
        <v>3025</v>
      </c>
      <c r="DK106" s="88">
        <v>2952</v>
      </c>
      <c r="DL106" s="88">
        <v>3014</v>
      </c>
      <c r="DM106" s="88">
        <v>2821</v>
      </c>
      <c r="DN106" s="88">
        <v>3102</v>
      </c>
      <c r="DO106" s="88">
        <v>2875</v>
      </c>
      <c r="DP106" s="88">
        <v>2839</v>
      </c>
      <c r="DQ106" s="88">
        <v>2872</v>
      </c>
      <c r="DR106" s="88">
        <v>2737</v>
      </c>
      <c r="DS106" s="88">
        <v>2085</v>
      </c>
      <c r="DT106" s="88">
        <v>2112</v>
      </c>
      <c r="DU106" s="88">
        <v>2237</v>
      </c>
      <c r="DV106" s="88">
        <v>2545</v>
      </c>
      <c r="DW106" s="88">
        <v>2536</v>
      </c>
      <c r="DX106" s="88">
        <v>2607</v>
      </c>
      <c r="DY106" s="88">
        <v>2682</v>
      </c>
      <c r="DZ106" s="88">
        <v>2588</v>
      </c>
      <c r="EA106" s="88">
        <v>2893</v>
      </c>
      <c r="EB106" s="88">
        <v>2914</v>
      </c>
      <c r="EC106" s="88">
        <v>3044</v>
      </c>
      <c r="ED106" s="88">
        <v>3055</v>
      </c>
      <c r="EE106" s="88">
        <v>3243</v>
      </c>
      <c r="EF106" s="88">
        <v>3149</v>
      </c>
      <c r="EG106" s="88">
        <v>3203</v>
      </c>
      <c r="EH106" s="88">
        <v>3216</v>
      </c>
      <c r="EI106" s="88">
        <v>3238</v>
      </c>
      <c r="EJ106" s="88">
        <v>3104</v>
      </c>
      <c r="EK106" s="88">
        <v>3190</v>
      </c>
      <c r="EL106" s="88">
        <v>3038</v>
      </c>
      <c r="EM106" s="88">
        <v>2981</v>
      </c>
      <c r="EN106" s="88">
        <v>2928</v>
      </c>
      <c r="EO106" s="88">
        <v>3069</v>
      </c>
      <c r="EP106" s="88">
        <v>3047</v>
      </c>
      <c r="EQ106" s="88">
        <v>3054</v>
      </c>
      <c r="ER106" s="88">
        <v>2723</v>
      </c>
      <c r="ES106" s="88">
        <v>2657</v>
      </c>
      <c r="ET106" s="88">
        <v>2819</v>
      </c>
      <c r="EU106" s="88">
        <v>3097</v>
      </c>
      <c r="EV106" s="88">
        <v>3137</v>
      </c>
      <c r="EW106" s="88">
        <v>3414</v>
      </c>
      <c r="EX106" s="88">
        <v>3606</v>
      </c>
      <c r="EY106" s="88">
        <v>3908</v>
      </c>
      <c r="EZ106" s="88">
        <v>3768</v>
      </c>
      <c r="FA106" s="88">
        <v>3934</v>
      </c>
      <c r="FB106" s="88">
        <v>3922</v>
      </c>
      <c r="FC106" s="88">
        <v>3997</v>
      </c>
      <c r="FD106" s="88">
        <v>4139</v>
      </c>
      <c r="FE106" s="88">
        <v>4096</v>
      </c>
      <c r="FF106" s="88">
        <v>3950</v>
      </c>
      <c r="FG106" s="88">
        <v>3863</v>
      </c>
      <c r="FH106" s="88">
        <v>3718</v>
      </c>
      <c r="FI106" s="88">
        <v>3718</v>
      </c>
      <c r="FJ106" s="88">
        <v>3552</v>
      </c>
      <c r="FK106" s="88">
        <v>3480</v>
      </c>
      <c r="FL106" s="88">
        <v>3460</v>
      </c>
      <c r="FM106" s="88">
        <v>3189</v>
      </c>
      <c r="FN106" s="88">
        <v>3049</v>
      </c>
      <c r="FO106" s="88">
        <v>3143</v>
      </c>
      <c r="FP106" s="88">
        <v>3121</v>
      </c>
      <c r="FQ106" s="88">
        <v>3062</v>
      </c>
      <c r="FR106" s="88">
        <v>2923</v>
      </c>
      <c r="FS106" s="88">
        <v>3005</v>
      </c>
      <c r="FT106" s="88">
        <v>3110</v>
      </c>
      <c r="FU106" s="88">
        <v>3163</v>
      </c>
      <c r="FV106" s="88">
        <v>3278</v>
      </c>
      <c r="FW106" s="88">
        <v>3434</v>
      </c>
      <c r="FX106" s="88">
        <v>2816</v>
      </c>
      <c r="FY106" s="88">
        <v>2563</v>
      </c>
      <c r="FZ106" s="88">
        <v>2638</v>
      </c>
      <c r="GA106" s="88">
        <v>2332</v>
      </c>
      <c r="GB106" s="88">
        <v>2117</v>
      </c>
      <c r="GC106" s="88">
        <v>1818</v>
      </c>
      <c r="GD106" s="88">
        <v>1794</v>
      </c>
      <c r="GE106" s="88">
        <v>1704</v>
      </c>
      <c r="GF106" s="88">
        <v>1617</v>
      </c>
      <c r="GG106" s="88">
        <v>1477</v>
      </c>
      <c r="GH106" s="88">
        <v>1229</v>
      </c>
      <c r="GI106" s="88">
        <v>1058</v>
      </c>
      <c r="GJ106" s="88">
        <v>970</v>
      </c>
      <c r="GK106" s="88">
        <v>887</v>
      </c>
      <c r="GL106" s="89">
        <v>3642</v>
      </c>
    </row>
    <row r="107" spans="1:194" s="1" customFormat="1" x14ac:dyDescent="0.2">
      <c r="A107" s="90" t="s">
        <v>94</v>
      </c>
      <c r="B107" s="146" t="s">
        <v>192</v>
      </c>
      <c r="C107" s="30" t="str">
        <f t="shared" si="14"/>
        <v xml:space="preserve">England – CCGs - Somerset </v>
      </c>
      <c r="D107" s="51">
        <f t="shared" si="13"/>
        <v>246047</v>
      </c>
      <c r="E107" s="51">
        <f t="shared" si="13"/>
        <v>260122</v>
      </c>
      <c r="F107" s="52">
        <f t="shared" si="17"/>
        <v>576852</v>
      </c>
      <c r="G107" s="52">
        <f t="shared" si="18"/>
        <v>282176</v>
      </c>
      <c r="H107" s="52">
        <f t="shared" si="19"/>
        <v>294676</v>
      </c>
      <c r="I107" s="697">
        <f t="shared" si="15"/>
        <v>246047</v>
      </c>
      <c r="J107" s="53">
        <f t="shared" si="16"/>
        <v>260122</v>
      </c>
      <c r="K107" s="50">
        <f t="shared" si="20"/>
        <v>56523</v>
      </c>
      <c r="L107" s="51">
        <f t="shared" si="21"/>
        <v>53989</v>
      </c>
      <c r="M107" s="87">
        <v>2579</v>
      </c>
      <c r="N107" s="87">
        <v>2735</v>
      </c>
      <c r="O107" s="87">
        <v>2851</v>
      </c>
      <c r="P107" s="87">
        <v>2827</v>
      </c>
      <c r="Q107" s="87">
        <v>2880</v>
      </c>
      <c r="R107" s="87">
        <v>2967</v>
      </c>
      <c r="S107" s="87">
        <v>3154</v>
      </c>
      <c r="T107" s="87">
        <v>3129</v>
      </c>
      <c r="U107" s="87">
        <v>3161</v>
      </c>
      <c r="V107" s="87">
        <v>3188</v>
      </c>
      <c r="W107" s="87">
        <v>3295</v>
      </c>
      <c r="X107" s="87">
        <v>3363</v>
      </c>
      <c r="Y107" s="87">
        <v>3374</v>
      </c>
      <c r="Z107" s="87">
        <v>3386</v>
      </c>
      <c r="AA107" s="87">
        <v>3512</v>
      </c>
      <c r="AB107" s="87">
        <v>3426</v>
      </c>
      <c r="AC107" s="87">
        <v>3314</v>
      </c>
      <c r="AD107" s="87">
        <v>3382</v>
      </c>
      <c r="AE107" s="87">
        <v>3233</v>
      </c>
      <c r="AF107" s="87">
        <v>2574</v>
      </c>
      <c r="AG107" s="87">
        <v>2320</v>
      </c>
      <c r="AH107" s="87">
        <v>2317</v>
      </c>
      <c r="AI107" s="87">
        <v>2682</v>
      </c>
      <c r="AJ107" s="87">
        <v>2825</v>
      </c>
      <c r="AK107" s="87">
        <v>2972</v>
      </c>
      <c r="AL107" s="87">
        <v>3024</v>
      </c>
      <c r="AM107" s="87">
        <v>2813</v>
      </c>
      <c r="AN107" s="87">
        <v>2916</v>
      </c>
      <c r="AO107" s="87">
        <v>3167</v>
      </c>
      <c r="AP107" s="87">
        <v>3055</v>
      </c>
      <c r="AQ107" s="87">
        <v>3190</v>
      </c>
      <c r="AR107" s="87">
        <v>3110</v>
      </c>
      <c r="AS107" s="87">
        <v>3338</v>
      </c>
      <c r="AT107" s="87">
        <v>3356</v>
      </c>
      <c r="AU107" s="87">
        <v>3357</v>
      </c>
      <c r="AV107" s="87">
        <v>3215</v>
      </c>
      <c r="AW107" s="87">
        <v>3254</v>
      </c>
      <c r="AX107" s="87">
        <v>3245</v>
      </c>
      <c r="AY107" s="87">
        <v>3107</v>
      </c>
      <c r="AZ107" s="87">
        <v>3286</v>
      </c>
      <c r="BA107" s="87">
        <v>3231</v>
      </c>
      <c r="BB107" s="87">
        <v>3086</v>
      </c>
      <c r="BC107" s="87">
        <v>3130</v>
      </c>
      <c r="BD107" s="87">
        <v>3091</v>
      </c>
      <c r="BE107" s="87">
        <v>2853</v>
      </c>
      <c r="BF107" s="87">
        <v>2898</v>
      </c>
      <c r="BG107" s="87">
        <v>2937</v>
      </c>
      <c r="BH107" s="87">
        <v>3128</v>
      </c>
      <c r="BI107" s="87">
        <v>3375</v>
      </c>
      <c r="BJ107" s="87">
        <v>3517</v>
      </c>
      <c r="BK107" s="87">
        <v>3744</v>
      </c>
      <c r="BL107" s="87">
        <v>4009</v>
      </c>
      <c r="BM107" s="87">
        <v>3889</v>
      </c>
      <c r="BN107" s="87">
        <v>4086</v>
      </c>
      <c r="BO107" s="87">
        <v>4178</v>
      </c>
      <c r="BP107" s="87">
        <v>4253</v>
      </c>
      <c r="BQ107" s="87">
        <v>4274</v>
      </c>
      <c r="BR107" s="87">
        <v>4332</v>
      </c>
      <c r="BS107" s="87">
        <v>4354</v>
      </c>
      <c r="BT107" s="87">
        <v>4182</v>
      </c>
      <c r="BU107" s="87">
        <v>4150</v>
      </c>
      <c r="BV107" s="87">
        <v>4066</v>
      </c>
      <c r="BW107" s="87">
        <v>3883</v>
      </c>
      <c r="BX107" s="87">
        <v>3818</v>
      </c>
      <c r="BY107" s="87">
        <v>3682</v>
      </c>
      <c r="BZ107" s="87">
        <v>3615</v>
      </c>
      <c r="CA107" s="87">
        <v>3543</v>
      </c>
      <c r="CB107" s="87">
        <v>3426</v>
      </c>
      <c r="CC107" s="87">
        <v>3489</v>
      </c>
      <c r="CD107" s="87">
        <v>3480</v>
      </c>
      <c r="CE107" s="87">
        <v>3452</v>
      </c>
      <c r="CF107" s="87">
        <v>3599</v>
      </c>
      <c r="CG107" s="87">
        <v>3427</v>
      </c>
      <c r="CH107" s="87">
        <v>3575</v>
      </c>
      <c r="CI107" s="87">
        <v>3738</v>
      </c>
      <c r="CJ107" s="87">
        <v>3920</v>
      </c>
      <c r="CK107" s="87">
        <v>3043</v>
      </c>
      <c r="CL107" s="87">
        <v>2852</v>
      </c>
      <c r="CM107" s="87">
        <v>2699</v>
      </c>
      <c r="CN107" s="87">
        <v>2553</v>
      </c>
      <c r="CO107" s="87">
        <v>2221</v>
      </c>
      <c r="CP107" s="87">
        <v>1745</v>
      </c>
      <c r="CQ107" s="87">
        <v>1859</v>
      </c>
      <c r="CR107" s="87">
        <v>1700</v>
      </c>
      <c r="CS107" s="87">
        <v>1531</v>
      </c>
      <c r="CT107" s="87">
        <v>1348</v>
      </c>
      <c r="CU107" s="87">
        <v>1194</v>
      </c>
      <c r="CV107" s="87">
        <v>995</v>
      </c>
      <c r="CW107" s="87">
        <v>857</v>
      </c>
      <c r="CX107" s="87">
        <v>720</v>
      </c>
      <c r="CY107" s="87">
        <v>2570</v>
      </c>
      <c r="CZ107" s="88">
        <v>2476</v>
      </c>
      <c r="DA107" s="88">
        <v>2468</v>
      </c>
      <c r="DB107" s="88">
        <v>2692</v>
      </c>
      <c r="DC107" s="88">
        <v>2688</v>
      </c>
      <c r="DD107" s="88">
        <v>2859</v>
      </c>
      <c r="DE107" s="88">
        <v>2829</v>
      </c>
      <c r="DF107" s="88">
        <v>2936</v>
      </c>
      <c r="DG107" s="88">
        <v>2924</v>
      </c>
      <c r="DH107" s="88">
        <v>3067</v>
      </c>
      <c r="DI107" s="88">
        <v>3069</v>
      </c>
      <c r="DJ107" s="88">
        <v>3261</v>
      </c>
      <c r="DK107" s="88">
        <v>3285</v>
      </c>
      <c r="DL107" s="88">
        <v>3311</v>
      </c>
      <c r="DM107" s="88">
        <v>3226</v>
      </c>
      <c r="DN107" s="88">
        <v>3315</v>
      </c>
      <c r="DO107" s="88">
        <v>3290</v>
      </c>
      <c r="DP107" s="88">
        <v>3116</v>
      </c>
      <c r="DQ107" s="88">
        <v>3177</v>
      </c>
      <c r="DR107" s="88">
        <v>2969</v>
      </c>
      <c r="DS107" s="88">
        <v>2242</v>
      </c>
      <c r="DT107" s="88">
        <v>1760</v>
      </c>
      <c r="DU107" s="88">
        <v>2042</v>
      </c>
      <c r="DV107" s="88">
        <v>2381</v>
      </c>
      <c r="DW107" s="88">
        <v>2594</v>
      </c>
      <c r="DX107" s="88">
        <v>2847</v>
      </c>
      <c r="DY107" s="88">
        <v>2834</v>
      </c>
      <c r="DZ107" s="88">
        <v>2721</v>
      </c>
      <c r="EA107" s="88">
        <v>2937</v>
      </c>
      <c r="EB107" s="88">
        <v>3245</v>
      </c>
      <c r="EC107" s="88">
        <v>3103</v>
      </c>
      <c r="ED107" s="88">
        <v>3345</v>
      </c>
      <c r="EE107" s="88">
        <v>3311</v>
      </c>
      <c r="EF107" s="88">
        <v>3514</v>
      </c>
      <c r="EG107" s="88">
        <v>3616</v>
      </c>
      <c r="EH107" s="88">
        <v>3539</v>
      </c>
      <c r="EI107" s="88">
        <v>3370</v>
      </c>
      <c r="EJ107" s="88">
        <v>3295</v>
      </c>
      <c r="EK107" s="88">
        <v>3344</v>
      </c>
      <c r="EL107" s="88">
        <v>3273</v>
      </c>
      <c r="EM107" s="88">
        <v>3261</v>
      </c>
      <c r="EN107" s="88">
        <v>3160</v>
      </c>
      <c r="EO107" s="88">
        <v>3476</v>
      </c>
      <c r="EP107" s="88">
        <v>3292</v>
      </c>
      <c r="EQ107" s="88">
        <v>3261</v>
      </c>
      <c r="ER107" s="88">
        <v>3046</v>
      </c>
      <c r="ES107" s="88">
        <v>3057</v>
      </c>
      <c r="ET107" s="88">
        <v>3131</v>
      </c>
      <c r="EU107" s="88">
        <v>3407</v>
      </c>
      <c r="EV107" s="88">
        <v>3533</v>
      </c>
      <c r="EW107" s="88">
        <v>3679</v>
      </c>
      <c r="EX107" s="88">
        <v>4041</v>
      </c>
      <c r="EY107" s="88">
        <v>4122</v>
      </c>
      <c r="EZ107" s="88">
        <v>4175</v>
      </c>
      <c r="FA107" s="88">
        <v>4296</v>
      </c>
      <c r="FB107" s="88">
        <v>4349</v>
      </c>
      <c r="FC107" s="88">
        <v>4362</v>
      </c>
      <c r="FD107" s="88">
        <v>4554</v>
      </c>
      <c r="FE107" s="88">
        <v>4504</v>
      </c>
      <c r="FF107" s="88">
        <v>4550</v>
      </c>
      <c r="FG107" s="88">
        <v>4485</v>
      </c>
      <c r="FH107" s="88">
        <v>4364</v>
      </c>
      <c r="FI107" s="88">
        <v>4293</v>
      </c>
      <c r="FJ107" s="88">
        <v>4066</v>
      </c>
      <c r="FK107" s="88">
        <v>4011</v>
      </c>
      <c r="FL107" s="88">
        <v>4007</v>
      </c>
      <c r="FM107" s="88">
        <v>3910</v>
      </c>
      <c r="FN107" s="88">
        <v>3589</v>
      </c>
      <c r="FO107" s="88">
        <v>3682</v>
      </c>
      <c r="FP107" s="88">
        <v>3879</v>
      </c>
      <c r="FQ107" s="88">
        <v>3770</v>
      </c>
      <c r="FR107" s="88">
        <v>3798</v>
      </c>
      <c r="FS107" s="88">
        <v>3708</v>
      </c>
      <c r="FT107" s="88">
        <v>3747</v>
      </c>
      <c r="FU107" s="88">
        <v>3876</v>
      </c>
      <c r="FV107" s="88">
        <v>4081</v>
      </c>
      <c r="FW107" s="88">
        <v>4322</v>
      </c>
      <c r="FX107" s="88">
        <v>3309</v>
      </c>
      <c r="FY107" s="88">
        <v>3282</v>
      </c>
      <c r="FZ107" s="88">
        <v>3033</v>
      </c>
      <c r="GA107" s="88">
        <v>2963</v>
      </c>
      <c r="GB107" s="88">
        <v>2517</v>
      </c>
      <c r="GC107" s="88">
        <v>2180</v>
      </c>
      <c r="GD107" s="88">
        <v>2154</v>
      </c>
      <c r="GE107" s="88">
        <v>1951</v>
      </c>
      <c r="GF107" s="88">
        <v>1922</v>
      </c>
      <c r="GG107" s="88">
        <v>1779</v>
      </c>
      <c r="GH107" s="88">
        <v>1560</v>
      </c>
      <c r="GI107" s="88">
        <v>1414</v>
      </c>
      <c r="GJ107" s="88">
        <v>1295</v>
      </c>
      <c r="GK107" s="88">
        <v>1114</v>
      </c>
      <c r="GL107" s="89">
        <v>5088</v>
      </c>
    </row>
    <row r="108" spans="1:194" s="1" customFormat="1" x14ac:dyDescent="0.2">
      <c r="A108" s="90" t="s">
        <v>94</v>
      </c>
      <c r="B108" s="146" t="s">
        <v>193</v>
      </c>
      <c r="C108" s="30" t="str">
        <f t="shared" si="14"/>
        <v xml:space="preserve">England – CCGs - South East London </v>
      </c>
      <c r="D108" s="51">
        <f t="shared" si="13"/>
        <v>739901</v>
      </c>
      <c r="E108" s="51">
        <f t="shared" si="13"/>
        <v>809292</v>
      </c>
      <c r="F108" s="52">
        <f t="shared" si="17"/>
        <v>1795871</v>
      </c>
      <c r="G108" s="52">
        <f t="shared" si="18"/>
        <v>865549</v>
      </c>
      <c r="H108" s="52">
        <f t="shared" si="19"/>
        <v>930322</v>
      </c>
      <c r="I108" s="697">
        <f t="shared" si="15"/>
        <v>739901</v>
      </c>
      <c r="J108" s="53">
        <f t="shared" si="16"/>
        <v>809292</v>
      </c>
      <c r="K108" s="50">
        <f t="shared" si="20"/>
        <v>188145</v>
      </c>
      <c r="L108" s="51">
        <f t="shared" si="21"/>
        <v>180944</v>
      </c>
      <c r="M108" s="87">
        <v>10895</v>
      </c>
      <c r="N108" s="87">
        <v>10087</v>
      </c>
      <c r="O108" s="87">
        <v>10553</v>
      </c>
      <c r="P108" s="87">
        <v>10213</v>
      </c>
      <c r="Q108" s="87">
        <v>10122</v>
      </c>
      <c r="R108" s="87">
        <v>10225</v>
      </c>
      <c r="S108" s="87">
        <v>10744</v>
      </c>
      <c r="T108" s="87">
        <v>10417</v>
      </c>
      <c r="U108" s="87">
        <v>10423</v>
      </c>
      <c r="V108" s="87">
        <v>10551</v>
      </c>
      <c r="W108" s="87">
        <v>10570</v>
      </c>
      <c r="X108" s="87">
        <v>10848</v>
      </c>
      <c r="Y108" s="87">
        <v>10662</v>
      </c>
      <c r="Z108" s="87">
        <v>10563</v>
      </c>
      <c r="AA108" s="87">
        <v>10688</v>
      </c>
      <c r="AB108" s="87">
        <v>10364</v>
      </c>
      <c r="AC108" s="87">
        <v>10002</v>
      </c>
      <c r="AD108" s="87">
        <v>10218</v>
      </c>
      <c r="AE108" s="87">
        <v>9733</v>
      </c>
      <c r="AF108" s="87">
        <v>8581</v>
      </c>
      <c r="AG108" s="87">
        <v>8953</v>
      </c>
      <c r="AH108" s="87">
        <v>9399</v>
      </c>
      <c r="AI108" s="87">
        <v>10972</v>
      </c>
      <c r="AJ108" s="87">
        <v>12711</v>
      </c>
      <c r="AK108" s="87">
        <v>14178</v>
      </c>
      <c r="AL108" s="87">
        <v>15464</v>
      </c>
      <c r="AM108" s="87">
        <v>16185</v>
      </c>
      <c r="AN108" s="87">
        <v>15905</v>
      </c>
      <c r="AO108" s="87">
        <v>16685</v>
      </c>
      <c r="AP108" s="87">
        <v>16606</v>
      </c>
      <c r="AQ108" s="87">
        <v>16836</v>
      </c>
      <c r="AR108" s="87">
        <v>16526</v>
      </c>
      <c r="AS108" s="87">
        <v>16420</v>
      </c>
      <c r="AT108" s="87">
        <v>15946</v>
      </c>
      <c r="AU108" s="87">
        <v>15578</v>
      </c>
      <c r="AV108" s="87">
        <v>14367</v>
      </c>
      <c r="AW108" s="87">
        <v>14356</v>
      </c>
      <c r="AX108" s="87">
        <v>13973</v>
      </c>
      <c r="AY108" s="87">
        <v>13625</v>
      </c>
      <c r="AZ108" s="87">
        <v>13478</v>
      </c>
      <c r="BA108" s="87">
        <v>13323</v>
      </c>
      <c r="BB108" s="87">
        <v>13118</v>
      </c>
      <c r="BC108" s="87">
        <v>13016</v>
      </c>
      <c r="BD108" s="87">
        <v>12554</v>
      </c>
      <c r="BE108" s="87">
        <v>11923</v>
      </c>
      <c r="BF108" s="87">
        <v>11451</v>
      </c>
      <c r="BG108" s="87">
        <v>11586</v>
      </c>
      <c r="BH108" s="87">
        <v>11686</v>
      </c>
      <c r="BI108" s="87">
        <v>11187</v>
      </c>
      <c r="BJ108" s="87">
        <v>11452</v>
      </c>
      <c r="BK108" s="87">
        <v>11365</v>
      </c>
      <c r="BL108" s="87">
        <v>11427</v>
      </c>
      <c r="BM108" s="87">
        <v>11516</v>
      </c>
      <c r="BN108" s="87">
        <v>11506</v>
      </c>
      <c r="BO108" s="87">
        <v>11237</v>
      </c>
      <c r="BP108" s="87">
        <v>11434</v>
      </c>
      <c r="BQ108" s="87">
        <v>11208</v>
      </c>
      <c r="BR108" s="87">
        <v>10840</v>
      </c>
      <c r="BS108" s="87">
        <v>10338</v>
      </c>
      <c r="BT108" s="87">
        <v>10085</v>
      </c>
      <c r="BU108" s="87">
        <v>9439</v>
      </c>
      <c r="BV108" s="87">
        <v>9057</v>
      </c>
      <c r="BW108" s="87">
        <v>8713</v>
      </c>
      <c r="BX108" s="87">
        <v>7955</v>
      </c>
      <c r="BY108" s="87">
        <v>7552</v>
      </c>
      <c r="BZ108" s="87">
        <v>6906</v>
      </c>
      <c r="CA108" s="87">
        <v>6584</v>
      </c>
      <c r="CB108" s="87">
        <v>6083</v>
      </c>
      <c r="CC108" s="87">
        <v>5696</v>
      </c>
      <c r="CD108" s="87">
        <v>5182</v>
      </c>
      <c r="CE108" s="87">
        <v>4900</v>
      </c>
      <c r="CF108" s="87">
        <v>5003</v>
      </c>
      <c r="CG108" s="87">
        <v>4772</v>
      </c>
      <c r="CH108" s="87">
        <v>4637</v>
      </c>
      <c r="CI108" s="87">
        <v>4822</v>
      </c>
      <c r="CJ108" s="87">
        <v>5215</v>
      </c>
      <c r="CK108" s="87">
        <v>3815</v>
      </c>
      <c r="CL108" s="87">
        <v>3450</v>
      </c>
      <c r="CM108" s="87">
        <v>3430</v>
      </c>
      <c r="CN108" s="87">
        <v>3170</v>
      </c>
      <c r="CO108" s="87">
        <v>2702</v>
      </c>
      <c r="CP108" s="87">
        <v>2346</v>
      </c>
      <c r="CQ108" s="87">
        <v>2437</v>
      </c>
      <c r="CR108" s="87">
        <v>2316</v>
      </c>
      <c r="CS108" s="87">
        <v>2100</v>
      </c>
      <c r="CT108" s="87">
        <v>1845</v>
      </c>
      <c r="CU108" s="87">
        <v>1620</v>
      </c>
      <c r="CV108" s="87">
        <v>1354</v>
      </c>
      <c r="CW108" s="87">
        <v>1167</v>
      </c>
      <c r="CX108" s="87">
        <v>1027</v>
      </c>
      <c r="CY108" s="87">
        <v>3380</v>
      </c>
      <c r="CZ108" s="88">
        <v>10497</v>
      </c>
      <c r="DA108" s="88">
        <v>9785</v>
      </c>
      <c r="DB108" s="88">
        <v>9858</v>
      </c>
      <c r="DC108" s="88">
        <v>9962</v>
      </c>
      <c r="DD108" s="88">
        <v>9992</v>
      </c>
      <c r="DE108" s="88">
        <v>9986</v>
      </c>
      <c r="DF108" s="88">
        <v>10036</v>
      </c>
      <c r="DG108" s="88">
        <v>10046</v>
      </c>
      <c r="DH108" s="88">
        <v>9981</v>
      </c>
      <c r="DI108" s="88">
        <v>10201</v>
      </c>
      <c r="DJ108" s="88">
        <v>10292</v>
      </c>
      <c r="DK108" s="88">
        <v>10394</v>
      </c>
      <c r="DL108" s="88">
        <v>10195</v>
      </c>
      <c r="DM108" s="88">
        <v>10193</v>
      </c>
      <c r="DN108" s="88">
        <v>10304</v>
      </c>
      <c r="DO108" s="88">
        <v>9946</v>
      </c>
      <c r="DP108" s="88">
        <v>9639</v>
      </c>
      <c r="DQ108" s="88">
        <v>9637</v>
      </c>
      <c r="DR108" s="88">
        <v>9582</v>
      </c>
      <c r="DS108" s="88">
        <v>9031</v>
      </c>
      <c r="DT108" s="88">
        <v>9667</v>
      </c>
      <c r="DU108" s="88">
        <v>10247</v>
      </c>
      <c r="DV108" s="88">
        <v>12414</v>
      </c>
      <c r="DW108" s="88">
        <v>14348</v>
      </c>
      <c r="DX108" s="88">
        <v>16141</v>
      </c>
      <c r="DY108" s="88">
        <v>17455</v>
      </c>
      <c r="DZ108" s="88">
        <v>17585</v>
      </c>
      <c r="EA108" s="88">
        <v>18007</v>
      </c>
      <c r="EB108" s="88">
        <v>18108</v>
      </c>
      <c r="EC108" s="88">
        <v>17940</v>
      </c>
      <c r="ED108" s="88">
        <v>18147</v>
      </c>
      <c r="EE108" s="88">
        <v>17760</v>
      </c>
      <c r="EF108" s="88">
        <v>17597</v>
      </c>
      <c r="EG108" s="88">
        <v>17308</v>
      </c>
      <c r="EH108" s="88">
        <v>16833</v>
      </c>
      <c r="EI108" s="88">
        <v>16048</v>
      </c>
      <c r="EJ108" s="88">
        <v>15841</v>
      </c>
      <c r="EK108" s="88">
        <v>15129</v>
      </c>
      <c r="EL108" s="88">
        <v>14744</v>
      </c>
      <c r="EM108" s="88">
        <v>14409</v>
      </c>
      <c r="EN108" s="88">
        <v>14423</v>
      </c>
      <c r="EO108" s="88">
        <v>14572</v>
      </c>
      <c r="EP108" s="88">
        <v>14282</v>
      </c>
      <c r="EQ108" s="88">
        <v>13700</v>
      </c>
      <c r="ER108" s="88">
        <v>12853</v>
      </c>
      <c r="ES108" s="88">
        <v>12570</v>
      </c>
      <c r="ET108" s="88">
        <v>12351</v>
      </c>
      <c r="EU108" s="88">
        <v>12464</v>
      </c>
      <c r="EV108" s="88">
        <v>12079</v>
      </c>
      <c r="EW108" s="88">
        <v>11999</v>
      </c>
      <c r="EX108" s="88">
        <v>11904</v>
      </c>
      <c r="EY108" s="88">
        <v>12473</v>
      </c>
      <c r="EZ108" s="88">
        <v>12037</v>
      </c>
      <c r="FA108" s="88">
        <v>12152</v>
      </c>
      <c r="FB108" s="88">
        <v>11900</v>
      </c>
      <c r="FC108" s="88">
        <v>11845</v>
      </c>
      <c r="FD108" s="88">
        <v>11656</v>
      </c>
      <c r="FE108" s="88">
        <v>11636</v>
      </c>
      <c r="FF108" s="88">
        <v>11397</v>
      </c>
      <c r="FG108" s="88">
        <v>11028</v>
      </c>
      <c r="FH108" s="88">
        <v>10419</v>
      </c>
      <c r="FI108" s="88">
        <v>9745</v>
      </c>
      <c r="FJ108" s="88">
        <v>9174</v>
      </c>
      <c r="FK108" s="88">
        <v>8426</v>
      </c>
      <c r="FL108" s="88">
        <v>7948</v>
      </c>
      <c r="FM108" s="88">
        <v>7558</v>
      </c>
      <c r="FN108" s="88">
        <v>7053</v>
      </c>
      <c r="FO108" s="88">
        <v>6470</v>
      </c>
      <c r="FP108" s="88">
        <v>6193</v>
      </c>
      <c r="FQ108" s="88">
        <v>5897</v>
      </c>
      <c r="FR108" s="88">
        <v>5675</v>
      </c>
      <c r="FS108" s="88">
        <v>5723</v>
      </c>
      <c r="FT108" s="88">
        <v>5453</v>
      </c>
      <c r="FU108" s="88">
        <v>5556</v>
      </c>
      <c r="FV108" s="88">
        <v>5678</v>
      </c>
      <c r="FW108" s="88">
        <v>6102</v>
      </c>
      <c r="FX108" s="88">
        <v>4891</v>
      </c>
      <c r="FY108" s="88">
        <v>4345</v>
      </c>
      <c r="FZ108" s="88">
        <v>4210</v>
      </c>
      <c r="GA108" s="88">
        <v>4095</v>
      </c>
      <c r="GB108" s="88">
        <v>3685</v>
      </c>
      <c r="GC108" s="88">
        <v>3282</v>
      </c>
      <c r="GD108" s="88">
        <v>3396</v>
      </c>
      <c r="GE108" s="88">
        <v>3285</v>
      </c>
      <c r="GF108" s="88">
        <v>3014</v>
      </c>
      <c r="GG108" s="88">
        <v>2710</v>
      </c>
      <c r="GH108" s="88">
        <v>2495</v>
      </c>
      <c r="GI108" s="88">
        <v>2229</v>
      </c>
      <c r="GJ108" s="88">
        <v>1947</v>
      </c>
      <c r="GK108" s="88">
        <v>1750</v>
      </c>
      <c r="GL108" s="89">
        <v>7312</v>
      </c>
    </row>
    <row r="109" spans="1:194" s="1" customFormat="1" x14ac:dyDescent="0.2">
      <c r="A109" s="90" t="s">
        <v>94</v>
      </c>
      <c r="B109" s="146" t="s">
        <v>194</v>
      </c>
      <c r="C109" s="30" t="str">
        <f t="shared" si="14"/>
        <v xml:space="preserve">England – CCGs - South East Staffordshire and Seisdon Peninsula </v>
      </c>
      <c r="D109" s="51">
        <f t="shared" si="13"/>
        <v>100167</v>
      </c>
      <c r="E109" s="51">
        <f t="shared" si="13"/>
        <v>102271</v>
      </c>
      <c r="F109" s="52">
        <f t="shared" si="17"/>
        <v>231486</v>
      </c>
      <c r="G109" s="52">
        <f t="shared" si="18"/>
        <v>114941</v>
      </c>
      <c r="H109" s="52">
        <f t="shared" si="19"/>
        <v>116545</v>
      </c>
      <c r="I109" s="697">
        <f t="shared" si="15"/>
        <v>100167</v>
      </c>
      <c r="J109" s="53">
        <f t="shared" si="16"/>
        <v>102271</v>
      </c>
      <c r="K109" s="50">
        <f t="shared" si="20"/>
        <v>22653</v>
      </c>
      <c r="L109" s="51">
        <f t="shared" si="21"/>
        <v>21569</v>
      </c>
      <c r="M109" s="87">
        <v>1129</v>
      </c>
      <c r="N109" s="87">
        <v>1153</v>
      </c>
      <c r="O109" s="87">
        <v>1167</v>
      </c>
      <c r="P109" s="87">
        <v>1125</v>
      </c>
      <c r="Q109" s="87">
        <v>1200</v>
      </c>
      <c r="R109" s="87">
        <v>1328</v>
      </c>
      <c r="S109" s="87">
        <v>1300</v>
      </c>
      <c r="T109" s="87">
        <v>1196</v>
      </c>
      <c r="U109" s="87">
        <v>1200</v>
      </c>
      <c r="V109" s="87">
        <v>1332</v>
      </c>
      <c r="W109" s="87">
        <v>1352</v>
      </c>
      <c r="X109" s="87">
        <v>1292</v>
      </c>
      <c r="Y109" s="87">
        <v>1337</v>
      </c>
      <c r="Z109" s="87">
        <v>1327</v>
      </c>
      <c r="AA109" s="87">
        <v>1379</v>
      </c>
      <c r="AB109" s="87">
        <v>1249</v>
      </c>
      <c r="AC109" s="87">
        <v>1261</v>
      </c>
      <c r="AD109" s="87">
        <v>1326</v>
      </c>
      <c r="AE109" s="87">
        <v>1365</v>
      </c>
      <c r="AF109" s="87">
        <v>1066</v>
      </c>
      <c r="AG109" s="87">
        <v>1122</v>
      </c>
      <c r="AH109" s="87">
        <v>1110</v>
      </c>
      <c r="AI109" s="87">
        <v>1195</v>
      </c>
      <c r="AJ109" s="87">
        <v>1281</v>
      </c>
      <c r="AK109" s="87">
        <v>1345</v>
      </c>
      <c r="AL109" s="87">
        <v>1364</v>
      </c>
      <c r="AM109" s="87">
        <v>1300</v>
      </c>
      <c r="AN109" s="87">
        <v>1379</v>
      </c>
      <c r="AO109" s="87">
        <v>1415</v>
      </c>
      <c r="AP109" s="87">
        <v>1450</v>
      </c>
      <c r="AQ109" s="87">
        <v>1499</v>
      </c>
      <c r="AR109" s="87">
        <v>1523</v>
      </c>
      <c r="AS109" s="87">
        <v>1497</v>
      </c>
      <c r="AT109" s="87">
        <v>1440</v>
      </c>
      <c r="AU109" s="87">
        <v>1487</v>
      </c>
      <c r="AV109" s="87">
        <v>1426</v>
      </c>
      <c r="AW109" s="87">
        <v>1397</v>
      </c>
      <c r="AX109" s="87">
        <v>1408</v>
      </c>
      <c r="AY109" s="87">
        <v>1434</v>
      </c>
      <c r="AZ109" s="87">
        <v>1397</v>
      </c>
      <c r="BA109" s="87">
        <v>1384</v>
      </c>
      <c r="BB109" s="87">
        <v>1336</v>
      </c>
      <c r="BC109" s="87">
        <v>1494</v>
      </c>
      <c r="BD109" s="87">
        <v>1348</v>
      </c>
      <c r="BE109" s="87">
        <v>1213</v>
      </c>
      <c r="BF109" s="87">
        <v>1210</v>
      </c>
      <c r="BG109" s="87">
        <v>1324</v>
      </c>
      <c r="BH109" s="87">
        <v>1322</v>
      </c>
      <c r="BI109" s="87">
        <v>1426</v>
      </c>
      <c r="BJ109" s="87">
        <v>1482</v>
      </c>
      <c r="BK109" s="87">
        <v>1629</v>
      </c>
      <c r="BL109" s="87">
        <v>1754</v>
      </c>
      <c r="BM109" s="87">
        <v>1665</v>
      </c>
      <c r="BN109" s="87">
        <v>1708</v>
      </c>
      <c r="BO109" s="87">
        <v>1780</v>
      </c>
      <c r="BP109" s="87">
        <v>1731</v>
      </c>
      <c r="BQ109" s="87">
        <v>1700</v>
      </c>
      <c r="BR109" s="87">
        <v>1712</v>
      </c>
      <c r="BS109" s="87">
        <v>1642</v>
      </c>
      <c r="BT109" s="87">
        <v>1560</v>
      </c>
      <c r="BU109" s="87">
        <v>1547</v>
      </c>
      <c r="BV109" s="87">
        <v>1598</v>
      </c>
      <c r="BW109" s="87">
        <v>1426</v>
      </c>
      <c r="BX109" s="87">
        <v>1394</v>
      </c>
      <c r="BY109" s="87">
        <v>1306</v>
      </c>
      <c r="BZ109" s="87">
        <v>1383</v>
      </c>
      <c r="CA109" s="87">
        <v>1354</v>
      </c>
      <c r="CB109" s="87">
        <v>1295</v>
      </c>
      <c r="CC109" s="87">
        <v>1327</v>
      </c>
      <c r="CD109" s="87">
        <v>1338</v>
      </c>
      <c r="CE109" s="87">
        <v>1196</v>
      </c>
      <c r="CF109" s="87">
        <v>1202</v>
      </c>
      <c r="CG109" s="87">
        <v>1263</v>
      </c>
      <c r="CH109" s="87">
        <v>1332</v>
      </c>
      <c r="CI109" s="87">
        <v>1386</v>
      </c>
      <c r="CJ109" s="87">
        <v>1416</v>
      </c>
      <c r="CK109" s="87">
        <v>1025</v>
      </c>
      <c r="CL109" s="87">
        <v>1064</v>
      </c>
      <c r="CM109" s="87">
        <v>1099</v>
      </c>
      <c r="CN109" s="87">
        <v>947</v>
      </c>
      <c r="CO109" s="87">
        <v>892</v>
      </c>
      <c r="CP109" s="87">
        <v>693</v>
      </c>
      <c r="CQ109" s="87">
        <v>667</v>
      </c>
      <c r="CR109" s="87">
        <v>643</v>
      </c>
      <c r="CS109" s="87">
        <v>623</v>
      </c>
      <c r="CT109" s="87">
        <v>520</v>
      </c>
      <c r="CU109" s="87">
        <v>430</v>
      </c>
      <c r="CV109" s="87">
        <v>330</v>
      </c>
      <c r="CW109" s="87">
        <v>303</v>
      </c>
      <c r="CX109" s="87">
        <v>236</v>
      </c>
      <c r="CY109" s="87">
        <v>733</v>
      </c>
      <c r="CZ109" s="88">
        <v>1034</v>
      </c>
      <c r="DA109" s="88">
        <v>1052</v>
      </c>
      <c r="DB109" s="88">
        <v>1136</v>
      </c>
      <c r="DC109" s="88">
        <v>1138</v>
      </c>
      <c r="DD109" s="88">
        <v>1233</v>
      </c>
      <c r="DE109" s="88">
        <v>1187</v>
      </c>
      <c r="DF109" s="88">
        <v>1228</v>
      </c>
      <c r="DG109" s="88">
        <v>1206</v>
      </c>
      <c r="DH109" s="88">
        <v>1206</v>
      </c>
      <c r="DI109" s="88">
        <v>1208</v>
      </c>
      <c r="DJ109" s="88">
        <v>1329</v>
      </c>
      <c r="DK109" s="88">
        <v>1317</v>
      </c>
      <c r="DL109" s="88">
        <v>1233</v>
      </c>
      <c r="DM109" s="88">
        <v>1310</v>
      </c>
      <c r="DN109" s="88">
        <v>1234</v>
      </c>
      <c r="DO109" s="88">
        <v>1233</v>
      </c>
      <c r="DP109" s="88">
        <v>1178</v>
      </c>
      <c r="DQ109" s="88">
        <v>1107</v>
      </c>
      <c r="DR109" s="88">
        <v>1121</v>
      </c>
      <c r="DS109" s="88">
        <v>708</v>
      </c>
      <c r="DT109" s="88">
        <v>798</v>
      </c>
      <c r="DU109" s="88">
        <v>876</v>
      </c>
      <c r="DV109" s="88">
        <v>1078</v>
      </c>
      <c r="DW109" s="88">
        <v>1146</v>
      </c>
      <c r="DX109" s="88">
        <v>1160</v>
      </c>
      <c r="DY109" s="88">
        <v>1186</v>
      </c>
      <c r="DZ109" s="88">
        <v>1193</v>
      </c>
      <c r="EA109" s="88">
        <v>1275</v>
      </c>
      <c r="EB109" s="88">
        <v>1362</v>
      </c>
      <c r="EC109" s="88">
        <v>1410</v>
      </c>
      <c r="ED109" s="88">
        <v>1472</v>
      </c>
      <c r="EE109" s="88">
        <v>1518</v>
      </c>
      <c r="EF109" s="88">
        <v>1407</v>
      </c>
      <c r="EG109" s="88">
        <v>1436</v>
      </c>
      <c r="EH109" s="88">
        <v>1447</v>
      </c>
      <c r="EI109" s="88">
        <v>1488</v>
      </c>
      <c r="EJ109" s="88">
        <v>1465</v>
      </c>
      <c r="EK109" s="88">
        <v>1373</v>
      </c>
      <c r="EL109" s="88">
        <v>1439</v>
      </c>
      <c r="EM109" s="88">
        <v>1380</v>
      </c>
      <c r="EN109" s="88">
        <v>1368</v>
      </c>
      <c r="EO109" s="88">
        <v>1421</v>
      </c>
      <c r="EP109" s="88">
        <v>1408</v>
      </c>
      <c r="EQ109" s="88">
        <v>1376</v>
      </c>
      <c r="ER109" s="88">
        <v>1232</v>
      </c>
      <c r="ES109" s="88">
        <v>1238</v>
      </c>
      <c r="ET109" s="88">
        <v>1355</v>
      </c>
      <c r="EU109" s="88">
        <v>1399</v>
      </c>
      <c r="EV109" s="88">
        <v>1401</v>
      </c>
      <c r="EW109" s="88">
        <v>1539</v>
      </c>
      <c r="EX109" s="88">
        <v>1655</v>
      </c>
      <c r="EY109" s="88">
        <v>1686</v>
      </c>
      <c r="EZ109" s="88">
        <v>1701</v>
      </c>
      <c r="FA109" s="88">
        <v>1683</v>
      </c>
      <c r="FB109" s="88">
        <v>1622</v>
      </c>
      <c r="FC109" s="88">
        <v>1668</v>
      </c>
      <c r="FD109" s="88">
        <v>1747</v>
      </c>
      <c r="FE109" s="88">
        <v>1795</v>
      </c>
      <c r="FF109" s="88">
        <v>1663</v>
      </c>
      <c r="FG109" s="88">
        <v>1699</v>
      </c>
      <c r="FH109" s="88">
        <v>1644</v>
      </c>
      <c r="FI109" s="88">
        <v>1560</v>
      </c>
      <c r="FJ109" s="88">
        <v>1543</v>
      </c>
      <c r="FK109" s="88">
        <v>1486</v>
      </c>
      <c r="FL109" s="88">
        <v>1510</v>
      </c>
      <c r="FM109" s="88">
        <v>1446</v>
      </c>
      <c r="FN109" s="88">
        <v>1457</v>
      </c>
      <c r="FO109" s="88">
        <v>1361</v>
      </c>
      <c r="FP109" s="88">
        <v>1470</v>
      </c>
      <c r="FQ109" s="88">
        <v>1386</v>
      </c>
      <c r="FR109" s="88">
        <v>1279</v>
      </c>
      <c r="FS109" s="88">
        <v>1347</v>
      </c>
      <c r="FT109" s="88">
        <v>1328</v>
      </c>
      <c r="FU109" s="88">
        <v>1350</v>
      </c>
      <c r="FV109" s="88">
        <v>1525</v>
      </c>
      <c r="FW109" s="88">
        <v>1633</v>
      </c>
      <c r="FX109" s="88">
        <v>1233</v>
      </c>
      <c r="FY109" s="88">
        <v>1298</v>
      </c>
      <c r="FZ109" s="88">
        <v>1244</v>
      </c>
      <c r="GA109" s="88">
        <v>1167</v>
      </c>
      <c r="GB109" s="88">
        <v>979</v>
      </c>
      <c r="GC109" s="88">
        <v>859</v>
      </c>
      <c r="GD109" s="88">
        <v>828</v>
      </c>
      <c r="GE109" s="88">
        <v>823</v>
      </c>
      <c r="GF109" s="88">
        <v>704</v>
      </c>
      <c r="GG109" s="88">
        <v>636</v>
      </c>
      <c r="GH109" s="88">
        <v>620</v>
      </c>
      <c r="GI109" s="88">
        <v>506</v>
      </c>
      <c r="GJ109" s="88">
        <v>446</v>
      </c>
      <c r="GK109" s="88">
        <v>394</v>
      </c>
      <c r="GL109" s="89">
        <v>1520</v>
      </c>
    </row>
    <row r="110" spans="1:194" s="1" customFormat="1" x14ac:dyDescent="0.2">
      <c r="A110" s="90" t="s">
        <v>94</v>
      </c>
      <c r="B110" s="146" t="s">
        <v>195</v>
      </c>
      <c r="C110" s="30" t="str">
        <f t="shared" si="14"/>
        <v xml:space="preserve">England – CCGs - South Sefton </v>
      </c>
      <c r="D110" s="51">
        <f t="shared" si="13"/>
        <v>68221</v>
      </c>
      <c r="E110" s="51">
        <f t="shared" si="13"/>
        <v>73774</v>
      </c>
      <c r="F110" s="52">
        <f t="shared" si="17"/>
        <v>163768</v>
      </c>
      <c r="G110" s="52">
        <f t="shared" si="18"/>
        <v>79420</v>
      </c>
      <c r="H110" s="52">
        <f t="shared" si="19"/>
        <v>84348</v>
      </c>
      <c r="I110" s="697">
        <f t="shared" si="15"/>
        <v>68221</v>
      </c>
      <c r="J110" s="53">
        <f t="shared" si="16"/>
        <v>73774</v>
      </c>
      <c r="K110" s="50">
        <f t="shared" si="20"/>
        <v>16713</v>
      </c>
      <c r="L110" s="51">
        <f t="shared" si="21"/>
        <v>15796</v>
      </c>
      <c r="M110" s="87">
        <v>841</v>
      </c>
      <c r="N110" s="87">
        <v>865</v>
      </c>
      <c r="O110" s="87">
        <v>886</v>
      </c>
      <c r="P110" s="87">
        <v>945</v>
      </c>
      <c r="Q110" s="87">
        <v>857</v>
      </c>
      <c r="R110" s="87">
        <v>938</v>
      </c>
      <c r="S110" s="87">
        <v>993</v>
      </c>
      <c r="T110" s="87">
        <v>959</v>
      </c>
      <c r="U110" s="87">
        <v>982</v>
      </c>
      <c r="V110" s="87">
        <v>960</v>
      </c>
      <c r="W110" s="87">
        <v>985</v>
      </c>
      <c r="X110" s="87">
        <v>988</v>
      </c>
      <c r="Y110" s="87">
        <v>958</v>
      </c>
      <c r="Z110" s="87">
        <v>954</v>
      </c>
      <c r="AA110" s="87">
        <v>937</v>
      </c>
      <c r="AB110" s="87">
        <v>877</v>
      </c>
      <c r="AC110" s="87">
        <v>901</v>
      </c>
      <c r="AD110" s="87">
        <v>887</v>
      </c>
      <c r="AE110" s="87">
        <v>885</v>
      </c>
      <c r="AF110" s="87">
        <v>692</v>
      </c>
      <c r="AG110" s="87">
        <v>692</v>
      </c>
      <c r="AH110" s="87">
        <v>838</v>
      </c>
      <c r="AI110" s="87">
        <v>817</v>
      </c>
      <c r="AJ110" s="87">
        <v>930</v>
      </c>
      <c r="AK110" s="87">
        <v>962</v>
      </c>
      <c r="AL110" s="87">
        <v>898</v>
      </c>
      <c r="AM110" s="87">
        <v>936</v>
      </c>
      <c r="AN110" s="87">
        <v>929</v>
      </c>
      <c r="AO110" s="87">
        <v>882</v>
      </c>
      <c r="AP110" s="87">
        <v>998</v>
      </c>
      <c r="AQ110" s="87">
        <v>1073</v>
      </c>
      <c r="AR110" s="87">
        <v>1075</v>
      </c>
      <c r="AS110" s="87">
        <v>1015</v>
      </c>
      <c r="AT110" s="87">
        <v>1037</v>
      </c>
      <c r="AU110" s="87">
        <v>1023</v>
      </c>
      <c r="AV110" s="87">
        <v>1057</v>
      </c>
      <c r="AW110" s="87">
        <v>1084</v>
      </c>
      <c r="AX110" s="87">
        <v>1092</v>
      </c>
      <c r="AY110" s="87">
        <v>970</v>
      </c>
      <c r="AZ110" s="87">
        <v>1034</v>
      </c>
      <c r="BA110" s="87">
        <v>1034</v>
      </c>
      <c r="BB110" s="87">
        <v>1018</v>
      </c>
      <c r="BC110" s="87">
        <v>996</v>
      </c>
      <c r="BD110" s="87">
        <v>988</v>
      </c>
      <c r="BE110" s="87">
        <v>910</v>
      </c>
      <c r="BF110" s="87">
        <v>786</v>
      </c>
      <c r="BG110" s="87">
        <v>863</v>
      </c>
      <c r="BH110" s="87">
        <v>836</v>
      </c>
      <c r="BI110" s="87">
        <v>878</v>
      </c>
      <c r="BJ110" s="87">
        <v>988</v>
      </c>
      <c r="BK110" s="87">
        <v>1020</v>
      </c>
      <c r="BL110" s="87">
        <v>1148</v>
      </c>
      <c r="BM110" s="87">
        <v>1124</v>
      </c>
      <c r="BN110" s="87">
        <v>1138</v>
      </c>
      <c r="BO110" s="87">
        <v>1086</v>
      </c>
      <c r="BP110" s="87">
        <v>1186</v>
      </c>
      <c r="BQ110" s="87">
        <v>1077</v>
      </c>
      <c r="BR110" s="87">
        <v>1197</v>
      </c>
      <c r="BS110" s="87">
        <v>1284</v>
      </c>
      <c r="BT110" s="87">
        <v>1255</v>
      </c>
      <c r="BU110" s="87">
        <v>1195</v>
      </c>
      <c r="BV110" s="87">
        <v>1234</v>
      </c>
      <c r="BW110" s="87">
        <v>1168</v>
      </c>
      <c r="BX110" s="87">
        <v>1115</v>
      </c>
      <c r="BY110" s="87">
        <v>1062</v>
      </c>
      <c r="BZ110" s="87">
        <v>992</v>
      </c>
      <c r="CA110" s="87">
        <v>987</v>
      </c>
      <c r="CB110" s="87">
        <v>917</v>
      </c>
      <c r="CC110" s="87">
        <v>924</v>
      </c>
      <c r="CD110" s="87">
        <v>852</v>
      </c>
      <c r="CE110" s="87">
        <v>847</v>
      </c>
      <c r="CF110" s="87">
        <v>772</v>
      </c>
      <c r="CG110" s="87">
        <v>730</v>
      </c>
      <c r="CH110" s="87">
        <v>779</v>
      </c>
      <c r="CI110" s="87">
        <v>796</v>
      </c>
      <c r="CJ110" s="87">
        <v>902</v>
      </c>
      <c r="CK110" s="87">
        <v>605</v>
      </c>
      <c r="CL110" s="87">
        <v>550</v>
      </c>
      <c r="CM110" s="87">
        <v>556</v>
      </c>
      <c r="CN110" s="87">
        <v>473</v>
      </c>
      <c r="CO110" s="87">
        <v>460</v>
      </c>
      <c r="CP110" s="87">
        <v>428</v>
      </c>
      <c r="CQ110" s="87">
        <v>405</v>
      </c>
      <c r="CR110" s="87">
        <v>385</v>
      </c>
      <c r="CS110" s="87">
        <v>357</v>
      </c>
      <c r="CT110" s="87">
        <v>283</v>
      </c>
      <c r="CU110" s="87">
        <v>227</v>
      </c>
      <c r="CV110" s="87">
        <v>207</v>
      </c>
      <c r="CW110" s="87">
        <v>180</v>
      </c>
      <c r="CX110" s="87">
        <v>144</v>
      </c>
      <c r="CY110" s="87">
        <v>444</v>
      </c>
      <c r="CZ110" s="88">
        <v>834</v>
      </c>
      <c r="DA110" s="88">
        <v>813</v>
      </c>
      <c r="DB110" s="88">
        <v>840</v>
      </c>
      <c r="DC110" s="88">
        <v>902</v>
      </c>
      <c r="DD110" s="88">
        <v>870</v>
      </c>
      <c r="DE110" s="88">
        <v>883</v>
      </c>
      <c r="DF110" s="88">
        <v>936</v>
      </c>
      <c r="DG110" s="88">
        <v>871</v>
      </c>
      <c r="DH110" s="88">
        <v>974</v>
      </c>
      <c r="DI110" s="88">
        <v>862</v>
      </c>
      <c r="DJ110" s="88">
        <v>900</v>
      </c>
      <c r="DK110" s="88">
        <v>889</v>
      </c>
      <c r="DL110" s="88">
        <v>864</v>
      </c>
      <c r="DM110" s="88">
        <v>904</v>
      </c>
      <c r="DN110" s="88">
        <v>857</v>
      </c>
      <c r="DO110" s="88">
        <v>900</v>
      </c>
      <c r="DP110" s="88">
        <v>864</v>
      </c>
      <c r="DQ110" s="88">
        <v>833</v>
      </c>
      <c r="DR110" s="88">
        <v>867</v>
      </c>
      <c r="DS110" s="88">
        <v>647</v>
      </c>
      <c r="DT110" s="88">
        <v>622</v>
      </c>
      <c r="DU110" s="88">
        <v>687</v>
      </c>
      <c r="DV110" s="88">
        <v>710</v>
      </c>
      <c r="DW110" s="88">
        <v>905</v>
      </c>
      <c r="DX110" s="88">
        <v>894</v>
      </c>
      <c r="DY110" s="88">
        <v>943</v>
      </c>
      <c r="DZ110" s="88">
        <v>933</v>
      </c>
      <c r="EA110" s="88">
        <v>982</v>
      </c>
      <c r="EB110" s="88">
        <v>988</v>
      </c>
      <c r="EC110" s="88">
        <v>1045</v>
      </c>
      <c r="ED110" s="88">
        <v>1087</v>
      </c>
      <c r="EE110" s="88">
        <v>1159</v>
      </c>
      <c r="EF110" s="88">
        <v>1217</v>
      </c>
      <c r="EG110" s="88">
        <v>1177</v>
      </c>
      <c r="EH110" s="88">
        <v>1084</v>
      </c>
      <c r="EI110" s="88">
        <v>1076</v>
      </c>
      <c r="EJ110" s="88">
        <v>1176</v>
      </c>
      <c r="EK110" s="88">
        <v>1142</v>
      </c>
      <c r="EL110" s="88">
        <v>1076</v>
      </c>
      <c r="EM110" s="88">
        <v>1073</v>
      </c>
      <c r="EN110" s="88">
        <v>1070</v>
      </c>
      <c r="EO110" s="88">
        <v>1068</v>
      </c>
      <c r="EP110" s="88">
        <v>1018</v>
      </c>
      <c r="EQ110" s="88">
        <v>1069</v>
      </c>
      <c r="ER110" s="88">
        <v>884</v>
      </c>
      <c r="ES110" s="88">
        <v>840</v>
      </c>
      <c r="ET110" s="88">
        <v>918</v>
      </c>
      <c r="EU110" s="88">
        <v>911</v>
      </c>
      <c r="EV110" s="88">
        <v>935</v>
      </c>
      <c r="EW110" s="88">
        <v>1114</v>
      </c>
      <c r="EX110" s="88">
        <v>1077</v>
      </c>
      <c r="EY110" s="88">
        <v>1151</v>
      </c>
      <c r="EZ110" s="88">
        <v>1136</v>
      </c>
      <c r="FA110" s="88">
        <v>1289</v>
      </c>
      <c r="FB110" s="88">
        <v>1159</v>
      </c>
      <c r="FC110" s="88">
        <v>1171</v>
      </c>
      <c r="FD110" s="88">
        <v>1231</v>
      </c>
      <c r="FE110" s="88">
        <v>1298</v>
      </c>
      <c r="FF110" s="88">
        <v>1358</v>
      </c>
      <c r="FG110" s="88">
        <v>1308</v>
      </c>
      <c r="FH110" s="88">
        <v>1334</v>
      </c>
      <c r="FI110" s="88">
        <v>1321</v>
      </c>
      <c r="FJ110" s="88">
        <v>1214</v>
      </c>
      <c r="FK110" s="88">
        <v>1154</v>
      </c>
      <c r="FL110" s="88">
        <v>1161</v>
      </c>
      <c r="FM110" s="88">
        <v>1131</v>
      </c>
      <c r="FN110" s="88">
        <v>1051</v>
      </c>
      <c r="FO110" s="88">
        <v>1049</v>
      </c>
      <c r="FP110" s="88">
        <v>971</v>
      </c>
      <c r="FQ110" s="88">
        <v>910</v>
      </c>
      <c r="FR110" s="88">
        <v>900</v>
      </c>
      <c r="FS110" s="88">
        <v>899</v>
      </c>
      <c r="FT110" s="88">
        <v>872</v>
      </c>
      <c r="FU110" s="88">
        <v>832</v>
      </c>
      <c r="FV110" s="88">
        <v>900</v>
      </c>
      <c r="FW110" s="88">
        <v>955</v>
      </c>
      <c r="FX110" s="88">
        <v>701</v>
      </c>
      <c r="FY110" s="88">
        <v>665</v>
      </c>
      <c r="FZ110" s="88">
        <v>719</v>
      </c>
      <c r="GA110" s="88">
        <v>603</v>
      </c>
      <c r="GB110" s="88">
        <v>590</v>
      </c>
      <c r="GC110" s="88">
        <v>560</v>
      </c>
      <c r="GD110" s="88">
        <v>539</v>
      </c>
      <c r="GE110" s="88">
        <v>525</v>
      </c>
      <c r="GF110" s="88">
        <v>549</v>
      </c>
      <c r="GG110" s="88">
        <v>461</v>
      </c>
      <c r="GH110" s="88">
        <v>415</v>
      </c>
      <c r="GI110" s="88">
        <v>339</v>
      </c>
      <c r="GJ110" s="88">
        <v>343</v>
      </c>
      <c r="GK110" s="88">
        <v>260</v>
      </c>
      <c r="GL110" s="89">
        <v>1134</v>
      </c>
    </row>
    <row r="111" spans="1:194" s="1" customFormat="1" x14ac:dyDescent="0.2">
      <c r="A111" s="90" t="s">
        <v>94</v>
      </c>
      <c r="B111" s="146" t="s">
        <v>196</v>
      </c>
      <c r="C111" s="30" t="str">
        <f t="shared" si="14"/>
        <v xml:space="preserve">England – CCGs - South Tyneside </v>
      </c>
      <c r="D111" s="51">
        <f t="shared" si="13"/>
        <v>62101</v>
      </c>
      <c r="E111" s="51">
        <f t="shared" si="13"/>
        <v>66747</v>
      </c>
      <c r="F111" s="52">
        <f t="shared" si="17"/>
        <v>148667</v>
      </c>
      <c r="G111" s="52">
        <f t="shared" si="18"/>
        <v>72355</v>
      </c>
      <c r="H111" s="52">
        <f t="shared" si="19"/>
        <v>76312</v>
      </c>
      <c r="I111" s="697">
        <f t="shared" si="15"/>
        <v>62101</v>
      </c>
      <c r="J111" s="53">
        <f t="shared" si="16"/>
        <v>66747</v>
      </c>
      <c r="K111" s="50">
        <f t="shared" si="20"/>
        <v>15451</v>
      </c>
      <c r="L111" s="51">
        <f t="shared" si="21"/>
        <v>14496</v>
      </c>
      <c r="M111" s="87">
        <v>739</v>
      </c>
      <c r="N111" s="87">
        <v>794</v>
      </c>
      <c r="O111" s="87">
        <v>804</v>
      </c>
      <c r="P111" s="87">
        <v>792</v>
      </c>
      <c r="Q111" s="87">
        <v>851</v>
      </c>
      <c r="R111" s="87">
        <v>887</v>
      </c>
      <c r="S111" s="87">
        <v>926</v>
      </c>
      <c r="T111" s="87">
        <v>864</v>
      </c>
      <c r="U111" s="87">
        <v>913</v>
      </c>
      <c r="V111" s="87">
        <v>888</v>
      </c>
      <c r="W111" s="87">
        <v>882</v>
      </c>
      <c r="X111" s="87">
        <v>914</v>
      </c>
      <c r="Y111" s="87">
        <v>899</v>
      </c>
      <c r="Z111" s="87">
        <v>924</v>
      </c>
      <c r="AA111" s="87">
        <v>882</v>
      </c>
      <c r="AB111" s="87">
        <v>845</v>
      </c>
      <c r="AC111" s="87">
        <v>833</v>
      </c>
      <c r="AD111" s="87">
        <v>814</v>
      </c>
      <c r="AE111" s="87">
        <v>799</v>
      </c>
      <c r="AF111" s="87">
        <v>720</v>
      </c>
      <c r="AG111" s="87">
        <v>676</v>
      </c>
      <c r="AH111" s="87">
        <v>677</v>
      </c>
      <c r="AI111" s="87">
        <v>770</v>
      </c>
      <c r="AJ111" s="87">
        <v>757</v>
      </c>
      <c r="AK111" s="87">
        <v>755</v>
      </c>
      <c r="AL111" s="87">
        <v>817</v>
      </c>
      <c r="AM111" s="87">
        <v>840</v>
      </c>
      <c r="AN111" s="87">
        <v>817</v>
      </c>
      <c r="AO111" s="87">
        <v>785</v>
      </c>
      <c r="AP111" s="87">
        <v>916</v>
      </c>
      <c r="AQ111" s="87">
        <v>923</v>
      </c>
      <c r="AR111" s="87">
        <v>959</v>
      </c>
      <c r="AS111" s="87">
        <v>895</v>
      </c>
      <c r="AT111" s="87">
        <v>937</v>
      </c>
      <c r="AU111" s="87">
        <v>937</v>
      </c>
      <c r="AV111" s="87">
        <v>972</v>
      </c>
      <c r="AW111" s="87">
        <v>1026</v>
      </c>
      <c r="AX111" s="87">
        <v>957</v>
      </c>
      <c r="AY111" s="87">
        <v>885</v>
      </c>
      <c r="AZ111" s="87">
        <v>878</v>
      </c>
      <c r="BA111" s="87">
        <v>881</v>
      </c>
      <c r="BB111" s="87">
        <v>911</v>
      </c>
      <c r="BC111" s="87">
        <v>935</v>
      </c>
      <c r="BD111" s="87">
        <v>869</v>
      </c>
      <c r="BE111" s="87">
        <v>746</v>
      </c>
      <c r="BF111" s="87">
        <v>710</v>
      </c>
      <c r="BG111" s="87">
        <v>751</v>
      </c>
      <c r="BH111" s="87">
        <v>791</v>
      </c>
      <c r="BI111" s="87">
        <v>808</v>
      </c>
      <c r="BJ111" s="87">
        <v>899</v>
      </c>
      <c r="BK111" s="87">
        <v>901</v>
      </c>
      <c r="BL111" s="87">
        <v>1014</v>
      </c>
      <c r="BM111" s="87">
        <v>962</v>
      </c>
      <c r="BN111" s="87">
        <v>1007</v>
      </c>
      <c r="BO111" s="87">
        <v>1052</v>
      </c>
      <c r="BP111" s="87">
        <v>1066</v>
      </c>
      <c r="BQ111" s="87">
        <v>1077</v>
      </c>
      <c r="BR111" s="87">
        <v>1068</v>
      </c>
      <c r="BS111" s="87">
        <v>1122</v>
      </c>
      <c r="BT111" s="87">
        <v>1084</v>
      </c>
      <c r="BU111" s="87">
        <v>1071</v>
      </c>
      <c r="BV111" s="87">
        <v>1031</v>
      </c>
      <c r="BW111" s="87">
        <v>1037</v>
      </c>
      <c r="BX111" s="87">
        <v>1054</v>
      </c>
      <c r="BY111" s="87">
        <v>970</v>
      </c>
      <c r="BZ111" s="87">
        <v>941</v>
      </c>
      <c r="CA111" s="87">
        <v>948</v>
      </c>
      <c r="CB111" s="87">
        <v>891</v>
      </c>
      <c r="CC111" s="87">
        <v>842</v>
      </c>
      <c r="CD111" s="87">
        <v>813</v>
      </c>
      <c r="CE111" s="87">
        <v>746</v>
      </c>
      <c r="CF111" s="87">
        <v>776</v>
      </c>
      <c r="CG111" s="87">
        <v>770</v>
      </c>
      <c r="CH111" s="87">
        <v>758</v>
      </c>
      <c r="CI111" s="87">
        <v>781</v>
      </c>
      <c r="CJ111" s="87">
        <v>815</v>
      </c>
      <c r="CK111" s="87">
        <v>610</v>
      </c>
      <c r="CL111" s="87">
        <v>526</v>
      </c>
      <c r="CM111" s="87">
        <v>491</v>
      </c>
      <c r="CN111" s="87">
        <v>423</v>
      </c>
      <c r="CO111" s="87">
        <v>410</v>
      </c>
      <c r="CP111" s="87">
        <v>356</v>
      </c>
      <c r="CQ111" s="87">
        <v>364</v>
      </c>
      <c r="CR111" s="87">
        <v>323</v>
      </c>
      <c r="CS111" s="87">
        <v>324</v>
      </c>
      <c r="CT111" s="87">
        <v>297</v>
      </c>
      <c r="CU111" s="87">
        <v>249</v>
      </c>
      <c r="CV111" s="87">
        <v>198</v>
      </c>
      <c r="CW111" s="87">
        <v>154</v>
      </c>
      <c r="CX111" s="87">
        <v>140</v>
      </c>
      <c r="CY111" s="87">
        <v>443</v>
      </c>
      <c r="CZ111" s="88">
        <v>664</v>
      </c>
      <c r="DA111" s="88">
        <v>766</v>
      </c>
      <c r="DB111" s="88">
        <v>676</v>
      </c>
      <c r="DC111" s="88">
        <v>782</v>
      </c>
      <c r="DD111" s="88">
        <v>807</v>
      </c>
      <c r="DE111" s="88">
        <v>781</v>
      </c>
      <c r="DF111" s="88">
        <v>867</v>
      </c>
      <c r="DG111" s="88">
        <v>800</v>
      </c>
      <c r="DH111" s="88">
        <v>813</v>
      </c>
      <c r="DI111" s="88">
        <v>845</v>
      </c>
      <c r="DJ111" s="88">
        <v>875</v>
      </c>
      <c r="DK111" s="88">
        <v>889</v>
      </c>
      <c r="DL111" s="88">
        <v>870</v>
      </c>
      <c r="DM111" s="88">
        <v>823</v>
      </c>
      <c r="DN111" s="88">
        <v>879</v>
      </c>
      <c r="DO111" s="88">
        <v>807</v>
      </c>
      <c r="DP111" s="88">
        <v>769</v>
      </c>
      <c r="DQ111" s="88">
        <v>783</v>
      </c>
      <c r="DR111" s="88">
        <v>757</v>
      </c>
      <c r="DS111" s="88">
        <v>595</v>
      </c>
      <c r="DT111" s="88">
        <v>615</v>
      </c>
      <c r="DU111" s="88">
        <v>625</v>
      </c>
      <c r="DV111" s="88">
        <v>697</v>
      </c>
      <c r="DW111" s="88">
        <v>759</v>
      </c>
      <c r="DX111" s="88">
        <v>782</v>
      </c>
      <c r="DY111" s="88">
        <v>816</v>
      </c>
      <c r="DZ111" s="88">
        <v>829</v>
      </c>
      <c r="EA111" s="88">
        <v>883</v>
      </c>
      <c r="EB111" s="88">
        <v>922</v>
      </c>
      <c r="EC111" s="88">
        <v>926</v>
      </c>
      <c r="ED111" s="88">
        <v>915</v>
      </c>
      <c r="EE111" s="88">
        <v>1048</v>
      </c>
      <c r="EF111" s="88">
        <v>1034</v>
      </c>
      <c r="EG111" s="88">
        <v>1041</v>
      </c>
      <c r="EH111" s="88">
        <v>1078</v>
      </c>
      <c r="EI111" s="88">
        <v>1087</v>
      </c>
      <c r="EJ111" s="88">
        <v>1122</v>
      </c>
      <c r="EK111" s="88">
        <v>1040</v>
      </c>
      <c r="EL111" s="88">
        <v>943</v>
      </c>
      <c r="EM111" s="88">
        <v>936</v>
      </c>
      <c r="EN111" s="88">
        <v>977</v>
      </c>
      <c r="EO111" s="88">
        <v>950</v>
      </c>
      <c r="EP111" s="88">
        <v>957</v>
      </c>
      <c r="EQ111" s="88">
        <v>975</v>
      </c>
      <c r="ER111" s="88">
        <v>780</v>
      </c>
      <c r="ES111" s="88">
        <v>759</v>
      </c>
      <c r="ET111" s="88">
        <v>806</v>
      </c>
      <c r="EU111" s="88">
        <v>864</v>
      </c>
      <c r="EV111" s="88">
        <v>875</v>
      </c>
      <c r="EW111" s="88">
        <v>878</v>
      </c>
      <c r="EX111" s="88">
        <v>1001</v>
      </c>
      <c r="EY111" s="88">
        <v>1032</v>
      </c>
      <c r="EZ111" s="88">
        <v>1014</v>
      </c>
      <c r="FA111" s="88">
        <v>1094</v>
      </c>
      <c r="FB111" s="88">
        <v>1076</v>
      </c>
      <c r="FC111" s="88">
        <v>1053</v>
      </c>
      <c r="FD111" s="88">
        <v>1175</v>
      </c>
      <c r="FE111" s="88">
        <v>1200</v>
      </c>
      <c r="FF111" s="88">
        <v>1143</v>
      </c>
      <c r="FG111" s="88">
        <v>1156</v>
      </c>
      <c r="FH111" s="88">
        <v>1101</v>
      </c>
      <c r="FI111" s="88">
        <v>1174</v>
      </c>
      <c r="FJ111" s="88">
        <v>1077</v>
      </c>
      <c r="FK111" s="88">
        <v>1065</v>
      </c>
      <c r="FL111" s="88">
        <v>1057</v>
      </c>
      <c r="FM111" s="88">
        <v>991</v>
      </c>
      <c r="FN111" s="88">
        <v>952</v>
      </c>
      <c r="FO111" s="88">
        <v>853</v>
      </c>
      <c r="FP111" s="88">
        <v>961</v>
      </c>
      <c r="FQ111" s="88">
        <v>889</v>
      </c>
      <c r="FR111" s="88">
        <v>783</v>
      </c>
      <c r="FS111" s="88">
        <v>818</v>
      </c>
      <c r="FT111" s="88">
        <v>872</v>
      </c>
      <c r="FU111" s="88">
        <v>815</v>
      </c>
      <c r="FV111" s="88">
        <v>862</v>
      </c>
      <c r="FW111" s="88">
        <v>866</v>
      </c>
      <c r="FX111" s="88">
        <v>706</v>
      </c>
      <c r="FY111" s="88">
        <v>629</v>
      </c>
      <c r="FZ111" s="88">
        <v>604</v>
      </c>
      <c r="GA111" s="88">
        <v>613</v>
      </c>
      <c r="GB111" s="88">
        <v>489</v>
      </c>
      <c r="GC111" s="88">
        <v>462</v>
      </c>
      <c r="GD111" s="88">
        <v>465</v>
      </c>
      <c r="GE111" s="88">
        <v>458</v>
      </c>
      <c r="GF111" s="88">
        <v>455</v>
      </c>
      <c r="GG111" s="88">
        <v>410</v>
      </c>
      <c r="GH111" s="88">
        <v>345</v>
      </c>
      <c r="GI111" s="88">
        <v>321</v>
      </c>
      <c r="GJ111" s="88">
        <v>290</v>
      </c>
      <c r="GK111" s="88">
        <v>247</v>
      </c>
      <c r="GL111" s="89">
        <v>971</v>
      </c>
    </row>
    <row r="112" spans="1:194" s="1" customFormat="1" x14ac:dyDescent="0.2">
      <c r="A112" s="90" t="s">
        <v>94</v>
      </c>
      <c r="B112" s="146" t="s">
        <v>197</v>
      </c>
      <c r="C112" s="30" t="str">
        <f t="shared" si="14"/>
        <v xml:space="preserve">England – CCGs - South West London </v>
      </c>
      <c r="D112" s="51">
        <f t="shared" si="13"/>
        <v>614019</v>
      </c>
      <c r="E112" s="51">
        <f t="shared" si="13"/>
        <v>677039</v>
      </c>
      <c r="F112" s="52">
        <f t="shared" si="17"/>
        <v>1509217</v>
      </c>
      <c r="G112" s="52">
        <f t="shared" si="18"/>
        <v>725443</v>
      </c>
      <c r="H112" s="52">
        <f t="shared" si="19"/>
        <v>783774</v>
      </c>
      <c r="I112" s="697">
        <f t="shared" si="15"/>
        <v>614019</v>
      </c>
      <c r="J112" s="53">
        <f t="shared" si="16"/>
        <v>677039</v>
      </c>
      <c r="K112" s="50">
        <f t="shared" si="20"/>
        <v>166650</v>
      </c>
      <c r="L112" s="51">
        <f t="shared" si="21"/>
        <v>159378</v>
      </c>
      <c r="M112" s="87">
        <v>9135</v>
      </c>
      <c r="N112" s="87">
        <v>8997</v>
      </c>
      <c r="O112" s="87">
        <v>9115</v>
      </c>
      <c r="P112" s="87">
        <v>9110</v>
      </c>
      <c r="Q112" s="87">
        <v>9122</v>
      </c>
      <c r="R112" s="87">
        <v>9227</v>
      </c>
      <c r="S112" s="87">
        <v>9370</v>
      </c>
      <c r="T112" s="87">
        <v>9376</v>
      </c>
      <c r="U112" s="87">
        <v>9257</v>
      </c>
      <c r="V112" s="87">
        <v>9334</v>
      </c>
      <c r="W112" s="87">
        <v>9680</v>
      </c>
      <c r="X112" s="87">
        <v>9701</v>
      </c>
      <c r="Y112" s="87">
        <v>9748</v>
      </c>
      <c r="Z112" s="87">
        <v>9486</v>
      </c>
      <c r="AA112" s="87">
        <v>9422</v>
      </c>
      <c r="AB112" s="87">
        <v>9196</v>
      </c>
      <c r="AC112" s="87">
        <v>8642</v>
      </c>
      <c r="AD112" s="87">
        <v>8732</v>
      </c>
      <c r="AE112" s="87">
        <v>8261</v>
      </c>
      <c r="AF112" s="87">
        <v>6193</v>
      </c>
      <c r="AG112" s="87">
        <v>6129</v>
      </c>
      <c r="AH112" s="87">
        <v>6780</v>
      </c>
      <c r="AI112" s="87">
        <v>7611</v>
      </c>
      <c r="AJ112" s="87">
        <v>9354</v>
      </c>
      <c r="AK112" s="87">
        <v>10348</v>
      </c>
      <c r="AL112" s="87">
        <v>11070</v>
      </c>
      <c r="AM112" s="87">
        <v>11504</v>
      </c>
      <c r="AN112" s="87">
        <v>12071</v>
      </c>
      <c r="AO112" s="87">
        <v>12242</v>
      </c>
      <c r="AP112" s="87">
        <v>11868</v>
      </c>
      <c r="AQ112" s="87">
        <v>12374</v>
      </c>
      <c r="AR112" s="87">
        <v>12273</v>
      </c>
      <c r="AS112" s="87">
        <v>11840</v>
      </c>
      <c r="AT112" s="87">
        <v>11949</v>
      </c>
      <c r="AU112" s="87">
        <v>11495</v>
      </c>
      <c r="AV112" s="87">
        <v>11322</v>
      </c>
      <c r="AW112" s="87">
        <v>11261</v>
      </c>
      <c r="AX112" s="87">
        <v>11342</v>
      </c>
      <c r="AY112" s="87">
        <v>11028</v>
      </c>
      <c r="AZ112" s="87">
        <v>11387</v>
      </c>
      <c r="BA112" s="87">
        <v>11258</v>
      </c>
      <c r="BB112" s="87">
        <v>11490</v>
      </c>
      <c r="BC112" s="87">
        <v>11396</v>
      </c>
      <c r="BD112" s="87">
        <v>11102</v>
      </c>
      <c r="BE112" s="87">
        <v>10797</v>
      </c>
      <c r="BF112" s="87">
        <v>10643</v>
      </c>
      <c r="BG112" s="87">
        <v>10434</v>
      </c>
      <c r="BH112" s="87">
        <v>10534</v>
      </c>
      <c r="BI112" s="87">
        <v>9987</v>
      </c>
      <c r="BJ112" s="87">
        <v>9881</v>
      </c>
      <c r="BK112" s="87">
        <v>10195</v>
      </c>
      <c r="BL112" s="87">
        <v>9752</v>
      </c>
      <c r="BM112" s="87">
        <v>9672</v>
      </c>
      <c r="BN112" s="87">
        <v>9761</v>
      </c>
      <c r="BO112" s="87">
        <v>9693</v>
      </c>
      <c r="BP112" s="87">
        <v>9589</v>
      </c>
      <c r="BQ112" s="87">
        <v>9388</v>
      </c>
      <c r="BR112" s="87">
        <v>9004</v>
      </c>
      <c r="BS112" s="87">
        <v>8920</v>
      </c>
      <c r="BT112" s="87">
        <v>8421</v>
      </c>
      <c r="BU112" s="87">
        <v>7952</v>
      </c>
      <c r="BV112" s="87">
        <v>7858</v>
      </c>
      <c r="BW112" s="87">
        <v>7260</v>
      </c>
      <c r="BX112" s="87">
        <v>6878</v>
      </c>
      <c r="BY112" s="87">
        <v>6368</v>
      </c>
      <c r="BZ112" s="87">
        <v>6128</v>
      </c>
      <c r="CA112" s="87">
        <v>5581</v>
      </c>
      <c r="CB112" s="87">
        <v>5299</v>
      </c>
      <c r="CC112" s="87">
        <v>5165</v>
      </c>
      <c r="CD112" s="87">
        <v>5008</v>
      </c>
      <c r="CE112" s="87">
        <v>4739</v>
      </c>
      <c r="CF112" s="87">
        <v>4692</v>
      </c>
      <c r="CG112" s="87">
        <v>4607</v>
      </c>
      <c r="CH112" s="87">
        <v>4661</v>
      </c>
      <c r="CI112" s="87">
        <v>4727</v>
      </c>
      <c r="CJ112" s="87">
        <v>5135</v>
      </c>
      <c r="CK112" s="87">
        <v>3832</v>
      </c>
      <c r="CL112" s="87">
        <v>3477</v>
      </c>
      <c r="CM112" s="87">
        <v>3333</v>
      </c>
      <c r="CN112" s="87">
        <v>3029</v>
      </c>
      <c r="CO112" s="87">
        <v>2535</v>
      </c>
      <c r="CP112" s="87">
        <v>2311</v>
      </c>
      <c r="CQ112" s="87">
        <v>2320</v>
      </c>
      <c r="CR112" s="87">
        <v>2169</v>
      </c>
      <c r="CS112" s="87">
        <v>2061</v>
      </c>
      <c r="CT112" s="87">
        <v>1751</v>
      </c>
      <c r="CU112" s="87">
        <v>1521</v>
      </c>
      <c r="CV112" s="87">
        <v>1313</v>
      </c>
      <c r="CW112" s="87">
        <v>1158</v>
      </c>
      <c r="CX112" s="87">
        <v>974</v>
      </c>
      <c r="CY112" s="87">
        <v>3332</v>
      </c>
      <c r="CZ112" s="88">
        <v>8611</v>
      </c>
      <c r="DA112" s="88">
        <v>8818</v>
      </c>
      <c r="DB112" s="88">
        <v>8741</v>
      </c>
      <c r="DC112" s="88">
        <v>8702</v>
      </c>
      <c r="DD112" s="88">
        <v>8657</v>
      </c>
      <c r="DE112" s="88">
        <v>8848</v>
      </c>
      <c r="DF112" s="88">
        <v>9005</v>
      </c>
      <c r="DG112" s="88">
        <v>8928</v>
      </c>
      <c r="DH112" s="88">
        <v>8838</v>
      </c>
      <c r="DI112" s="88">
        <v>9017</v>
      </c>
      <c r="DJ112" s="88">
        <v>9361</v>
      </c>
      <c r="DK112" s="88">
        <v>9209</v>
      </c>
      <c r="DL112" s="88">
        <v>9155</v>
      </c>
      <c r="DM112" s="88">
        <v>9056</v>
      </c>
      <c r="DN112" s="88">
        <v>9173</v>
      </c>
      <c r="DO112" s="88">
        <v>8653</v>
      </c>
      <c r="DP112" s="88">
        <v>8299</v>
      </c>
      <c r="DQ112" s="88">
        <v>8307</v>
      </c>
      <c r="DR112" s="88">
        <v>8060</v>
      </c>
      <c r="DS112" s="88">
        <v>6020</v>
      </c>
      <c r="DT112" s="88">
        <v>6222</v>
      </c>
      <c r="DU112" s="88">
        <v>6899</v>
      </c>
      <c r="DV112" s="88">
        <v>8489</v>
      </c>
      <c r="DW112" s="88">
        <v>10446</v>
      </c>
      <c r="DX112" s="88">
        <v>11848</v>
      </c>
      <c r="DY112" s="88">
        <v>12485</v>
      </c>
      <c r="DZ112" s="88">
        <v>12909</v>
      </c>
      <c r="EA112" s="88">
        <v>13653</v>
      </c>
      <c r="EB112" s="88">
        <v>13593</v>
      </c>
      <c r="EC112" s="88">
        <v>13627</v>
      </c>
      <c r="ED112" s="88">
        <v>13771</v>
      </c>
      <c r="EE112" s="88">
        <v>13518</v>
      </c>
      <c r="EF112" s="88">
        <v>13403</v>
      </c>
      <c r="EG112" s="88">
        <v>13234</v>
      </c>
      <c r="EH112" s="88">
        <v>13266</v>
      </c>
      <c r="EI112" s="88">
        <v>12947</v>
      </c>
      <c r="EJ112" s="88">
        <v>12953</v>
      </c>
      <c r="EK112" s="88">
        <v>12659</v>
      </c>
      <c r="EL112" s="88">
        <v>12481</v>
      </c>
      <c r="EM112" s="88">
        <v>12898</v>
      </c>
      <c r="EN112" s="88">
        <v>12669</v>
      </c>
      <c r="EO112" s="88">
        <v>12893</v>
      </c>
      <c r="EP112" s="88">
        <v>12570</v>
      </c>
      <c r="EQ112" s="88">
        <v>12539</v>
      </c>
      <c r="ER112" s="88">
        <v>11523</v>
      </c>
      <c r="ES112" s="88">
        <v>11159</v>
      </c>
      <c r="ET112" s="88">
        <v>10957</v>
      </c>
      <c r="EU112" s="88">
        <v>10846</v>
      </c>
      <c r="EV112" s="88">
        <v>10621</v>
      </c>
      <c r="EW112" s="88">
        <v>10712</v>
      </c>
      <c r="EX112" s="88">
        <v>10634</v>
      </c>
      <c r="EY112" s="88">
        <v>10736</v>
      </c>
      <c r="EZ112" s="88">
        <v>10463</v>
      </c>
      <c r="FA112" s="88">
        <v>10253</v>
      </c>
      <c r="FB112" s="88">
        <v>10362</v>
      </c>
      <c r="FC112" s="88">
        <v>10086</v>
      </c>
      <c r="FD112" s="88">
        <v>10195</v>
      </c>
      <c r="FE112" s="88">
        <v>9795</v>
      </c>
      <c r="FF112" s="88">
        <v>9371</v>
      </c>
      <c r="FG112" s="88">
        <v>9123</v>
      </c>
      <c r="FH112" s="88">
        <v>8588</v>
      </c>
      <c r="FI112" s="88">
        <v>7992</v>
      </c>
      <c r="FJ112" s="88">
        <v>7775</v>
      </c>
      <c r="FK112" s="88">
        <v>7216</v>
      </c>
      <c r="FL112" s="88">
        <v>6777</v>
      </c>
      <c r="FM112" s="88">
        <v>6641</v>
      </c>
      <c r="FN112" s="88">
        <v>6280</v>
      </c>
      <c r="FO112" s="88">
        <v>5998</v>
      </c>
      <c r="FP112" s="88">
        <v>5911</v>
      </c>
      <c r="FQ112" s="88">
        <v>5689</v>
      </c>
      <c r="FR112" s="88">
        <v>5359</v>
      </c>
      <c r="FS112" s="88">
        <v>5521</v>
      </c>
      <c r="FT112" s="88">
        <v>5346</v>
      </c>
      <c r="FU112" s="88">
        <v>5280</v>
      </c>
      <c r="FV112" s="88">
        <v>5570</v>
      </c>
      <c r="FW112" s="88">
        <v>5825</v>
      </c>
      <c r="FX112" s="88">
        <v>4633</v>
      </c>
      <c r="FY112" s="88">
        <v>4208</v>
      </c>
      <c r="FZ112" s="88">
        <v>4154</v>
      </c>
      <c r="GA112" s="88">
        <v>3895</v>
      </c>
      <c r="GB112" s="88">
        <v>3376</v>
      </c>
      <c r="GC112" s="88">
        <v>2989</v>
      </c>
      <c r="GD112" s="88">
        <v>3087</v>
      </c>
      <c r="GE112" s="88">
        <v>3053</v>
      </c>
      <c r="GF112" s="88">
        <v>2769</v>
      </c>
      <c r="GG112" s="88">
        <v>2540</v>
      </c>
      <c r="GH112" s="88">
        <v>2302</v>
      </c>
      <c r="GI112" s="88">
        <v>2068</v>
      </c>
      <c r="GJ112" s="88">
        <v>1744</v>
      </c>
      <c r="GK112" s="88">
        <v>1562</v>
      </c>
      <c r="GL112" s="89">
        <v>7360</v>
      </c>
    </row>
    <row r="113" spans="1:194" s="1" customFormat="1" x14ac:dyDescent="0.2">
      <c r="A113" s="90" t="s">
        <v>94</v>
      </c>
      <c r="B113" s="146" t="s">
        <v>198</v>
      </c>
      <c r="C113" s="30" t="str">
        <f t="shared" si="14"/>
        <v xml:space="preserve">England – CCGs - Southend </v>
      </c>
      <c r="D113" s="51">
        <f t="shared" si="13"/>
        <v>75266</v>
      </c>
      <c r="E113" s="51">
        <f t="shared" si="13"/>
        <v>80229</v>
      </c>
      <c r="F113" s="52">
        <f t="shared" si="17"/>
        <v>180915</v>
      </c>
      <c r="G113" s="52">
        <f t="shared" si="18"/>
        <v>88198</v>
      </c>
      <c r="H113" s="52">
        <f t="shared" si="19"/>
        <v>92717</v>
      </c>
      <c r="I113" s="697">
        <f t="shared" si="15"/>
        <v>75266</v>
      </c>
      <c r="J113" s="53">
        <f t="shared" si="16"/>
        <v>80229</v>
      </c>
      <c r="K113" s="50">
        <f t="shared" si="20"/>
        <v>19552</v>
      </c>
      <c r="L113" s="51">
        <f t="shared" si="21"/>
        <v>18769</v>
      </c>
      <c r="M113" s="87">
        <v>986</v>
      </c>
      <c r="N113" s="87">
        <v>948</v>
      </c>
      <c r="O113" s="87">
        <v>1022</v>
      </c>
      <c r="P113" s="87">
        <v>1038</v>
      </c>
      <c r="Q113" s="87">
        <v>1088</v>
      </c>
      <c r="R113" s="87">
        <v>1083</v>
      </c>
      <c r="S113" s="87">
        <v>1147</v>
      </c>
      <c r="T113" s="87">
        <v>1095</v>
      </c>
      <c r="U113" s="87">
        <v>1153</v>
      </c>
      <c r="V113" s="87">
        <v>1064</v>
      </c>
      <c r="W113" s="87">
        <v>1162</v>
      </c>
      <c r="X113" s="87">
        <v>1146</v>
      </c>
      <c r="Y113" s="87">
        <v>1191</v>
      </c>
      <c r="Z113" s="87">
        <v>1142</v>
      </c>
      <c r="AA113" s="87">
        <v>1143</v>
      </c>
      <c r="AB113" s="87">
        <v>1121</v>
      </c>
      <c r="AC113" s="87">
        <v>1029</v>
      </c>
      <c r="AD113" s="87">
        <v>994</v>
      </c>
      <c r="AE113" s="87">
        <v>1051</v>
      </c>
      <c r="AF113" s="87">
        <v>765</v>
      </c>
      <c r="AG113" s="87">
        <v>771</v>
      </c>
      <c r="AH113" s="87">
        <v>773</v>
      </c>
      <c r="AI113" s="87">
        <v>934</v>
      </c>
      <c r="AJ113" s="87">
        <v>963</v>
      </c>
      <c r="AK113" s="87">
        <v>1051</v>
      </c>
      <c r="AL113" s="87">
        <v>1047</v>
      </c>
      <c r="AM113" s="87">
        <v>1029</v>
      </c>
      <c r="AN113" s="87">
        <v>1064</v>
      </c>
      <c r="AO113" s="87">
        <v>1122</v>
      </c>
      <c r="AP113" s="87">
        <v>1142</v>
      </c>
      <c r="AQ113" s="87">
        <v>1086</v>
      </c>
      <c r="AR113" s="87">
        <v>1172</v>
      </c>
      <c r="AS113" s="87">
        <v>1147</v>
      </c>
      <c r="AT113" s="87">
        <v>1170</v>
      </c>
      <c r="AU113" s="87">
        <v>1156</v>
      </c>
      <c r="AV113" s="87">
        <v>1103</v>
      </c>
      <c r="AW113" s="87">
        <v>1163</v>
      </c>
      <c r="AX113" s="87">
        <v>1147</v>
      </c>
      <c r="AY113" s="87">
        <v>1129</v>
      </c>
      <c r="AZ113" s="87">
        <v>1226</v>
      </c>
      <c r="BA113" s="87">
        <v>1212</v>
      </c>
      <c r="BB113" s="87">
        <v>1211</v>
      </c>
      <c r="BC113" s="87">
        <v>1334</v>
      </c>
      <c r="BD113" s="87">
        <v>1257</v>
      </c>
      <c r="BE113" s="87">
        <v>1165</v>
      </c>
      <c r="BF113" s="87">
        <v>1115</v>
      </c>
      <c r="BG113" s="87">
        <v>1145</v>
      </c>
      <c r="BH113" s="87">
        <v>1084</v>
      </c>
      <c r="BI113" s="87">
        <v>1214</v>
      </c>
      <c r="BJ113" s="87">
        <v>1233</v>
      </c>
      <c r="BK113" s="87">
        <v>1340</v>
      </c>
      <c r="BL113" s="87">
        <v>1246</v>
      </c>
      <c r="BM113" s="87">
        <v>1211</v>
      </c>
      <c r="BN113" s="87">
        <v>1264</v>
      </c>
      <c r="BO113" s="87">
        <v>1220</v>
      </c>
      <c r="BP113" s="87">
        <v>1211</v>
      </c>
      <c r="BQ113" s="87">
        <v>1223</v>
      </c>
      <c r="BR113" s="87">
        <v>1241</v>
      </c>
      <c r="BS113" s="87">
        <v>1278</v>
      </c>
      <c r="BT113" s="87">
        <v>1200</v>
      </c>
      <c r="BU113" s="87">
        <v>1168</v>
      </c>
      <c r="BV113" s="87">
        <v>1134</v>
      </c>
      <c r="BW113" s="87">
        <v>1080</v>
      </c>
      <c r="BX113" s="87">
        <v>998</v>
      </c>
      <c r="BY113" s="87">
        <v>1041</v>
      </c>
      <c r="BZ113" s="87">
        <v>876</v>
      </c>
      <c r="CA113" s="87">
        <v>851</v>
      </c>
      <c r="CB113" s="87">
        <v>835</v>
      </c>
      <c r="CC113" s="87">
        <v>800</v>
      </c>
      <c r="CD113" s="87">
        <v>816</v>
      </c>
      <c r="CE113" s="87">
        <v>829</v>
      </c>
      <c r="CF113" s="87">
        <v>742</v>
      </c>
      <c r="CG113" s="87">
        <v>771</v>
      </c>
      <c r="CH113" s="87">
        <v>816</v>
      </c>
      <c r="CI113" s="87">
        <v>895</v>
      </c>
      <c r="CJ113" s="87">
        <v>920</v>
      </c>
      <c r="CK113" s="87">
        <v>714</v>
      </c>
      <c r="CL113" s="87">
        <v>660</v>
      </c>
      <c r="CM113" s="87">
        <v>625</v>
      </c>
      <c r="CN113" s="87">
        <v>539</v>
      </c>
      <c r="CO113" s="87">
        <v>502</v>
      </c>
      <c r="CP113" s="87">
        <v>410</v>
      </c>
      <c r="CQ113" s="87">
        <v>425</v>
      </c>
      <c r="CR113" s="87">
        <v>394</v>
      </c>
      <c r="CS113" s="87">
        <v>368</v>
      </c>
      <c r="CT113" s="87">
        <v>295</v>
      </c>
      <c r="CU113" s="87">
        <v>298</v>
      </c>
      <c r="CV113" s="87">
        <v>236</v>
      </c>
      <c r="CW113" s="87">
        <v>241</v>
      </c>
      <c r="CX113" s="87">
        <v>183</v>
      </c>
      <c r="CY113" s="87">
        <v>569</v>
      </c>
      <c r="CZ113" s="88">
        <v>944</v>
      </c>
      <c r="DA113" s="88">
        <v>938</v>
      </c>
      <c r="DB113" s="88">
        <v>1008</v>
      </c>
      <c r="DC113" s="88">
        <v>985</v>
      </c>
      <c r="DD113" s="88">
        <v>1055</v>
      </c>
      <c r="DE113" s="88">
        <v>1073</v>
      </c>
      <c r="DF113" s="88">
        <v>1067</v>
      </c>
      <c r="DG113" s="88">
        <v>1070</v>
      </c>
      <c r="DH113" s="88">
        <v>1091</v>
      </c>
      <c r="DI113" s="88">
        <v>1039</v>
      </c>
      <c r="DJ113" s="88">
        <v>1099</v>
      </c>
      <c r="DK113" s="88">
        <v>1119</v>
      </c>
      <c r="DL113" s="88">
        <v>1162</v>
      </c>
      <c r="DM113" s="88">
        <v>1122</v>
      </c>
      <c r="DN113" s="88">
        <v>1031</v>
      </c>
      <c r="DO113" s="88">
        <v>1052</v>
      </c>
      <c r="DP113" s="88">
        <v>972</v>
      </c>
      <c r="DQ113" s="88">
        <v>942</v>
      </c>
      <c r="DR113" s="88">
        <v>896</v>
      </c>
      <c r="DS113" s="88">
        <v>634</v>
      </c>
      <c r="DT113" s="88">
        <v>706</v>
      </c>
      <c r="DU113" s="88">
        <v>783</v>
      </c>
      <c r="DV113" s="88">
        <v>929</v>
      </c>
      <c r="DW113" s="88">
        <v>1010</v>
      </c>
      <c r="DX113" s="88">
        <v>969</v>
      </c>
      <c r="DY113" s="88">
        <v>1114</v>
      </c>
      <c r="DZ113" s="88">
        <v>1056</v>
      </c>
      <c r="EA113" s="88">
        <v>1057</v>
      </c>
      <c r="EB113" s="88">
        <v>1185</v>
      </c>
      <c r="EC113" s="88">
        <v>1201</v>
      </c>
      <c r="ED113" s="88">
        <v>1178</v>
      </c>
      <c r="EE113" s="88">
        <v>1268</v>
      </c>
      <c r="EF113" s="88">
        <v>1293</v>
      </c>
      <c r="EG113" s="88">
        <v>1228</v>
      </c>
      <c r="EH113" s="88">
        <v>1279</v>
      </c>
      <c r="EI113" s="88">
        <v>1231</v>
      </c>
      <c r="EJ113" s="88">
        <v>1324</v>
      </c>
      <c r="EK113" s="88">
        <v>1319</v>
      </c>
      <c r="EL113" s="88">
        <v>1248</v>
      </c>
      <c r="EM113" s="88">
        <v>1256</v>
      </c>
      <c r="EN113" s="88">
        <v>1272</v>
      </c>
      <c r="EO113" s="88">
        <v>1261</v>
      </c>
      <c r="EP113" s="88">
        <v>1340</v>
      </c>
      <c r="EQ113" s="88">
        <v>1319</v>
      </c>
      <c r="ER113" s="88">
        <v>1154</v>
      </c>
      <c r="ES113" s="88">
        <v>1161</v>
      </c>
      <c r="ET113" s="88">
        <v>1185</v>
      </c>
      <c r="EU113" s="88">
        <v>1166</v>
      </c>
      <c r="EV113" s="88">
        <v>1238</v>
      </c>
      <c r="EW113" s="88">
        <v>1293</v>
      </c>
      <c r="EX113" s="88">
        <v>1281</v>
      </c>
      <c r="EY113" s="88">
        <v>1224</v>
      </c>
      <c r="EZ113" s="88">
        <v>1231</v>
      </c>
      <c r="FA113" s="88">
        <v>1248</v>
      </c>
      <c r="FB113" s="88">
        <v>1273</v>
      </c>
      <c r="FC113" s="88">
        <v>1254</v>
      </c>
      <c r="FD113" s="88">
        <v>1342</v>
      </c>
      <c r="FE113" s="88">
        <v>1239</v>
      </c>
      <c r="FF113" s="88">
        <v>1251</v>
      </c>
      <c r="FG113" s="88">
        <v>1240</v>
      </c>
      <c r="FH113" s="88">
        <v>1147</v>
      </c>
      <c r="FI113" s="88">
        <v>1111</v>
      </c>
      <c r="FJ113" s="88">
        <v>1116</v>
      </c>
      <c r="FK113" s="88">
        <v>1067</v>
      </c>
      <c r="FL113" s="88">
        <v>998</v>
      </c>
      <c r="FM113" s="88">
        <v>972</v>
      </c>
      <c r="FN113" s="88">
        <v>898</v>
      </c>
      <c r="FO113" s="88">
        <v>909</v>
      </c>
      <c r="FP113" s="88">
        <v>911</v>
      </c>
      <c r="FQ113" s="88">
        <v>928</v>
      </c>
      <c r="FR113" s="88">
        <v>835</v>
      </c>
      <c r="FS113" s="88">
        <v>903</v>
      </c>
      <c r="FT113" s="88">
        <v>913</v>
      </c>
      <c r="FU113" s="88">
        <v>941</v>
      </c>
      <c r="FV113" s="88">
        <v>1031</v>
      </c>
      <c r="FW113" s="88">
        <v>1065</v>
      </c>
      <c r="FX113" s="88">
        <v>792</v>
      </c>
      <c r="FY113" s="88">
        <v>802</v>
      </c>
      <c r="FZ113" s="88">
        <v>806</v>
      </c>
      <c r="GA113" s="88">
        <v>709</v>
      </c>
      <c r="GB113" s="88">
        <v>610</v>
      </c>
      <c r="GC113" s="88">
        <v>465</v>
      </c>
      <c r="GD113" s="88">
        <v>563</v>
      </c>
      <c r="GE113" s="88">
        <v>539</v>
      </c>
      <c r="GF113" s="88">
        <v>524</v>
      </c>
      <c r="GG113" s="88">
        <v>423</v>
      </c>
      <c r="GH113" s="88">
        <v>403</v>
      </c>
      <c r="GI113" s="88">
        <v>386</v>
      </c>
      <c r="GJ113" s="88">
        <v>325</v>
      </c>
      <c r="GK113" s="88">
        <v>320</v>
      </c>
      <c r="GL113" s="89">
        <v>1400</v>
      </c>
    </row>
    <row r="114" spans="1:194" s="1" customFormat="1" x14ac:dyDescent="0.2">
      <c r="A114" s="90" t="s">
        <v>94</v>
      </c>
      <c r="B114" s="146" t="s">
        <v>199</v>
      </c>
      <c r="C114" s="30" t="str">
        <f t="shared" si="14"/>
        <v xml:space="preserve">England – CCGs - Southport and Formby </v>
      </c>
      <c r="D114" s="51">
        <f t="shared" si="13"/>
        <v>50156</v>
      </c>
      <c r="E114" s="51">
        <f t="shared" si="13"/>
        <v>53856</v>
      </c>
      <c r="F114" s="52">
        <f t="shared" si="17"/>
        <v>117259</v>
      </c>
      <c r="G114" s="52">
        <f t="shared" si="18"/>
        <v>56893</v>
      </c>
      <c r="H114" s="52">
        <f t="shared" si="19"/>
        <v>60366</v>
      </c>
      <c r="I114" s="697">
        <f t="shared" si="15"/>
        <v>50156</v>
      </c>
      <c r="J114" s="53">
        <f t="shared" si="16"/>
        <v>53856</v>
      </c>
      <c r="K114" s="50">
        <f t="shared" si="20"/>
        <v>10751</v>
      </c>
      <c r="L114" s="51">
        <f t="shared" si="21"/>
        <v>10175</v>
      </c>
      <c r="M114" s="87">
        <v>473</v>
      </c>
      <c r="N114" s="87">
        <v>456</v>
      </c>
      <c r="O114" s="87">
        <v>513</v>
      </c>
      <c r="P114" s="87">
        <v>466</v>
      </c>
      <c r="Q114" s="87">
        <v>560</v>
      </c>
      <c r="R114" s="87">
        <v>566</v>
      </c>
      <c r="S114" s="87">
        <v>557</v>
      </c>
      <c r="T114" s="87">
        <v>615</v>
      </c>
      <c r="U114" s="87">
        <v>636</v>
      </c>
      <c r="V114" s="87">
        <v>642</v>
      </c>
      <c r="W114" s="87">
        <v>599</v>
      </c>
      <c r="X114" s="87">
        <v>654</v>
      </c>
      <c r="Y114" s="87">
        <v>712</v>
      </c>
      <c r="Z114" s="87">
        <v>619</v>
      </c>
      <c r="AA114" s="87">
        <v>686</v>
      </c>
      <c r="AB114" s="87">
        <v>658</v>
      </c>
      <c r="AC114" s="87">
        <v>654</v>
      </c>
      <c r="AD114" s="87">
        <v>685</v>
      </c>
      <c r="AE114" s="87">
        <v>643</v>
      </c>
      <c r="AF114" s="87">
        <v>467</v>
      </c>
      <c r="AG114" s="87">
        <v>443</v>
      </c>
      <c r="AH114" s="87">
        <v>484</v>
      </c>
      <c r="AI114" s="87">
        <v>518</v>
      </c>
      <c r="AJ114" s="87">
        <v>566</v>
      </c>
      <c r="AK114" s="87">
        <v>551</v>
      </c>
      <c r="AL114" s="87">
        <v>537</v>
      </c>
      <c r="AM114" s="87">
        <v>521</v>
      </c>
      <c r="AN114" s="87">
        <v>547</v>
      </c>
      <c r="AO114" s="87">
        <v>538</v>
      </c>
      <c r="AP114" s="87">
        <v>530</v>
      </c>
      <c r="AQ114" s="87">
        <v>618</v>
      </c>
      <c r="AR114" s="87">
        <v>609</v>
      </c>
      <c r="AS114" s="87">
        <v>632</v>
      </c>
      <c r="AT114" s="87">
        <v>666</v>
      </c>
      <c r="AU114" s="87">
        <v>636</v>
      </c>
      <c r="AV114" s="87">
        <v>659</v>
      </c>
      <c r="AW114" s="87">
        <v>671</v>
      </c>
      <c r="AX114" s="87">
        <v>689</v>
      </c>
      <c r="AY114" s="87">
        <v>594</v>
      </c>
      <c r="AZ114" s="87">
        <v>647</v>
      </c>
      <c r="BA114" s="87">
        <v>676</v>
      </c>
      <c r="BB114" s="87">
        <v>646</v>
      </c>
      <c r="BC114" s="87">
        <v>641</v>
      </c>
      <c r="BD114" s="87">
        <v>639</v>
      </c>
      <c r="BE114" s="87">
        <v>575</v>
      </c>
      <c r="BF114" s="87">
        <v>592</v>
      </c>
      <c r="BG114" s="87">
        <v>587</v>
      </c>
      <c r="BH114" s="87">
        <v>628</v>
      </c>
      <c r="BI114" s="87">
        <v>693</v>
      </c>
      <c r="BJ114" s="87">
        <v>748</v>
      </c>
      <c r="BK114" s="87">
        <v>785</v>
      </c>
      <c r="BL114" s="87">
        <v>787</v>
      </c>
      <c r="BM114" s="87">
        <v>795</v>
      </c>
      <c r="BN114" s="87">
        <v>822</v>
      </c>
      <c r="BO114" s="87">
        <v>864</v>
      </c>
      <c r="BP114" s="87">
        <v>894</v>
      </c>
      <c r="BQ114" s="87">
        <v>842</v>
      </c>
      <c r="BR114" s="87">
        <v>885</v>
      </c>
      <c r="BS114" s="87">
        <v>880</v>
      </c>
      <c r="BT114" s="87">
        <v>887</v>
      </c>
      <c r="BU114" s="87">
        <v>848</v>
      </c>
      <c r="BV114" s="87">
        <v>871</v>
      </c>
      <c r="BW114" s="87">
        <v>865</v>
      </c>
      <c r="BX114" s="87">
        <v>759</v>
      </c>
      <c r="BY114" s="87">
        <v>799</v>
      </c>
      <c r="BZ114" s="87">
        <v>742</v>
      </c>
      <c r="CA114" s="87">
        <v>749</v>
      </c>
      <c r="CB114" s="87">
        <v>701</v>
      </c>
      <c r="CC114" s="87">
        <v>741</v>
      </c>
      <c r="CD114" s="87">
        <v>658</v>
      </c>
      <c r="CE114" s="87">
        <v>700</v>
      </c>
      <c r="CF114" s="87">
        <v>691</v>
      </c>
      <c r="CG114" s="87">
        <v>713</v>
      </c>
      <c r="CH114" s="87">
        <v>698</v>
      </c>
      <c r="CI114" s="87">
        <v>756</v>
      </c>
      <c r="CJ114" s="87">
        <v>872</v>
      </c>
      <c r="CK114" s="87">
        <v>626</v>
      </c>
      <c r="CL114" s="87">
        <v>603</v>
      </c>
      <c r="CM114" s="87">
        <v>646</v>
      </c>
      <c r="CN114" s="87">
        <v>508</v>
      </c>
      <c r="CO114" s="87">
        <v>438</v>
      </c>
      <c r="CP114" s="87">
        <v>434</v>
      </c>
      <c r="CQ114" s="87">
        <v>377</v>
      </c>
      <c r="CR114" s="87">
        <v>353</v>
      </c>
      <c r="CS114" s="87">
        <v>362</v>
      </c>
      <c r="CT114" s="87">
        <v>352</v>
      </c>
      <c r="CU114" s="87">
        <v>345</v>
      </c>
      <c r="CV114" s="87">
        <v>305</v>
      </c>
      <c r="CW114" s="87">
        <v>227</v>
      </c>
      <c r="CX114" s="87">
        <v>183</v>
      </c>
      <c r="CY114" s="87">
        <v>588</v>
      </c>
      <c r="CZ114" s="88">
        <v>434</v>
      </c>
      <c r="DA114" s="88">
        <v>472</v>
      </c>
      <c r="DB114" s="88">
        <v>478</v>
      </c>
      <c r="DC114" s="88">
        <v>532</v>
      </c>
      <c r="DD114" s="88">
        <v>511</v>
      </c>
      <c r="DE114" s="88">
        <v>532</v>
      </c>
      <c r="DF114" s="88">
        <v>568</v>
      </c>
      <c r="DG114" s="88">
        <v>593</v>
      </c>
      <c r="DH114" s="88">
        <v>591</v>
      </c>
      <c r="DI114" s="88">
        <v>576</v>
      </c>
      <c r="DJ114" s="88">
        <v>611</v>
      </c>
      <c r="DK114" s="88">
        <v>612</v>
      </c>
      <c r="DL114" s="88">
        <v>615</v>
      </c>
      <c r="DM114" s="88">
        <v>644</v>
      </c>
      <c r="DN114" s="88">
        <v>619</v>
      </c>
      <c r="DO114" s="88">
        <v>621</v>
      </c>
      <c r="DP114" s="88">
        <v>587</v>
      </c>
      <c r="DQ114" s="88">
        <v>579</v>
      </c>
      <c r="DR114" s="88">
        <v>614</v>
      </c>
      <c r="DS114" s="88">
        <v>437</v>
      </c>
      <c r="DT114" s="88">
        <v>396</v>
      </c>
      <c r="DU114" s="88">
        <v>435</v>
      </c>
      <c r="DV114" s="88">
        <v>479</v>
      </c>
      <c r="DW114" s="88">
        <v>538</v>
      </c>
      <c r="DX114" s="88">
        <v>523</v>
      </c>
      <c r="DY114" s="88">
        <v>518</v>
      </c>
      <c r="DZ114" s="88">
        <v>505</v>
      </c>
      <c r="EA114" s="88">
        <v>552</v>
      </c>
      <c r="EB114" s="88">
        <v>577</v>
      </c>
      <c r="EC114" s="88">
        <v>568</v>
      </c>
      <c r="ED114" s="88">
        <v>639</v>
      </c>
      <c r="EE114" s="88">
        <v>672</v>
      </c>
      <c r="EF114" s="88">
        <v>677</v>
      </c>
      <c r="EG114" s="88">
        <v>691</v>
      </c>
      <c r="EH114" s="88">
        <v>646</v>
      </c>
      <c r="EI114" s="88">
        <v>633</v>
      </c>
      <c r="EJ114" s="88">
        <v>662</v>
      </c>
      <c r="EK114" s="88">
        <v>670</v>
      </c>
      <c r="EL114" s="88">
        <v>659</v>
      </c>
      <c r="EM114" s="88">
        <v>663</v>
      </c>
      <c r="EN114" s="88">
        <v>654</v>
      </c>
      <c r="EO114" s="88">
        <v>685</v>
      </c>
      <c r="EP114" s="88">
        <v>699</v>
      </c>
      <c r="EQ114" s="88">
        <v>628</v>
      </c>
      <c r="ER114" s="88">
        <v>627</v>
      </c>
      <c r="ES114" s="88">
        <v>580</v>
      </c>
      <c r="ET114" s="88">
        <v>680</v>
      </c>
      <c r="EU114" s="88">
        <v>658</v>
      </c>
      <c r="EV114" s="88">
        <v>746</v>
      </c>
      <c r="EW114" s="88">
        <v>706</v>
      </c>
      <c r="EX114" s="88">
        <v>810</v>
      </c>
      <c r="EY114" s="88">
        <v>797</v>
      </c>
      <c r="EZ114" s="88">
        <v>841</v>
      </c>
      <c r="FA114" s="88">
        <v>878</v>
      </c>
      <c r="FB114" s="88">
        <v>919</v>
      </c>
      <c r="FC114" s="88">
        <v>855</v>
      </c>
      <c r="FD114" s="88">
        <v>923</v>
      </c>
      <c r="FE114" s="88">
        <v>929</v>
      </c>
      <c r="FF114" s="88">
        <v>960</v>
      </c>
      <c r="FG114" s="88">
        <v>922</v>
      </c>
      <c r="FH114" s="88">
        <v>922</v>
      </c>
      <c r="FI114" s="88">
        <v>941</v>
      </c>
      <c r="FJ114" s="88">
        <v>889</v>
      </c>
      <c r="FK114" s="88">
        <v>838</v>
      </c>
      <c r="FL114" s="88">
        <v>921</v>
      </c>
      <c r="FM114" s="88">
        <v>796</v>
      </c>
      <c r="FN114" s="88">
        <v>764</v>
      </c>
      <c r="FO114" s="88">
        <v>715</v>
      </c>
      <c r="FP114" s="88">
        <v>812</v>
      </c>
      <c r="FQ114" s="88">
        <v>762</v>
      </c>
      <c r="FR114" s="88">
        <v>720</v>
      </c>
      <c r="FS114" s="88">
        <v>800</v>
      </c>
      <c r="FT114" s="88">
        <v>754</v>
      </c>
      <c r="FU114" s="88">
        <v>739</v>
      </c>
      <c r="FV114" s="88">
        <v>858</v>
      </c>
      <c r="FW114" s="88">
        <v>972</v>
      </c>
      <c r="FX114" s="88">
        <v>788</v>
      </c>
      <c r="FY114" s="88">
        <v>682</v>
      </c>
      <c r="FZ114" s="88">
        <v>659</v>
      </c>
      <c r="GA114" s="88">
        <v>729</v>
      </c>
      <c r="GB114" s="88">
        <v>584</v>
      </c>
      <c r="GC114" s="88">
        <v>492</v>
      </c>
      <c r="GD114" s="88">
        <v>537</v>
      </c>
      <c r="GE114" s="88">
        <v>550</v>
      </c>
      <c r="GF114" s="88">
        <v>511</v>
      </c>
      <c r="GG114" s="88">
        <v>516</v>
      </c>
      <c r="GH114" s="88">
        <v>424</v>
      </c>
      <c r="GI114" s="88">
        <v>407</v>
      </c>
      <c r="GJ114" s="88">
        <v>349</v>
      </c>
      <c r="GK114" s="88">
        <v>286</v>
      </c>
      <c r="GL114" s="89">
        <v>1223</v>
      </c>
    </row>
    <row r="115" spans="1:194" s="1" customFormat="1" x14ac:dyDescent="0.2">
      <c r="A115" s="90" t="s">
        <v>94</v>
      </c>
      <c r="B115" s="146" t="s">
        <v>200</v>
      </c>
      <c r="C115" s="30" t="str">
        <f t="shared" si="14"/>
        <v xml:space="preserve">England – CCGs - St Helens </v>
      </c>
      <c r="D115" s="51">
        <f t="shared" si="13"/>
        <v>78177</v>
      </c>
      <c r="E115" s="51">
        <f t="shared" si="13"/>
        <v>82351</v>
      </c>
      <c r="F115" s="52">
        <f t="shared" si="17"/>
        <v>184728</v>
      </c>
      <c r="G115" s="52">
        <f t="shared" si="18"/>
        <v>90663</v>
      </c>
      <c r="H115" s="52">
        <f t="shared" si="19"/>
        <v>94065</v>
      </c>
      <c r="I115" s="697">
        <f t="shared" si="15"/>
        <v>78177</v>
      </c>
      <c r="J115" s="53">
        <f t="shared" si="16"/>
        <v>82351</v>
      </c>
      <c r="K115" s="50">
        <f t="shared" si="20"/>
        <v>18955</v>
      </c>
      <c r="L115" s="51">
        <f t="shared" si="21"/>
        <v>17945</v>
      </c>
      <c r="M115" s="87">
        <v>951</v>
      </c>
      <c r="N115" s="87">
        <v>921</v>
      </c>
      <c r="O115" s="87">
        <v>975</v>
      </c>
      <c r="P115" s="87">
        <v>1057</v>
      </c>
      <c r="Q115" s="87">
        <v>997</v>
      </c>
      <c r="R115" s="87">
        <v>1104</v>
      </c>
      <c r="S115" s="87">
        <v>1063</v>
      </c>
      <c r="T115" s="87">
        <v>1032</v>
      </c>
      <c r="U115" s="87">
        <v>1060</v>
      </c>
      <c r="V115" s="87">
        <v>1095</v>
      </c>
      <c r="W115" s="87">
        <v>1127</v>
      </c>
      <c r="X115" s="87">
        <v>1104</v>
      </c>
      <c r="Y115" s="87">
        <v>1118</v>
      </c>
      <c r="Z115" s="87">
        <v>1068</v>
      </c>
      <c r="AA115" s="87">
        <v>1142</v>
      </c>
      <c r="AB115" s="87">
        <v>1032</v>
      </c>
      <c r="AC115" s="87">
        <v>1061</v>
      </c>
      <c r="AD115" s="87">
        <v>1048</v>
      </c>
      <c r="AE115" s="87">
        <v>1030</v>
      </c>
      <c r="AF115" s="87">
        <v>810</v>
      </c>
      <c r="AG115" s="87">
        <v>822</v>
      </c>
      <c r="AH115" s="87">
        <v>849</v>
      </c>
      <c r="AI115" s="87">
        <v>988</v>
      </c>
      <c r="AJ115" s="87">
        <v>1034</v>
      </c>
      <c r="AK115" s="87">
        <v>1065</v>
      </c>
      <c r="AL115" s="87">
        <v>1056</v>
      </c>
      <c r="AM115" s="87">
        <v>1019</v>
      </c>
      <c r="AN115" s="87">
        <v>1062</v>
      </c>
      <c r="AO115" s="87">
        <v>1118</v>
      </c>
      <c r="AP115" s="87">
        <v>1183</v>
      </c>
      <c r="AQ115" s="87">
        <v>1213</v>
      </c>
      <c r="AR115" s="87">
        <v>1322</v>
      </c>
      <c r="AS115" s="87">
        <v>1199</v>
      </c>
      <c r="AT115" s="87">
        <v>1173</v>
      </c>
      <c r="AU115" s="87">
        <v>1203</v>
      </c>
      <c r="AV115" s="87">
        <v>1134</v>
      </c>
      <c r="AW115" s="87">
        <v>1274</v>
      </c>
      <c r="AX115" s="87">
        <v>1087</v>
      </c>
      <c r="AY115" s="87">
        <v>1174</v>
      </c>
      <c r="AZ115" s="87">
        <v>1140</v>
      </c>
      <c r="BA115" s="87">
        <v>1163</v>
      </c>
      <c r="BB115" s="87">
        <v>1106</v>
      </c>
      <c r="BC115" s="87">
        <v>1120</v>
      </c>
      <c r="BD115" s="87">
        <v>1173</v>
      </c>
      <c r="BE115" s="87">
        <v>959</v>
      </c>
      <c r="BF115" s="87">
        <v>1008</v>
      </c>
      <c r="BG115" s="87">
        <v>1060</v>
      </c>
      <c r="BH115" s="87">
        <v>1097</v>
      </c>
      <c r="BI115" s="87">
        <v>1175</v>
      </c>
      <c r="BJ115" s="87">
        <v>1228</v>
      </c>
      <c r="BK115" s="87">
        <v>1229</v>
      </c>
      <c r="BL115" s="87">
        <v>1357</v>
      </c>
      <c r="BM115" s="87">
        <v>1305</v>
      </c>
      <c r="BN115" s="87">
        <v>1339</v>
      </c>
      <c r="BO115" s="87">
        <v>1320</v>
      </c>
      <c r="BP115" s="87">
        <v>1307</v>
      </c>
      <c r="BQ115" s="87">
        <v>1324</v>
      </c>
      <c r="BR115" s="87">
        <v>1350</v>
      </c>
      <c r="BS115" s="87">
        <v>1339</v>
      </c>
      <c r="BT115" s="87">
        <v>1286</v>
      </c>
      <c r="BU115" s="87">
        <v>1262</v>
      </c>
      <c r="BV115" s="87">
        <v>1230</v>
      </c>
      <c r="BW115" s="87">
        <v>1159</v>
      </c>
      <c r="BX115" s="87">
        <v>1143</v>
      </c>
      <c r="BY115" s="87">
        <v>1118</v>
      </c>
      <c r="BZ115" s="87">
        <v>1057</v>
      </c>
      <c r="CA115" s="87">
        <v>966</v>
      </c>
      <c r="CB115" s="87">
        <v>945</v>
      </c>
      <c r="CC115" s="87">
        <v>919</v>
      </c>
      <c r="CD115" s="87">
        <v>940</v>
      </c>
      <c r="CE115" s="87">
        <v>900</v>
      </c>
      <c r="CF115" s="87">
        <v>966</v>
      </c>
      <c r="CG115" s="87">
        <v>919</v>
      </c>
      <c r="CH115" s="87">
        <v>933</v>
      </c>
      <c r="CI115" s="87">
        <v>994</v>
      </c>
      <c r="CJ115" s="87">
        <v>1082</v>
      </c>
      <c r="CK115" s="87">
        <v>810</v>
      </c>
      <c r="CL115" s="87">
        <v>734</v>
      </c>
      <c r="CM115" s="87">
        <v>708</v>
      </c>
      <c r="CN115" s="87">
        <v>656</v>
      </c>
      <c r="CO115" s="87">
        <v>552</v>
      </c>
      <c r="CP115" s="87">
        <v>444</v>
      </c>
      <c r="CQ115" s="87">
        <v>448</v>
      </c>
      <c r="CR115" s="87">
        <v>439</v>
      </c>
      <c r="CS115" s="87">
        <v>400</v>
      </c>
      <c r="CT115" s="87">
        <v>356</v>
      </c>
      <c r="CU115" s="87">
        <v>306</v>
      </c>
      <c r="CV115" s="87">
        <v>282</v>
      </c>
      <c r="CW115" s="87">
        <v>188</v>
      </c>
      <c r="CX115" s="87">
        <v>164</v>
      </c>
      <c r="CY115" s="87">
        <v>488</v>
      </c>
      <c r="CZ115" s="88">
        <v>910</v>
      </c>
      <c r="DA115" s="88">
        <v>924</v>
      </c>
      <c r="DB115" s="88">
        <v>894</v>
      </c>
      <c r="DC115" s="88">
        <v>918</v>
      </c>
      <c r="DD115" s="88">
        <v>972</v>
      </c>
      <c r="DE115" s="88">
        <v>1032</v>
      </c>
      <c r="DF115" s="88">
        <v>970</v>
      </c>
      <c r="DG115" s="88">
        <v>962</v>
      </c>
      <c r="DH115" s="88">
        <v>1009</v>
      </c>
      <c r="DI115" s="88">
        <v>996</v>
      </c>
      <c r="DJ115" s="88">
        <v>1087</v>
      </c>
      <c r="DK115" s="88">
        <v>1040</v>
      </c>
      <c r="DL115" s="88">
        <v>1054</v>
      </c>
      <c r="DM115" s="88">
        <v>1057</v>
      </c>
      <c r="DN115" s="88">
        <v>1060</v>
      </c>
      <c r="DO115" s="88">
        <v>1067</v>
      </c>
      <c r="DP115" s="88">
        <v>995</v>
      </c>
      <c r="DQ115" s="88">
        <v>998</v>
      </c>
      <c r="DR115" s="88">
        <v>979</v>
      </c>
      <c r="DS115" s="88">
        <v>754</v>
      </c>
      <c r="DT115" s="88">
        <v>707</v>
      </c>
      <c r="DU115" s="88">
        <v>850</v>
      </c>
      <c r="DV115" s="88">
        <v>946</v>
      </c>
      <c r="DW115" s="88">
        <v>1045</v>
      </c>
      <c r="DX115" s="88">
        <v>1026</v>
      </c>
      <c r="DY115" s="88">
        <v>1107</v>
      </c>
      <c r="DZ115" s="88">
        <v>1162</v>
      </c>
      <c r="EA115" s="88">
        <v>1131</v>
      </c>
      <c r="EB115" s="88">
        <v>1223</v>
      </c>
      <c r="EC115" s="88">
        <v>1302</v>
      </c>
      <c r="ED115" s="88">
        <v>1365</v>
      </c>
      <c r="EE115" s="88">
        <v>1263</v>
      </c>
      <c r="EF115" s="88">
        <v>1263</v>
      </c>
      <c r="EG115" s="88">
        <v>1330</v>
      </c>
      <c r="EH115" s="88">
        <v>1314</v>
      </c>
      <c r="EI115" s="88">
        <v>1241</v>
      </c>
      <c r="EJ115" s="88">
        <v>1239</v>
      </c>
      <c r="EK115" s="88">
        <v>1261</v>
      </c>
      <c r="EL115" s="88">
        <v>1134</v>
      </c>
      <c r="EM115" s="88">
        <v>1252</v>
      </c>
      <c r="EN115" s="88">
        <v>1231</v>
      </c>
      <c r="EO115" s="88">
        <v>1113</v>
      </c>
      <c r="EP115" s="88">
        <v>1144</v>
      </c>
      <c r="EQ115" s="88">
        <v>1153</v>
      </c>
      <c r="ER115" s="88">
        <v>1013</v>
      </c>
      <c r="ES115" s="88">
        <v>1003</v>
      </c>
      <c r="ET115" s="88">
        <v>1024</v>
      </c>
      <c r="EU115" s="88">
        <v>1115</v>
      </c>
      <c r="EV115" s="88">
        <v>1105</v>
      </c>
      <c r="EW115" s="88">
        <v>1180</v>
      </c>
      <c r="EX115" s="88">
        <v>1356</v>
      </c>
      <c r="EY115" s="88">
        <v>1446</v>
      </c>
      <c r="EZ115" s="88">
        <v>1382</v>
      </c>
      <c r="FA115" s="88">
        <v>1360</v>
      </c>
      <c r="FB115" s="88">
        <v>1362</v>
      </c>
      <c r="FC115" s="88">
        <v>1324</v>
      </c>
      <c r="FD115" s="88">
        <v>1366</v>
      </c>
      <c r="FE115" s="88">
        <v>1372</v>
      </c>
      <c r="FF115" s="88">
        <v>1411</v>
      </c>
      <c r="FG115" s="88">
        <v>1323</v>
      </c>
      <c r="FH115" s="88">
        <v>1276</v>
      </c>
      <c r="FI115" s="88">
        <v>1251</v>
      </c>
      <c r="FJ115" s="88">
        <v>1192</v>
      </c>
      <c r="FK115" s="88">
        <v>1163</v>
      </c>
      <c r="FL115" s="88">
        <v>1074</v>
      </c>
      <c r="FM115" s="88">
        <v>1060</v>
      </c>
      <c r="FN115" s="88">
        <v>1091</v>
      </c>
      <c r="FO115" s="88">
        <v>969</v>
      </c>
      <c r="FP115" s="88">
        <v>1071</v>
      </c>
      <c r="FQ115" s="88">
        <v>961</v>
      </c>
      <c r="FR115" s="88">
        <v>975</v>
      </c>
      <c r="FS115" s="88">
        <v>1045</v>
      </c>
      <c r="FT115" s="88">
        <v>994</v>
      </c>
      <c r="FU115" s="88">
        <v>1024</v>
      </c>
      <c r="FV115" s="88">
        <v>1105</v>
      </c>
      <c r="FW115" s="88">
        <v>1175</v>
      </c>
      <c r="FX115" s="88">
        <v>910</v>
      </c>
      <c r="FY115" s="88">
        <v>811</v>
      </c>
      <c r="FZ115" s="88">
        <v>816</v>
      </c>
      <c r="GA115" s="88">
        <v>770</v>
      </c>
      <c r="GB115" s="88">
        <v>672</v>
      </c>
      <c r="GC115" s="88">
        <v>596</v>
      </c>
      <c r="GD115" s="88">
        <v>568</v>
      </c>
      <c r="GE115" s="88">
        <v>553</v>
      </c>
      <c r="GF115" s="88">
        <v>548</v>
      </c>
      <c r="GG115" s="88">
        <v>435</v>
      </c>
      <c r="GH115" s="88">
        <v>416</v>
      </c>
      <c r="GI115" s="88">
        <v>355</v>
      </c>
      <c r="GJ115" s="88">
        <v>319</v>
      </c>
      <c r="GK115" s="88">
        <v>265</v>
      </c>
      <c r="GL115" s="89">
        <v>983</v>
      </c>
    </row>
    <row r="116" spans="1:194" s="1" customFormat="1" x14ac:dyDescent="0.2">
      <c r="A116" s="90" t="s">
        <v>94</v>
      </c>
      <c r="B116" s="146" t="s">
        <v>201</v>
      </c>
      <c r="C116" s="30" t="str">
        <f t="shared" si="14"/>
        <v xml:space="preserve">England – CCGs - Stafford and Surrounds </v>
      </c>
      <c r="D116" s="51">
        <f t="shared" si="13"/>
        <v>68403</v>
      </c>
      <c r="E116" s="51">
        <f t="shared" si="13"/>
        <v>71276</v>
      </c>
      <c r="F116" s="52">
        <f t="shared" si="17"/>
        <v>159235</v>
      </c>
      <c r="G116" s="52">
        <f t="shared" si="18"/>
        <v>78425</v>
      </c>
      <c r="H116" s="52">
        <f t="shared" si="19"/>
        <v>80810</v>
      </c>
      <c r="I116" s="697">
        <f t="shared" si="15"/>
        <v>68403</v>
      </c>
      <c r="J116" s="53">
        <f t="shared" si="16"/>
        <v>71276</v>
      </c>
      <c r="K116" s="50">
        <f t="shared" si="20"/>
        <v>15300</v>
      </c>
      <c r="L116" s="51">
        <f t="shared" si="21"/>
        <v>14752</v>
      </c>
      <c r="M116" s="87">
        <v>725</v>
      </c>
      <c r="N116" s="87">
        <v>708</v>
      </c>
      <c r="O116" s="87">
        <v>791</v>
      </c>
      <c r="P116" s="87">
        <v>843</v>
      </c>
      <c r="Q116" s="87">
        <v>748</v>
      </c>
      <c r="R116" s="87">
        <v>832</v>
      </c>
      <c r="S116" s="87">
        <v>872</v>
      </c>
      <c r="T116" s="87">
        <v>855</v>
      </c>
      <c r="U116" s="87">
        <v>862</v>
      </c>
      <c r="V116" s="87">
        <v>940</v>
      </c>
      <c r="W116" s="87">
        <v>917</v>
      </c>
      <c r="X116" s="87">
        <v>929</v>
      </c>
      <c r="Y116" s="87">
        <v>901</v>
      </c>
      <c r="Z116" s="87">
        <v>887</v>
      </c>
      <c r="AA116" s="87">
        <v>919</v>
      </c>
      <c r="AB116" s="87">
        <v>910</v>
      </c>
      <c r="AC116" s="87">
        <v>850</v>
      </c>
      <c r="AD116" s="87">
        <v>811</v>
      </c>
      <c r="AE116" s="87">
        <v>793</v>
      </c>
      <c r="AF116" s="87">
        <v>572</v>
      </c>
      <c r="AG116" s="87">
        <v>566</v>
      </c>
      <c r="AH116" s="87">
        <v>643</v>
      </c>
      <c r="AI116" s="87">
        <v>693</v>
      </c>
      <c r="AJ116" s="87">
        <v>771</v>
      </c>
      <c r="AK116" s="87">
        <v>814</v>
      </c>
      <c r="AL116" s="87">
        <v>888</v>
      </c>
      <c r="AM116" s="87">
        <v>897</v>
      </c>
      <c r="AN116" s="87">
        <v>785</v>
      </c>
      <c r="AO116" s="87">
        <v>868</v>
      </c>
      <c r="AP116" s="87">
        <v>895</v>
      </c>
      <c r="AQ116" s="87">
        <v>978</v>
      </c>
      <c r="AR116" s="87">
        <v>949</v>
      </c>
      <c r="AS116" s="87">
        <v>957</v>
      </c>
      <c r="AT116" s="87">
        <v>958</v>
      </c>
      <c r="AU116" s="87">
        <v>1000</v>
      </c>
      <c r="AV116" s="87">
        <v>938</v>
      </c>
      <c r="AW116" s="87">
        <v>935</v>
      </c>
      <c r="AX116" s="87">
        <v>1001</v>
      </c>
      <c r="AY116" s="87">
        <v>893</v>
      </c>
      <c r="AZ116" s="87">
        <v>983</v>
      </c>
      <c r="BA116" s="87">
        <v>881</v>
      </c>
      <c r="BB116" s="87">
        <v>973</v>
      </c>
      <c r="BC116" s="87">
        <v>1051</v>
      </c>
      <c r="BD116" s="87">
        <v>918</v>
      </c>
      <c r="BE116" s="87">
        <v>892</v>
      </c>
      <c r="BF116" s="87">
        <v>822</v>
      </c>
      <c r="BG116" s="87">
        <v>801</v>
      </c>
      <c r="BH116" s="87">
        <v>1002</v>
      </c>
      <c r="BI116" s="87">
        <v>973</v>
      </c>
      <c r="BJ116" s="87">
        <v>1097</v>
      </c>
      <c r="BK116" s="87">
        <v>1104</v>
      </c>
      <c r="BL116" s="87">
        <v>1188</v>
      </c>
      <c r="BM116" s="87">
        <v>1188</v>
      </c>
      <c r="BN116" s="87">
        <v>1187</v>
      </c>
      <c r="BO116" s="87">
        <v>1186</v>
      </c>
      <c r="BP116" s="87">
        <v>1165</v>
      </c>
      <c r="BQ116" s="87">
        <v>1186</v>
      </c>
      <c r="BR116" s="87">
        <v>1248</v>
      </c>
      <c r="BS116" s="87">
        <v>1178</v>
      </c>
      <c r="BT116" s="87">
        <v>1152</v>
      </c>
      <c r="BU116" s="87">
        <v>1188</v>
      </c>
      <c r="BV116" s="87">
        <v>1094</v>
      </c>
      <c r="BW116" s="87">
        <v>1104</v>
      </c>
      <c r="BX116" s="87">
        <v>1034</v>
      </c>
      <c r="BY116" s="87">
        <v>1075</v>
      </c>
      <c r="BZ116" s="87">
        <v>923</v>
      </c>
      <c r="CA116" s="87">
        <v>903</v>
      </c>
      <c r="CB116" s="87">
        <v>927</v>
      </c>
      <c r="CC116" s="87">
        <v>881</v>
      </c>
      <c r="CD116" s="87">
        <v>893</v>
      </c>
      <c r="CE116" s="87">
        <v>888</v>
      </c>
      <c r="CF116" s="87">
        <v>898</v>
      </c>
      <c r="CG116" s="87">
        <v>917</v>
      </c>
      <c r="CH116" s="87">
        <v>980</v>
      </c>
      <c r="CI116" s="87">
        <v>936</v>
      </c>
      <c r="CJ116" s="87">
        <v>1019</v>
      </c>
      <c r="CK116" s="87">
        <v>805</v>
      </c>
      <c r="CL116" s="87">
        <v>737</v>
      </c>
      <c r="CM116" s="87">
        <v>783</v>
      </c>
      <c r="CN116" s="87">
        <v>691</v>
      </c>
      <c r="CO116" s="87">
        <v>633</v>
      </c>
      <c r="CP116" s="87">
        <v>481</v>
      </c>
      <c r="CQ116" s="87">
        <v>490</v>
      </c>
      <c r="CR116" s="87">
        <v>476</v>
      </c>
      <c r="CS116" s="87">
        <v>429</v>
      </c>
      <c r="CT116" s="87">
        <v>390</v>
      </c>
      <c r="CU116" s="87">
        <v>311</v>
      </c>
      <c r="CV116" s="87">
        <v>292</v>
      </c>
      <c r="CW116" s="87">
        <v>231</v>
      </c>
      <c r="CX116" s="87">
        <v>192</v>
      </c>
      <c r="CY116" s="87">
        <v>555</v>
      </c>
      <c r="CZ116" s="88">
        <v>666</v>
      </c>
      <c r="DA116" s="88">
        <v>733</v>
      </c>
      <c r="DB116" s="88">
        <v>755</v>
      </c>
      <c r="DC116" s="88">
        <v>756</v>
      </c>
      <c r="DD116" s="88">
        <v>813</v>
      </c>
      <c r="DE116" s="88">
        <v>776</v>
      </c>
      <c r="DF116" s="88">
        <v>779</v>
      </c>
      <c r="DG116" s="88">
        <v>842</v>
      </c>
      <c r="DH116" s="88">
        <v>836</v>
      </c>
      <c r="DI116" s="88">
        <v>872</v>
      </c>
      <c r="DJ116" s="88">
        <v>843</v>
      </c>
      <c r="DK116" s="88">
        <v>863</v>
      </c>
      <c r="DL116" s="88">
        <v>847</v>
      </c>
      <c r="DM116" s="88">
        <v>920</v>
      </c>
      <c r="DN116" s="88">
        <v>956</v>
      </c>
      <c r="DO116" s="88">
        <v>846</v>
      </c>
      <c r="DP116" s="88">
        <v>809</v>
      </c>
      <c r="DQ116" s="88">
        <v>840</v>
      </c>
      <c r="DR116" s="88">
        <v>733</v>
      </c>
      <c r="DS116" s="88">
        <v>477</v>
      </c>
      <c r="DT116" s="88">
        <v>475</v>
      </c>
      <c r="DU116" s="88">
        <v>660</v>
      </c>
      <c r="DV116" s="88">
        <v>741</v>
      </c>
      <c r="DW116" s="88">
        <v>801</v>
      </c>
      <c r="DX116" s="88">
        <v>811</v>
      </c>
      <c r="DY116" s="88">
        <v>797</v>
      </c>
      <c r="DZ116" s="88">
        <v>800</v>
      </c>
      <c r="EA116" s="88">
        <v>898</v>
      </c>
      <c r="EB116" s="88">
        <v>932</v>
      </c>
      <c r="EC116" s="88">
        <v>943</v>
      </c>
      <c r="ED116" s="88">
        <v>977</v>
      </c>
      <c r="EE116" s="88">
        <v>974</v>
      </c>
      <c r="EF116" s="88">
        <v>1019</v>
      </c>
      <c r="EG116" s="88">
        <v>954</v>
      </c>
      <c r="EH116" s="88">
        <v>1050</v>
      </c>
      <c r="EI116" s="88">
        <v>1006</v>
      </c>
      <c r="EJ116" s="88">
        <v>997</v>
      </c>
      <c r="EK116" s="88">
        <v>991</v>
      </c>
      <c r="EL116" s="88">
        <v>925</v>
      </c>
      <c r="EM116" s="88">
        <v>948</v>
      </c>
      <c r="EN116" s="88">
        <v>942</v>
      </c>
      <c r="EO116" s="88">
        <v>994</v>
      </c>
      <c r="EP116" s="88">
        <v>977</v>
      </c>
      <c r="EQ116" s="88">
        <v>970</v>
      </c>
      <c r="ER116" s="88">
        <v>889</v>
      </c>
      <c r="ES116" s="88">
        <v>867</v>
      </c>
      <c r="ET116" s="88">
        <v>868</v>
      </c>
      <c r="EU116" s="88">
        <v>917</v>
      </c>
      <c r="EV116" s="88">
        <v>986</v>
      </c>
      <c r="EW116" s="88">
        <v>1047</v>
      </c>
      <c r="EX116" s="88">
        <v>1092</v>
      </c>
      <c r="EY116" s="88">
        <v>1224</v>
      </c>
      <c r="EZ116" s="88">
        <v>1153</v>
      </c>
      <c r="FA116" s="88">
        <v>1183</v>
      </c>
      <c r="FB116" s="88">
        <v>1244</v>
      </c>
      <c r="FC116" s="88">
        <v>1292</v>
      </c>
      <c r="FD116" s="88">
        <v>1186</v>
      </c>
      <c r="FE116" s="88">
        <v>1270</v>
      </c>
      <c r="FF116" s="88">
        <v>1298</v>
      </c>
      <c r="FG116" s="88">
        <v>1194</v>
      </c>
      <c r="FH116" s="88">
        <v>1154</v>
      </c>
      <c r="FI116" s="88">
        <v>1103</v>
      </c>
      <c r="FJ116" s="88">
        <v>1075</v>
      </c>
      <c r="FK116" s="88">
        <v>1065</v>
      </c>
      <c r="FL116" s="88">
        <v>1003</v>
      </c>
      <c r="FM116" s="88">
        <v>979</v>
      </c>
      <c r="FN116" s="88">
        <v>927</v>
      </c>
      <c r="FO116" s="88">
        <v>959</v>
      </c>
      <c r="FP116" s="88">
        <v>911</v>
      </c>
      <c r="FQ116" s="88">
        <v>956</v>
      </c>
      <c r="FR116" s="88">
        <v>918</v>
      </c>
      <c r="FS116" s="88">
        <v>951</v>
      </c>
      <c r="FT116" s="88">
        <v>949</v>
      </c>
      <c r="FU116" s="88">
        <v>1051</v>
      </c>
      <c r="FV116" s="88">
        <v>1032</v>
      </c>
      <c r="FW116" s="88">
        <v>1136</v>
      </c>
      <c r="FX116" s="88">
        <v>837</v>
      </c>
      <c r="FY116" s="88">
        <v>919</v>
      </c>
      <c r="FZ116" s="88">
        <v>923</v>
      </c>
      <c r="GA116" s="88">
        <v>856</v>
      </c>
      <c r="GB116" s="88">
        <v>659</v>
      </c>
      <c r="GC116" s="88">
        <v>593</v>
      </c>
      <c r="GD116" s="88">
        <v>576</v>
      </c>
      <c r="GE116" s="88">
        <v>586</v>
      </c>
      <c r="GF116" s="88">
        <v>512</v>
      </c>
      <c r="GG116" s="88">
        <v>455</v>
      </c>
      <c r="GH116" s="88">
        <v>445</v>
      </c>
      <c r="GI116" s="88">
        <v>335</v>
      </c>
      <c r="GJ116" s="88">
        <v>296</v>
      </c>
      <c r="GK116" s="88">
        <v>268</v>
      </c>
      <c r="GL116" s="89">
        <v>1127</v>
      </c>
    </row>
    <row r="117" spans="1:194" s="1" customFormat="1" x14ac:dyDescent="0.2">
      <c r="A117" s="90" t="s">
        <v>94</v>
      </c>
      <c r="B117" s="146" t="s">
        <v>202</v>
      </c>
      <c r="C117" s="30" t="str">
        <f t="shared" si="14"/>
        <v xml:space="preserve">England – CCGs - Stockport </v>
      </c>
      <c r="D117" s="51">
        <f t="shared" si="13"/>
        <v>123257</v>
      </c>
      <c r="E117" s="51">
        <f t="shared" si="13"/>
        <v>131623</v>
      </c>
      <c r="F117" s="52">
        <f t="shared" si="17"/>
        <v>297107</v>
      </c>
      <c r="G117" s="52">
        <f t="shared" si="18"/>
        <v>144724</v>
      </c>
      <c r="H117" s="52">
        <f t="shared" si="19"/>
        <v>152383</v>
      </c>
      <c r="I117" s="697">
        <f t="shared" si="15"/>
        <v>123257</v>
      </c>
      <c r="J117" s="53">
        <f t="shared" si="16"/>
        <v>131623</v>
      </c>
      <c r="K117" s="50">
        <f t="shared" si="20"/>
        <v>32601</v>
      </c>
      <c r="L117" s="51">
        <f t="shared" si="21"/>
        <v>30854</v>
      </c>
      <c r="M117" s="87">
        <v>1576</v>
      </c>
      <c r="N117" s="87">
        <v>1619</v>
      </c>
      <c r="O117" s="87">
        <v>1700</v>
      </c>
      <c r="P117" s="87">
        <v>1713</v>
      </c>
      <c r="Q117" s="87">
        <v>1833</v>
      </c>
      <c r="R117" s="87">
        <v>1816</v>
      </c>
      <c r="S117" s="87">
        <v>1877</v>
      </c>
      <c r="T117" s="87">
        <v>1841</v>
      </c>
      <c r="U117" s="87">
        <v>1896</v>
      </c>
      <c r="V117" s="87">
        <v>1885</v>
      </c>
      <c r="W117" s="87">
        <v>1786</v>
      </c>
      <c r="X117" s="87">
        <v>1925</v>
      </c>
      <c r="Y117" s="87">
        <v>1863</v>
      </c>
      <c r="Z117" s="87">
        <v>1868</v>
      </c>
      <c r="AA117" s="87">
        <v>1881</v>
      </c>
      <c r="AB117" s="87">
        <v>1856</v>
      </c>
      <c r="AC117" s="87">
        <v>1816</v>
      </c>
      <c r="AD117" s="87">
        <v>1850</v>
      </c>
      <c r="AE117" s="87">
        <v>1628</v>
      </c>
      <c r="AF117" s="87">
        <v>1151</v>
      </c>
      <c r="AG117" s="87">
        <v>1081</v>
      </c>
      <c r="AH117" s="87">
        <v>1162</v>
      </c>
      <c r="AI117" s="87">
        <v>1313</v>
      </c>
      <c r="AJ117" s="87">
        <v>1426</v>
      </c>
      <c r="AK117" s="87">
        <v>1540</v>
      </c>
      <c r="AL117" s="87">
        <v>1659</v>
      </c>
      <c r="AM117" s="87">
        <v>1463</v>
      </c>
      <c r="AN117" s="87">
        <v>1624</v>
      </c>
      <c r="AO117" s="87">
        <v>1714</v>
      </c>
      <c r="AP117" s="87">
        <v>1597</v>
      </c>
      <c r="AQ117" s="87">
        <v>1796</v>
      </c>
      <c r="AR117" s="87">
        <v>1942</v>
      </c>
      <c r="AS117" s="87">
        <v>1919</v>
      </c>
      <c r="AT117" s="87">
        <v>1882</v>
      </c>
      <c r="AU117" s="87">
        <v>2143</v>
      </c>
      <c r="AV117" s="87">
        <v>1964</v>
      </c>
      <c r="AW117" s="87">
        <v>2058</v>
      </c>
      <c r="AX117" s="87">
        <v>2082</v>
      </c>
      <c r="AY117" s="87">
        <v>1905</v>
      </c>
      <c r="AZ117" s="87">
        <v>2012</v>
      </c>
      <c r="BA117" s="87">
        <v>1974</v>
      </c>
      <c r="BB117" s="87">
        <v>2009</v>
      </c>
      <c r="BC117" s="87">
        <v>2089</v>
      </c>
      <c r="BD117" s="87">
        <v>1997</v>
      </c>
      <c r="BE117" s="87">
        <v>1820</v>
      </c>
      <c r="BF117" s="87">
        <v>1763</v>
      </c>
      <c r="BG117" s="87">
        <v>1766</v>
      </c>
      <c r="BH117" s="87">
        <v>1890</v>
      </c>
      <c r="BI117" s="87">
        <v>1794</v>
      </c>
      <c r="BJ117" s="87">
        <v>1904</v>
      </c>
      <c r="BK117" s="87">
        <v>1999</v>
      </c>
      <c r="BL117" s="87">
        <v>2133</v>
      </c>
      <c r="BM117" s="87">
        <v>1941</v>
      </c>
      <c r="BN117" s="87">
        <v>2038</v>
      </c>
      <c r="BO117" s="87">
        <v>1930</v>
      </c>
      <c r="BP117" s="87">
        <v>2028</v>
      </c>
      <c r="BQ117" s="87">
        <v>1963</v>
      </c>
      <c r="BR117" s="87">
        <v>2102</v>
      </c>
      <c r="BS117" s="87">
        <v>1961</v>
      </c>
      <c r="BT117" s="87">
        <v>2040</v>
      </c>
      <c r="BU117" s="87">
        <v>1833</v>
      </c>
      <c r="BV117" s="87">
        <v>1796</v>
      </c>
      <c r="BW117" s="87">
        <v>1726</v>
      </c>
      <c r="BX117" s="87">
        <v>1688</v>
      </c>
      <c r="BY117" s="87">
        <v>1649</v>
      </c>
      <c r="BZ117" s="87">
        <v>1610</v>
      </c>
      <c r="CA117" s="87">
        <v>1620</v>
      </c>
      <c r="CB117" s="87">
        <v>1501</v>
      </c>
      <c r="CC117" s="87">
        <v>1445</v>
      </c>
      <c r="CD117" s="87">
        <v>1421</v>
      </c>
      <c r="CE117" s="87">
        <v>1353</v>
      </c>
      <c r="CF117" s="87">
        <v>1367</v>
      </c>
      <c r="CG117" s="87">
        <v>1326</v>
      </c>
      <c r="CH117" s="87">
        <v>1411</v>
      </c>
      <c r="CI117" s="87">
        <v>1525</v>
      </c>
      <c r="CJ117" s="87">
        <v>1590</v>
      </c>
      <c r="CK117" s="87">
        <v>1124</v>
      </c>
      <c r="CL117" s="87">
        <v>1099</v>
      </c>
      <c r="CM117" s="87">
        <v>1047</v>
      </c>
      <c r="CN117" s="87">
        <v>991</v>
      </c>
      <c r="CO117" s="87">
        <v>842</v>
      </c>
      <c r="CP117" s="87">
        <v>743</v>
      </c>
      <c r="CQ117" s="87">
        <v>739</v>
      </c>
      <c r="CR117" s="87">
        <v>648</v>
      </c>
      <c r="CS117" s="87">
        <v>641</v>
      </c>
      <c r="CT117" s="87">
        <v>580</v>
      </c>
      <c r="CU117" s="87">
        <v>515</v>
      </c>
      <c r="CV117" s="87">
        <v>449</v>
      </c>
      <c r="CW117" s="87">
        <v>367</v>
      </c>
      <c r="CX117" s="87">
        <v>307</v>
      </c>
      <c r="CY117" s="87">
        <v>968</v>
      </c>
      <c r="CZ117" s="88">
        <v>1524</v>
      </c>
      <c r="DA117" s="88">
        <v>1578</v>
      </c>
      <c r="DB117" s="88">
        <v>1643</v>
      </c>
      <c r="DC117" s="88">
        <v>1645</v>
      </c>
      <c r="DD117" s="88">
        <v>1607</v>
      </c>
      <c r="DE117" s="88">
        <v>1771</v>
      </c>
      <c r="DF117" s="88">
        <v>1838</v>
      </c>
      <c r="DG117" s="88">
        <v>1771</v>
      </c>
      <c r="DH117" s="88">
        <v>1845</v>
      </c>
      <c r="DI117" s="88">
        <v>1832</v>
      </c>
      <c r="DJ117" s="88">
        <v>1881</v>
      </c>
      <c r="DK117" s="88">
        <v>1825</v>
      </c>
      <c r="DL117" s="88">
        <v>1744</v>
      </c>
      <c r="DM117" s="88">
        <v>1816</v>
      </c>
      <c r="DN117" s="88">
        <v>1781</v>
      </c>
      <c r="DO117" s="88">
        <v>1614</v>
      </c>
      <c r="DP117" s="88">
        <v>1583</v>
      </c>
      <c r="DQ117" s="88">
        <v>1556</v>
      </c>
      <c r="DR117" s="88">
        <v>1492</v>
      </c>
      <c r="DS117" s="88">
        <v>901</v>
      </c>
      <c r="DT117" s="88">
        <v>869</v>
      </c>
      <c r="DU117" s="88">
        <v>1002</v>
      </c>
      <c r="DV117" s="88">
        <v>1319</v>
      </c>
      <c r="DW117" s="88">
        <v>1572</v>
      </c>
      <c r="DX117" s="88">
        <v>1497</v>
      </c>
      <c r="DY117" s="88">
        <v>1571</v>
      </c>
      <c r="DZ117" s="88">
        <v>1550</v>
      </c>
      <c r="EA117" s="88">
        <v>1727</v>
      </c>
      <c r="EB117" s="88">
        <v>1802</v>
      </c>
      <c r="EC117" s="88">
        <v>1895</v>
      </c>
      <c r="ED117" s="88">
        <v>2133</v>
      </c>
      <c r="EE117" s="88">
        <v>2111</v>
      </c>
      <c r="EF117" s="88">
        <v>2195</v>
      </c>
      <c r="EG117" s="88">
        <v>2120</v>
      </c>
      <c r="EH117" s="88">
        <v>2269</v>
      </c>
      <c r="EI117" s="88">
        <v>2142</v>
      </c>
      <c r="EJ117" s="88">
        <v>2142</v>
      </c>
      <c r="EK117" s="88">
        <v>2285</v>
      </c>
      <c r="EL117" s="88">
        <v>2122</v>
      </c>
      <c r="EM117" s="88">
        <v>2148</v>
      </c>
      <c r="EN117" s="88">
        <v>2098</v>
      </c>
      <c r="EO117" s="88">
        <v>2072</v>
      </c>
      <c r="EP117" s="88">
        <v>2156</v>
      </c>
      <c r="EQ117" s="88">
        <v>2032</v>
      </c>
      <c r="ER117" s="88">
        <v>1954</v>
      </c>
      <c r="ES117" s="88">
        <v>1871</v>
      </c>
      <c r="ET117" s="88">
        <v>1788</v>
      </c>
      <c r="EU117" s="88">
        <v>1872</v>
      </c>
      <c r="EV117" s="88">
        <v>1857</v>
      </c>
      <c r="EW117" s="88">
        <v>1919</v>
      </c>
      <c r="EX117" s="88">
        <v>2075</v>
      </c>
      <c r="EY117" s="88">
        <v>2076</v>
      </c>
      <c r="EZ117" s="88">
        <v>1905</v>
      </c>
      <c r="FA117" s="88">
        <v>2159</v>
      </c>
      <c r="FB117" s="88">
        <v>2070</v>
      </c>
      <c r="FC117" s="88">
        <v>2123</v>
      </c>
      <c r="FD117" s="88">
        <v>2109</v>
      </c>
      <c r="FE117" s="88">
        <v>2131</v>
      </c>
      <c r="FF117" s="88">
        <v>1994</v>
      </c>
      <c r="FG117" s="88">
        <v>1969</v>
      </c>
      <c r="FH117" s="88">
        <v>2099</v>
      </c>
      <c r="FI117" s="88">
        <v>1891</v>
      </c>
      <c r="FJ117" s="88">
        <v>1926</v>
      </c>
      <c r="FK117" s="88">
        <v>1784</v>
      </c>
      <c r="FL117" s="88">
        <v>1770</v>
      </c>
      <c r="FM117" s="88">
        <v>1648</v>
      </c>
      <c r="FN117" s="88">
        <v>1582</v>
      </c>
      <c r="FO117" s="88">
        <v>1606</v>
      </c>
      <c r="FP117" s="88">
        <v>1541</v>
      </c>
      <c r="FQ117" s="88">
        <v>1551</v>
      </c>
      <c r="FR117" s="88">
        <v>1463</v>
      </c>
      <c r="FS117" s="88">
        <v>1459</v>
      </c>
      <c r="FT117" s="88">
        <v>1592</v>
      </c>
      <c r="FU117" s="88">
        <v>1520</v>
      </c>
      <c r="FV117" s="88">
        <v>1581</v>
      </c>
      <c r="FW117" s="88">
        <v>1890</v>
      </c>
      <c r="FX117" s="88">
        <v>1361</v>
      </c>
      <c r="FY117" s="88">
        <v>1390</v>
      </c>
      <c r="FZ117" s="88">
        <v>1253</v>
      </c>
      <c r="GA117" s="88">
        <v>1202</v>
      </c>
      <c r="GB117" s="88">
        <v>1101</v>
      </c>
      <c r="GC117" s="88">
        <v>939</v>
      </c>
      <c r="GD117" s="88">
        <v>1013</v>
      </c>
      <c r="GE117" s="88">
        <v>919</v>
      </c>
      <c r="GF117" s="88">
        <v>939</v>
      </c>
      <c r="GG117" s="88">
        <v>830</v>
      </c>
      <c r="GH117" s="88">
        <v>754</v>
      </c>
      <c r="GI117" s="88">
        <v>623</v>
      </c>
      <c r="GJ117" s="88">
        <v>546</v>
      </c>
      <c r="GK117" s="88">
        <v>502</v>
      </c>
      <c r="GL117" s="89">
        <v>2160</v>
      </c>
    </row>
    <row r="118" spans="1:194" s="1" customFormat="1" x14ac:dyDescent="0.2">
      <c r="A118" s="90" t="s">
        <v>94</v>
      </c>
      <c r="B118" s="146" t="s">
        <v>203</v>
      </c>
      <c r="C118" s="30" t="str">
        <f t="shared" si="14"/>
        <v xml:space="preserve">England – CCGs - Stoke on Trent </v>
      </c>
      <c r="D118" s="51">
        <f t="shared" si="13"/>
        <v>113150</v>
      </c>
      <c r="E118" s="51">
        <f t="shared" si="13"/>
        <v>114508</v>
      </c>
      <c r="F118" s="52">
        <f t="shared" si="17"/>
        <v>268013</v>
      </c>
      <c r="G118" s="52">
        <f t="shared" si="18"/>
        <v>133508</v>
      </c>
      <c r="H118" s="52">
        <f t="shared" si="19"/>
        <v>134505</v>
      </c>
      <c r="I118" s="697">
        <f t="shared" si="15"/>
        <v>113150</v>
      </c>
      <c r="J118" s="53">
        <f t="shared" si="16"/>
        <v>114508</v>
      </c>
      <c r="K118" s="50">
        <f t="shared" si="20"/>
        <v>30667</v>
      </c>
      <c r="L118" s="51">
        <f t="shared" si="21"/>
        <v>29849</v>
      </c>
      <c r="M118" s="87">
        <v>1524</v>
      </c>
      <c r="N118" s="87">
        <v>1572</v>
      </c>
      <c r="O118" s="87">
        <v>1603</v>
      </c>
      <c r="P118" s="87">
        <v>1719</v>
      </c>
      <c r="Q118" s="87">
        <v>1594</v>
      </c>
      <c r="R118" s="87">
        <v>1677</v>
      </c>
      <c r="S118" s="87">
        <v>1772</v>
      </c>
      <c r="T118" s="87">
        <v>1689</v>
      </c>
      <c r="U118" s="87">
        <v>1792</v>
      </c>
      <c r="V118" s="87">
        <v>1820</v>
      </c>
      <c r="W118" s="87">
        <v>1786</v>
      </c>
      <c r="X118" s="87">
        <v>1810</v>
      </c>
      <c r="Y118" s="87">
        <v>1754</v>
      </c>
      <c r="Z118" s="87">
        <v>1706</v>
      </c>
      <c r="AA118" s="87">
        <v>1834</v>
      </c>
      <c r="AB118" s="87">
        <v>1657</v>
      </c>
      <c r="AC118" s="87">
        <v>1585</v>
      </c>
      <c r="AD118" s="87">
        <v>1773</v>
      </c>
      <c r="AE118" s="87">
        <v>1585</v>
      </c>
      <c r="AF118" s="87">
        <v>1769</v>
      </c>
      <c r="AG118" s="87">
        <v>1812</v>
      </c>
      <c r="AH118" s="87">
        <v>1826</v>
      </c>
      <c r="AI118" s="87">
        <v>1749</v>
      </c>
      <c r="AJ118" s="87">
        <v>1667</v>
      </c>
      <c r="AK118" s="87">
        <v>1648</v>
      </c>
      <c r="AL118" s="87">
        <v>1838</v>
      </c>
      <c r="AM118" s="87">
        <v>1581</v>
      </c>
      <c r="AN118" s="87">
        <v>1753</v>
      </c>
      <c r="AO118" s="87">
        <v>1730</v>
      </c>
      <c r="AP118" s="87">
        <v>1780</v>
      </c>
      <c r="AQ118" s="87">
        <v>1956</v>
      </c>
      <c r="AR118" s="87">
        <v>1885</v>
      </c>
      <c r="AS118" s="87">
        <v>1929</v>
      </c>
      <c r="AT118" s="87">
        <v>1936</v>
      </c>
      <c r="AU118" s="87">
        <v>1966</v>
      </c>
      <c r="AV118" s="87">
        <v>1820</v>
      </c>
      <c r="AW118" s="87">
        <v>1898</v>
      </c>
      <c r="AX118" s="87">
        <v>1875</v>
      </c>
      <c r="AY118" s="87">
        <v>1789</v>
      </c>
      <c r="AZ118" s="87">
        <v>1787</v>
      </c>
      <c r="BA118" s="87">
        <v>1709</v>
      </c>
      <c r="BB118" s="87">
        <v>1765</v>
      </c>
      <c r="BC118" s="87">
        <v>1681</v>
      </c>
      <c r="BD118" s="87">
        <v>1697</v>
      </c>
      <c r="BE118" s="87">
        <v>1492</v>
      </c>
      <c r="BF118" s="87">
        <v>1445</v>
      </c>
      <c r="BG118" s="87">
        <v>1551</v>
      </c>
      <c r="BH118" s="87">
        <v>1602</v>
      </c>
      <c r="BI118" s="87">
        <v>1542</v>
      </c>
      <c r="BJ118" s="87">
        <v>1667</v>
      </c>
      <c r="BK118" s="87">
        <v>1715</v>
      </c>
      <c r="BL118" s="87">
        <v>1765</v>
      </c>
      <c r="BM118" s="87">
        <v>1785</v>
      </c>
      <c r="BN118" s="87">
        <v>1838</v>
      </c>
      <c r="BO118" s="87">
        <v>1737</v>
      </c>
      <c r="BP118" s="87">
        <v>1781</v>
      </c>
      <c r="BQ118" s="87">
        <v>1780</v>
      </c>
      <c r="BR118" s="87">
        <v>1658</v>
      </c>
      <c r="BS118" s="87">
        <v>1686</v>
      </c>
      <c r="BT118" s="87">
        <v>1653</v>
      </c>
      <c r="BU118" s="87">
        <v>1696</v>
      </c>
      <c r="BV118" s="87">
        <v>1554</v>
      </c>
      <c r="BW118" s="87">
        <v>1496</v>
      </c>
      <c r="BX118" s="87">
        <v>1471</v>
      </c>
      <c r="BY118" s="87">
        <v>1445</v>
      </c>
      <c r="BZ118" s="87">
        <v>1412</v>
      </c>
      <c r="CA118" s="87">
        <v>1342</v>
      </c>
      <c r="CB118" s="87">
        <v>1273</v>
      </c>
      <c r="CC118" s="87">
        <v>1301</v>
      </c>
      <c r="CD118" s="87">
        <v>1224</v>
      </c>
      <c r="CE118" s="87">
        <v>1164</v>
      </c>
      <c r="CF118" s="87">
        <v>1062</v>
      </c>
      <c r="CG118" s="87">
        <v>1189</v>
      </c>
      <c r="CH118" s="87">
        <v>1147</v>
      </c>
      <c r="CI118" s="87">
        <v>1207</v>
      </c>
      <c r="CJ118" s="87">
        <v>1276</v>
      </c>
      <c r="CK118" s="87">
        <v>955</v>
      </c>
      <c r="CL118" s="87">
        <v>896</v>
      </c>
      <c r="CM118" s="87">
        <v>867</v>
      </c>
      <c r="CN118" s="87">
        <v>814</v>
      </c>
      <c r="CO118" s="87">
        <v>655</v>
      </c>
      <c r="CP118" s="87">
        <v>588</v>
      </c>
      <c r="CQ118" s="87">
        <v>569</v>
      </c>
      <c r="CR118" s="87">
        <v>494</v>
      </c>
      <c r="CS118" s="87">
        <v>503</v>
      </c>
      <c r="CT118" s="87">
        <v>402</v>
      </c>
      <c r="CU118" s="87">
        <v>334</v>
      </c>
      <c r="CV118" s="87">
        <v>300</v>
      </c>
      <c r="CW118" s="87">
        <v>215</v>
      </c>
      <c r="CX118" s="87">
        <v>202</v>
      </c>
      <c r="CY118" s="87">
        <v>660</v>
      </c>
      <c r="CZ118" s="88">
        <v>1555</v>
      </c>
      <c r="DA118" s="88">
        <v>1559</v>
      </c>
      <c r="DB118" s="88">
        <v>1681</v>
      </c>
      <c r="DC118" s="88">
        <v>1612</v>
      </c>
      <c r="DD118" s="88">
        <v>1583</v>
      </c>
      <c r="DE118" s="88">
        <v>1602</v>
      </c>
      <c r="DF118" s="88">
        <v>1617</v>
      </c>
      <c r="DG118" s="88">
        <v>1644</v>
      </c>
      <c r="DH118" s="88">
        <v>1804</v>
      </c>
      <c r="DI118" s="88">
        <v>1727</v>
      </c>
      <c r="DJ118" s="88">
        <v>1778</v>
      </c>
      <c r="DK118" s="88">
        <v>1835</v>
      </c>
      <c r="DL118" s="88">
        <v>1694</v>
      </c>
      <c r="DM118" s="88">
        <v>1728</v>
      </c>
      <c r="DN118" s="88">
        <v>1768</v>
      </c>
      <c r="DO118" s="88">
        <v>1619</v>
      </c>
      <c r="DP118" s="88">
        <v>1523</v>
      </c>
      <c r="DQ118" s="88">
        <v>1520</v>
      </c>
      <c r="DR118" s="88">
        <v>1489</v>
      </c>
      <c r="DS118" s="88">
        <v>1319</v>
      </c>
      <c r="DT118" s="88">
        <v>1516</v>
      </c>
      <c r="DU118" s="88">
        <v>1560</v>
      </c>
      <c r="DV118" s="88">
        <v>1572</v>
      </c>
      <c r="DW118" s="88">
        <v>1590</v>
      </c>
      <c r="DX118" s="88">
        <v>1613</v>
      </c>
      <c r="DY118" s="88">
        <v>1707</v>
      </c>
      <c r="DZ118" s="88">
        <v>1626</v>
      </c>
      <c r="EA118" s="88">
        <v>1757</v>
      </c>
      <c r="EB118" s="88">
        <v>1798</v>
      </c>
      <c r="EC118" s="88">
        <v>1832</v>
      </c>
      <c r="ED118" s="88">
        <v>1867</v>
      </c>
      <c r="EE118" s="88">
        <v>2029</v>
      </c>
      <c r="EF118" s="88">
        <v>2042</v>
      </c>
      <c r="EG118" s="88">
        <v>2001</v>
      </c>
      <c r="EH118" s="88">
        <v>2061</v>
      </c>
      <c r="EI118" s="88">
        <v>1969</v>
      </c>
      <c r="EJ118" s="88">
        <v>1880</v>
      </c>
      <c r="EK118" s="88">
        <v>1912</v>
      </c>
      <c r="EL118" s="88">
        <v>1731</v>
      </c>
      <c r="EM118" s="88">
        <v>1785</v>
      </c>
      <c r="EN118" s="88">
        <v>1778</v>
      </c>
      <c r="EO118" s="88">
        <v>1787</v>
      </c>
      <c r="EP118" s="88">
        <v>1710</v>
      </c>
      <c r="EQ118" s="88">
        <v>1644</v>
      </c>
      <c r="ER118" s="88">
        <v>1446</v>
      </c>
      <c r="ES118" s="88">
        <v>1345</v>
      </c>
      <c r="ET118" s="88">
        <v>1422</v>
      </c>
      <c r="EU118" s="88">
        <v>1445</v>
      </c>
      <c r="EV118" s="88">
        <v>1537</v>
      </c>
      <c r="EW118" s="88">
        <v>1656</v>
      </c>
      <c r="EX118" s="88">
        <v>1708</v>
      </c>
      <c r="EY118" s="88">
        <v>1838</v>
      </c>
      <c r="EZ118" s="88">
        <v>1737</v>
      </c>
      <c r="FA118" s="88">
        <v>1734</v>
      </c>
      <c r="FB118" s="88">
        <v>1694</v>
      </c>
      <c r="FC118" s="88">
        <v>1682</v>
      </c>
      <c r="FD118" s="88">
        <v>1723</v>
      </c>
      <c r="FE118" s="88">
        <v>1775</v>
      </c>
      <c r="FF118" s="88">
        <v>1660</v>
      </c>
      <c r="FG118" s="88">
        <v>1615</v>
      </c>
      <c r="FH118" s="88">
        <v>1600</v>
      </c>
      <c r="FI118" s="88">
        <v>1631</v>
      </c>
      <c r="FJ118" s="88">
        <v>1478</v>
      </c>
      <c r="FK118" s="88">
        <v>1453</v>
      </c>
      <c r="FL118" s="88">
        <v>1425</v>
      </c>
      <c r="FM118" s="88">
        <v>1445</v>
      </c>
      <c r="FN118" s="88">
        <v>1336</v>
      </c>
      <c r="FO118" s="88">
        <v>1323</v>
      </c>
      <c r="FP118" s="88">
        <v>1298</v>
      </c>
      <c r="FQ118" s="88">
        <v>1202</v>
      </c>
      <c r="FR118" s="88">
        <v>1217</v>
      </c>
      <c r="FS118" s="88">
        <v>1200</v>
      </c>
      <c r="FT118" s="88">
        <v>1180</v>
      </c>
      <c r="FU118" s="88">
        <v>1306</v>
      </c>
      <c r="FV118" s="88">
        <v>1275</v>
      </c>
      <c r="FW118" s="88">
        <v>1410</v>
      </c>
      <c r="FX118" s="88">
        <v>989</v>
      </c>
      <c r="FY118" s="88">
        <v>1008</v>
      </c>
      <c r="FZ118" s="88">
        <v>921</v>
      </c>
      <c r="GA118" s="88">
        <v>980</v>
      </c>
      <c r="GB118" s="88">
        <v>804</v>
      </c>
      <c r="GC118" s="88">
        <v>733</v>
      </c>
      <c r="GD118" s="88">
        <v>716</v>
      </c>
      <c r="GE118" s="88">
        <v>619</v>
      </c>
      <c r="GF118" s="88">
        <v>691</v>
      </c>
      <c r="GG118" s="88">
        <v>640</v>
      </c>
      <c r="GH118" s="88">
        <v>538</v>
      </c>
      <c r="GI118" s="88">
        <v>475</v>
      </c>
      <c r="GJ118" s="88">
        <v>394</v>
      </c>
      <c r="GK118" s="88">
        <v>363</v>
      </c>
      <c r="GL118" s="89">
        <v>1414</v>
      </c>
    </row>
    <row r="119" spans="1:194" s="1" customFormat="1" x14ac:dyDescent="0.2">
      <c r="A119" s="90" t="s">
        <v>94</v>
      </c>
      <c r="B119" s="146" t="s">
        <v>204</v>
      </c>
      <c r="C119" s="30" t="str">
        <f t="shared" si="14"/>
        <v xml:space="preserve">England – CCGs - Sunderland </v>
      </c>
      <c r="D119" s="51">
        <f t="shared" si="13"/>
        <v>116534</v>
      </c>
      <c r="E119" s="51">
        <f t="shared" si="13"/>
        <v>124914</v>
      </c>
      <c r="F119" s="52">
        <f t="shared" si="17"/>
        <v>277354</v>
      </c>
      <c r="G119" s="52">
        <f t="shared" si="18"/>
        <v>135038</v>
      </c>
      <c r="H119" s="52">
        <f t="shared" si="19"/>
        <v>142316</v>
      </c>
      <c r="I119" s="697">
        <f t="shared" si="15"/>
        <v>116534</v>
      </c>
      <c r="J119" s="53">
        <f t="shared" si="16"/>
        <v>124914</v>
      </c>
      <c r="K119" s="50">
        <f t="shared" si="20"/>
        <v>28182</v>
      </c>
      <c r="L119" s="51">
        <f t="shared" si="21"/>
        <v>26899</v>
      </c>
      <c r="M119" s="87">
        <v>1412</v>
      </c>
      <c r="N119" s="87">
        <v>1407</v>
      </c>
      <c r="O119" s="87">
        <v>1371</v>
      </c>
      <c r="P119" s="87">
        <v>1474</v>
      </c>
      <c r="Q119" s="87">
        <v>1549</v>
      </c>
      <c r="R119" s="87">
        <v>1549</v>
      </c>
      <c r="S119" s="87">
        <v>1594</v>
      </c>
      <c r="T119" s="87">
        <v>1545</v>
      </c>
      <c r="U119" s="87">
        <v>1596</v>
      </c>
      <c r="V119" s="87">
        <v>1603</v>
      </c>
      <c r="W119" s="87">
        <v>1733</v>
      </c>
      <c r="X119" s="87">
        <v>1671</v>
      </c>
      <c r="Y119" s="87">
        <v>1624</v>
      </c>
      <c r="Z119" s="87">
        <v>1613</v>
      </c>
      <c r="AA119" s="87">
        <v>1743</v>
      </c>
      <c r="AB119" s="87">
        <v>1582</v>
      </c>
      <c r="AC119" s="87">
        <v>1557</v>
      </c>
      <c r="AD119" s="87">
        <v>1559</v>
      </c>
      <c r="AE119" s="87">
        <v>1555</v>
      </c>
      <c r="AF119" s="87">
        <v>1480</v>
      </c>
      <c r="AG119" s="87">
        <v>1407</v>
      </c>
      <c r="AH119" s="87">
        <v>1412</v>
      </c>
      <c r="AI119" s="87">
        <v>1468</v>
      </c>
      <c r="AJ119" s="87">
        <v>1560</v>
      </c>
      <c r="AK119" s="87">
        <v>1543</v>
      </c>
      <c r="AL119" s="87">
        <v>1589</v>
      </c>
      <c r="AM119" s="87">
        <v>1585</v>
      </c>
      <c r="AN119" s="87">
        <v>1643</v>
      </c>
      <c r="AO119" s="87">
        <v>1674</v>
      </c>
      <c r="AP119" s="87">
        <v>1733</v>
      </c>
      <c r="AQ119" s="87">
        <v>1863</v>
      </c>
      <c r="AR119" s="87">
        <v>1923</v>
      </c>
      <c r="AS119" s="87">
        <v>1786</v>
      </c>
      <c r="AT119" s="87">
        <v>1825</v>
      </c>
      <c r="AU119" s="87">
        <v>1810</v>
      </c>
      <c r="AV119" s="87">
        <v>1747</v>
      </c>
      <c r="AW119" s="87">
        <v>1845</v>
      </c>
      <c r="AX119" s="87">
        <v>1816</v>
      </c>
      <c r="AY119" s="87">
        <v>1654</v>
      </c>
      <c r="AZ119" s="87">
        <v>1678</v>
      </c>
      <c r="BA119" s="87">
        <v>1668</v>
      </c>
      <c r="BB119" s="87">
        <v>1648</v>
      </c>
      <c r="BC119" s="87">
        <v>1659</v>
      </c>
      <c r="BD119" s="87">
        <v>1614</v>
      </c>
      <c r="BE119" s="87">
        <v>1509</v>
      </c>
      <c r="BF119" s="87">
        <v>1322</v>
      </c>
      <c r="BG119" s="87">
        <v>1417</v>
      </c>
      <c r="BH119" s="87">
        <v>1557</v>
      </c>
      <c r="BI119" s="87">
        <v>1519</v>
      </c>
      <c r="BJ119" s="87">
        <v>1702</v>
      </c>
      <c r="BK119" s="87">
        <v>1802</v>
      </c>
      <c r="BL119" s="87">
        <v>1997</v>
      </c>
      <c r="BM119" s="87">
        <v>1861</v>
      </c>
      <c r="BN119" s="87">
        <v>1907</v>
      </c>
      <c r="BO119" s="87">
        <v>1887</v>
      </c>
      <c r="BP119" s="87">
        <v>1868</v>
      </c>
      <c r="BQ119" s="87">
        <v>1880</v>
      </c>
      <c r="BR119" s="87">
        <v>1957</v>
      </c>
      <c r="BS119" s="87">
        <v>1962</v>
      </c>
      <c r="BT119" s="87">
        <v>1946</v>
      </c>
      <c r="BU119" s="87">
        <v>1885</v>
      </c>
      <c r="BV119" s="87">
        <v>1901</v>
      </c>
      <c r="BW119" s="87">
        <v>1791</v>
      </c>
      <c r="BX119" s="87">
        <v>1870</v>
      </c>
      <c r="BY119" s="87">
        <v>1886</v>
      </c>
      <c r="BZ119" s="87">
        <v>1822</v>
      </c>
      <c r="CA119" s="87">
        <v>1643</v>
      </c>
      <c r="CB119" s="87">
        <v>1522</v>
      </c>
      <c r="CC119" s="87">
        <v>1560</v>
      </c>
      <c r="CD119" s="87">
        <v>1444</v>
      </c>
      <c r="CE119" s="87">
        <v>1432</v>
      </c>
      <c r="CF119" s="87">
        <v>1427</v>
      </c>
      <c r="CG119" s="87">
        <v>1401</v>
      </c>
      <c r="CH119" s="87">
        <v>1385</v>
      </c>
      <c r="CI119" s="87">
        <v>1436</v>
      </c>
      <c r="CJ119" s="87">
        <v>1517</v>
      </c>
      <c r="CK119" s="87">
        <v>1095</v>
      </c>
      <c r="CL119" s="87">
        <v>978</v>
      </c>
      <c r="CM119" s="87">
        <v>939</v>
      </c>
      <c r="CN119" s="87">
        <v>872</v>
      </c>
      <c r="CO119" s="87">
        <v>720</v>
      </c>
      <c r="CP119" s="87">
        <v>637</v>
      </c>
      <c r="CQ119" s="87">
        <v>621</v>
      </c>
      <c r="CR119" s="87">
        <v>620</v>
      </c>
      <c r="CS119" s="87">
        <v>587</v>
      </c>
      <c r="CT119" s="87">
        <v>519</v>
      </c>
      <c r="CU119" s="87">
        <v>398</v>
      </c>
      <c r="CV119" s="87">
        <v>345</v>
      </c>
      <c r="CW119" s="87">
        <v>342</v>
      </c>
      <c r="CX119" s="87">
        <v>230</v>
      </c>
      <c r="CY119" s="87">
        <v>753</v>
      </c>
      <c r="CZ119" s="88">
        <v>1340</v>
      </c>
      <c r="DA119" s="88">
        <v>1348</v>
      </c>
      <c r="DB119" s="88">
        <v>1353</v>
      </c>
      <c r="DC119" s="88">
        <v>1349</v>
      </c>
      <c r="DD119" s="88">
        <v>1363</v>
      </c>
      <c r="DE119" s="88">
        <v>1518</v>
      </c>
      <c r="DF119" s="88">
        <v>1492</v>
      </c>
      <c r="DG119" s="88">
        <v>1452</v>
      </c>
      <c r="DH119" s="88">
        <v>1442</v>
      </c>
      <c r="DI119" s="88">
        <v>1479</v>
      </c>
      <c r="DJ119" s="88">
        <v>1682</v>
      </c>
      <c r="DK119" s="88">
        <v>1584</v>
      </c>
      <c r="DL119" s="88">
        <v>1605</v>
      </c>
      <c r="DM119" s="88">
        <v>1575</v>
      </c>
      <c r="DN119" s="88">
        <v>1665</v>
      </c>
      <c r="DO119" s="88">
        <v>1619</v>
      </c>
      <c r="DP119" s="88">
        <v>1528</v>
      </c>
      <c r="DQ119" s="88">
        <v>1505</v>
      </c>
      <c r="DR119" s="88">
        <v>1470</v>
      </c>
      <c r="DS119" s="88">
        <v>1364</v>
      </c>
      <c r="DT119" s="88">
        <v>1335</v>
      </c>
      <c r="DU119" s="88">
        <v>1378</v>
      </c>
      <c r="DV119" s="88">
        <v>1441</v>
      </c>
      <c r="DW119" s="88">
        <v>1479</v>
      </c>
      <c r="DX119" s="88">
        <v>1555</v>
      </c>
      <c r="DY119" s="88">
        <v>1622</v>
      </c>
      <c r="DZ119" s="88">
        <v>1558</v>
      </c>
      <c r="EA119" s="88">
        <v>1754</v>
      </c>
      <c r="EB119" s="88">
        <v>1788</v>
      </c>
      <c r="EC119" s="88">
        <v>1824</v>
      </c>
      <c r="ED119" s="88">
        <v>2014</v>
      </c>
      <c r="EE119" s="88">
        <v>1972</v>
      </c>
      <c r="EF119" s="88">
        <v>1865</v>
      </c>
      <c r="EG119" s="88">
        <v>1869</v>
      </c>
      <c r="EH119" s="88">
        <v>1950</v>
      </c>
      <c r="EI119" s="88">
        <v>1942</v>
      </c>
      <c r="EJ119" s="88">
        <v>1897</v>
      </c>
      <c r="EK119" s="88">
        <v>1887</v>
      </c>
      <c r="EL119" s="88">
        <v>1736</v>
      </c>
      <c r="EM119" s="88">
        <v>1815</v>
      </c>
      <c r="EN119" s="88">
        <v>1716</v>
      </c>
      <c r="EO119" s="88">
        <v>1775</v>
      </c>
      <c r="EP119" s="88">
        <v>1774</v>
      </c>
      <c r="EQ119" s="88">
        <v>1722</v>
      </c>
      <c r="ER119" s="88">
        <v>1583</v>
      </c>
      <c r="ES119" s="88">
        <v>1529</v>
      </c>
      <c r="ET119" s="88">
        <v>1657</v>
      </c>
      <c r="EU119" s="88">
        <v>1560</v>
      </c>
      <c r="EV119" s="88">
        <v>1612</v>
      </c>
      <c r="EW119" s="88">
        <v>1787</v>
      </c>
      <c r="EX119" s="88">
        <v>1949</v>
      </c>
      <c r="EY119" s="88">
        <v>2058</v>
      </c>
      <c r="EZ119" s="88">
        <v>1932</v>
      </c>
      <c r="FA119" s="88">
        <v>1904</v>
      </c>
      <c r="FB119" s="88">
        <v>2023</v>
      </c>
      <c r="FC119" s="88">
        <v>2054</v>
      </c>
      <c r="FD119" s="88">
        <v>1977</v>
      </c>
      <c r="FE119" s="88">
        <v>2051</v>
      </c>
      <c r="FF119" s="88">
        <v>2092</v>
      </c>
      <c r="FG119" s="88">
        <v>2026</v>
      </c>
      <c r="FH119" s="88">
        <v>2071</v>
      </c>
      <c r="FI119" s="88">
        <v>1981</v>
      </c>
      <c r="FJ119" s="88">
        <v>1907</v>
      </c>
      <c r="FK119" s="88">
        <v>1896</v>
      </c>
      <c r="FL119" s="88">
        <v>1895</v>
      </c>
      <c r="FM119" s="88">
        <v>1857</v>
      </c>
      <c r="FN119" s="88">
        <v>1734</v>
      </c>
      <c r="FO119" s="88">
        <v>1683</v>
      </c>
      <c r="FP119" s="88">
        <v>1661</v>
      </c>
      <c r="FQ119" s="88">
        <v>1594</v>
      </c>
      <c r="FR119" s="88">
        <v>1619</v>
      </c>
      <c r="FS119" s="88">
        <v>1554</v>
      </c>
      <c r="FT119" s="88">
        <v>1526</v>
      </c>
      <c r="FU119" s="88">
        <v>1560</v>
      </c>
      <c r="FV119" s="88">
        <v>1569</v>
      </c>
      <c r="FW119" s="88">
        <v>1749</v>
      </c>
      <c r="FX119" s="88">
        <v>1239</v>
      </c>
      <c r="FY119" s="88">
        <v>1188</v>
      </c>
      <c r="FZ119" s="88">
        <v>1088</v>
      </c>
      <c r="GA119" s="88">
        <v>982</v>
      </c>
      <c r="GB119" s="88">
        <v>926</v>
      </c>
      <c r="GC119" s="88">
        <v>871</v>
      </c>
      <c r="GD119" s="88">
        <v>878</v>
      </c>
      <c r="GE119" s="88">
        <v>849</v>
      </c>
      <c r="GF119" s="88">
        <v>827</v>
      </c>
      <c r="GG119" s="88">
        <v>684</v>
      </c>
      <c r="GH119" s="88">
        <v>640</v>
      </c>
      <c r="GI119" s="88">
        <v>573</v>
      </c>
      <c r="GJ119" s="88">
        <v>499</v>
      </c>
      <c r="GK119" s="88">
        <v>418</v>
      </c>
      <c r="GL119" s="89">
        <v>1603</v>
      </c>
    </row>
    <row r="120" spans="1:194" s="1" customFormat="1" x14ac:dyDescent="0.2">
      <c r="A120" s="90" t="s">
        <v>94</v>
      </c>
      <c r="B120" s="146" t="s">
        <v>205</v>
      </c>
      <c r="C120" s="30" t="str">
        <f t="shared" si="14"/>
        <v xml:space="preserve">England – CCGs - Surrey Heartlands </v>
      </c>
      <c r="D120" s="51">
        <f t="shared" si="13"/>
        <v>442585</v>
      </c>
      <c r="E120" s="51">
        <f t="shared" si="13"/>
        <v>471682</v>
      </c>
      <c r="F120" s="52">
        <f t="shared" si="17"/>
        <v>1065363</v>
      </c>
      <c r="G120" s="52">
        <f t="shared" si="18"/>
        <v>519878</v>
      </c>
      <c r="H120" s="52">
        <f t="shared" si="19"/>
        <v>545485</v>
      </c>
      <c r="I120" s="697">
        <f t="shared" si="15"/>
        <v>442585</v>
      </c>
      <c r="J120" s="53">
        <f t="shared" si="16"/>
        <v>471682</v>
      </c>
      <c r="K120" s="50">
        <f t="shared" si="20"/>
        <v>118363</v>
      </c>
      <c r="L120" s="51">
        <f t="shared" si="21"/>
        <v>113531</v>
      </c>
      <c r="M120" s="87">
        <v>5596</v>
      </c>
      <c r="N120" s="87">
        <v>5796</v>
      </c>
      <c r="O120" s="87">
        <v>5974</v>
      </c>
      <c r="P120" s="87">
        <v>6199</v>
      </c>
      <c r="Q120" s="87">
        <v>6290</v>
      </c>
      <c r="R120" s="87">
        <v>6425</v>
      </c>
      <c r="S120" s="87">
        <v>6644</v>
      </c>
      <c r="T120" s="87">
        <v>6475</v>
      </c>
      <c r="U120" s="87">
        <v>6722</v>
      </c>
      <c r="V120" s="87">
        <v>6853</v>
      </c>
      <c r="W120" s="87">
        <v>7117</v>
      </c>
      <c r="X120" s="87">
        <v>7202</v>
      </c>
      <c r="Y120" s="87">
        <v>6983</v>
      </c>
      <c r="Z120" s="87">
        <v>6942</v>
      </c>
      <c r="AA120" s="87">
        <v>7274</v>
      </c>
      <c r="AB120" s="87">
        <v>6825</v>
      </c>
      <c r="AC120" s="87">
        <v>6504</v>
      </c>
      <c r="AD120" s="87">
        <v>6542</v>
      </c>
      <c r="AE120" s="87">
        <v>6410</v>
      </c>
      <c r="AF120" s="87">
        <v>5073</v>
      </c>
      <c r="AG120" s="87">
        <v>4973</v>
      </c>
      <c r="AH120" s="87">
        <v>5326</v>
      </c>
      <c r="AI120" s="87">
        <v>5467</v>
      </c>
      <c r="AJ120" s="87">
        <v>5875</v>
      </c>
      <c r="AK120" s="87">
        <v>5907</v>
      </c>
      <c r="AL120" s="87">
        <v>5583</v>
      </c>
      <c r="AM120" s="87">
        <v>5370</v>
      </c>
      <c r="AN120" s="87">
        <v>5363</v>
      </c>
      <c r="AO120" s="87">
        <v>5316</v>
      </c>
      <c r="AP120" s="87">
        <v>5550</v>
      </c>
      <c r="AQ120" s="87">
        <v>5558</v>
      </c>
      <c r="AR120" s="87">
        <v>5984</v>
      </c>
      <c r="AS120" s="87">
        <v>6238</v>
      </c>
      <c r="AT120" s="87">
        <v>6358</v>
      </c>
      <c r="AU120" s="87">
        <v>6596</v>
      </c>
      <c r="AV120" s="87">
        <v>6586</v>
      </c>
      <c r="AW120" s="87">
        <v>6450</v>
      </c>
      <c r="AX120" s="87">
        <v>6884</v>
      </c>
      <c r="AY120" s="87">
        <v>6634</v>
      </c>
      <c r="AZ120" s="87">
        <v>6963</v>
      </c>
      <c r="BA120" s="87">
        <v>7311</v>
      </c>
      <c r="BB120" s="87">
        <v>7166</v>
      </c>
      <c r="BC120" s="87">
        <v>7444</v>
      </c>
      <c r="BD120" s="87">
        <v>7488</v>
      </c>
      <c r="BE120" s="87">
        <v>7283</v>
      </c>
      <c r="BF120" s="87">
        <v>7092</v>
      </c>
      <c r="BG120" s="87">
        <v>7224</v>
      </c>
      <c r="BH120" s="87">
        <v>7507</v>
      </c>
      <c r="BI120" s="87">
        <v>7455</v>
      </c>
      <c r="BJ120" s="87">
        <v>7583</v>
      </c>
      <c r="BK120" s="87">
        <v>7724</v>
      </c>
      <c r="BL120" s="87">
        <v>7668</v>
      </c>
      <c r="BM120" s="87">
        <v>7406</v>
      </c>
      <c r="BN120" s="87">
        <v>7405</v>
      </c>
      <c r="BO120" s="87">
        <v>7389</v>
      </c>
      <c r="BP120" s="87">
        <v>7556</v>
      </c>
      <c r="BQ120" s="87">
        <v>7434</v>
      </c>
      <c r="BR120" s="87">
        <v>7389</v>
      </c>
      <c r="BS120" s="87">
        <v>7390</v>
      </c>
      <c r="BT120" s="87">
        <v>7158</v>
      </c>
      <c r="BU120" s="87">
        <v>6823</v>
      </c>
      <c r="BV120" s="87">
        <v>6545</v>
      </c>
      <c r="BW120" s="87">
        <v>6110</v>
      </c>
      <c r="BX120" s="87">
        <v>5864</v>
      </c>
      <c r="BY120" s="87">
        <v>5697</v>
      </c>
      <c r="BZ120" s="87">
        <v>5343</v>
      </c>
      <c r="CA120" s="87">
        <v>5182</v>
      </c>
      <c r="CB120" s="87">
        <v>4779</v>
      </c>
      <c r="CC120" s="87">
        <v>4652</v>
      </c>
      <c r="CD120" s="87">
        <v>4676</v>
      </c>
      <c r="CE120" s="87">
        <v>4514</v>
      </c>
      <c r="CF120" s="87">
        <v>4412</v>
      </c>
      <c r="CG120" s="87">
        <v>4386</v>
      </c>
      <c r="CH120" s="87">
        <v>4558</v>
      </c>
      <c r="CI120" s="87">
        <v>4862</v>
      </c>
      <c r="CJ120" s="87">
        <v>5298</v>
      </c>
      <c r="CK120" s="87">
        <v>4104</v>
      </c>
      <c r="CL120" s="87">
        <v>3739</v>
      </c>
      <c r="CM120" s="87">
        <v>3657</v>
      </c>
      <c r="CN120" s="87">
        <v>3420</v>
      </c>
      <c r="CO120" s="87">
        <v>2832</v>
      </c>
      <c r="CP120" s="87">
        <v>2368</v>
      </c>
      <c r="CQ120" s="87">
        <v>2470</v>
      </c>
      <c r="CR120" s="87">
        <v>2310</v>
      </c>
      <c r="CS120" s="87">
        <v>2113</v>
      </c>
      <c r="CT120" s="87">
        <v>2080</v>
      </c>
      <c r="CU120" s="87">
        <v>1859</v>
      </c>
      <c r="CV120" s="87">
        <v>1556</v>
      </c>
      <c r="CW120" s="87">
        <v>1347</v>
      </c>
      <c r="CX120" s="87">
        <v>1144</v>
      </c>
      <c r="CY120" s="87">
        <v>4279</v>
      </c>
      <c r="CZ120" s="88">
        <v>5331</v>
      </c>
      <c r="DA120" s="88">
        <v>5494</v>
      </c>
      <c r="DB120" s="88">
        <v>5716</v>
      </c>
      <c r="DC120" s="88">
        <v>5874</v>
      </c>
      <c r="DD120" s="88">
        <v>5866</v>
      </c>
      <c r="DE120" s="88">
        <v>6089</v>
      </c>
      <c r="DF120" s="88">
        <v>6389</v>
      </c>
      <c r="DG120" s="88">
        <v>6503</v>
      </c>
      <c r="DH120" s="88">
        <v>6402</v>
      </c>
      <c r="DI120" s="88">
        <v>6557</v>
      </c>
      <c r="DJ120" s="88">
        <v>6741</v>
      </c>
      <c r="DK120" s="88">
        <v>6841</v>
      </c>
      <c r="DL120" s="88">
        <v>6812</v>
      </c>
      <c r="DM120" s="88">
        <v>6703</v>
      </c>
      <c r="DN120" s="88">
        <v>6741</v>
      </c>
      <c r="DO120" s="88">
        <v>6652</v>
      </c>
      <c r="DP120" s="88">
        <v>6364</v>
      </c>
      <c r="DQ120" s="88">
        <v>6456</v>
      </c>
      <c r="DR120" s="88">
        <v>6190</v>
      </c>
      <c r="DS120" s="88">
        <v>4615</v>
      </c>
      <c r="DT120" s="88">
        <v>4691</v>
      </c>
      <c r="DU120" s="88">
        <v>4837</v>
      </c>
      <c r="DV120" s="88">
        <v>5142</v>
      </c>
      <c r="DW120" s="88">
        <v>5679</v>
      </c>
      <c r="DX120" s="88">
        <v>5424</v>
      </c>
      <c r="DY120" s="88">
        <v>5171</v>
      </c>
      <c r="DZ120" s="88">
        <v>5208</v>
      </c>
      <c r="EA120" s="88">
        <v>5435</v>
      </c>
      <c r="EB120" s="88">
        <v>5624</v>
      </c>
      <c r="EC120" s="88">
        <v>5822</v>
      </c>
      <c r="ED120" s="88">
        <v>6153</v>
      </c>
      <c r="EE120" s="88">
        <v>6481</v>
      </c>
      <c r="EF120" s="88">
        <v>6821</v>
      </c>
      <c r="EG120" s="88">
        <v>6966</v>
      </c>
      <c r="EH120" s="88">
        <v>7196</v>
      </c>
      <c r="EI120" s="88">
        <v>7133</v>
      </c>
      <c r="EJ120" s="88">
        <v>7359</v>
      </c>
      <c r="EK120" s="88">
        <v>7557</v>
      </c>
      <c r="EL120" s="88">
        <v>7424</v>
      </c>
      <c r="EM120" s="88">
        <v>7638</v>
      </c>
      <c r="EN120" s="88">
        <v>7803</v>
      </c>
      <c r="EO120" s="88">
        <v>8077</v>
      </c>
      <c r="EP120" s="88">
        <v>8317</v>
      </c>
      <c r="EQ120" s="88">
        <v>7887</v>
      </c>
      <c r="ER120" s="88">
        <v>7597</v>
      </c>
      <c r="ES120" s="88">
        <v>7495</v>
      </c>
      <c r="ET120" s="88">
        <v>7519</v>
      </c>
      <c r="EU120" s="88">
        <v>7795</v>
      </c>
      <c r="EV120" s="88">
        <v>7519</v>
      </c>
      <c r="EW120" s="88">
        <v>7792</v>
      </c>
      <c r="EX120" s="88">
        <v>7815</v>
      </c>
      <c r="EY120" s="88">
        <v>8110</v>
      </c>
      <c r="EZ120" s="88">
        <v>7511</v>
      </c>
      <c r="FA120" s="88">
        <v>7630</v>
      </c>
      <c r="FB120" s="88">
        <v>7748</v>
      </c>
      <c r="FC120" s="88">
        <v>7627</v>
      </c>
      <c r="FD120" s="88">
        <v>7768</v>
      </c>
      <c r="FE120" s="88">
        <v>7644</v>
      </c>
      <c r="FF120" s="88">
        <v>7557</v>
      </c>
      <c r="FG120" s="88">
        <v>7234</v>
      </c>
      <c r="FH120" s="88">
        <v>6911</v>
      </c>
      <c r="FI120" s="88">
        <v>6616</v>
      </c>
      <c r="FJ120" s="88">
        <v>6271</v>
      </c>
      <c r="FK120" s="88">
        <v>6175</v>
      </c>
      <c r="FL120" s="88">
        <v>5686</v>
      </c>
      <c r="FM120" s="88">
        <v>5575</v>
      </c>
      <c r="FN120" s="88">
        <v>5219</v>
      </c>
      <c r="FO120" s="88">
        <v>5160</v>
      </c>
      <c r="FP120" s="88">
        <v>5003</v>
      </c>
      <c r="FQ120" s="88">
        <v>5055</v>
      </c>
      <c r="FR120" s="88">
        <v>4825</v>
      </c>
      <c r="FS120" s="88">
        <v>4913</v>
      </c>
      <c r="FT120" s="88">
        <v>5082</v>
      </c>
      <c r="FU120" s="88">
        <v>5171</v>
      </c>
      <c r="FV120" s="88">
        <v>5485</v>
      </c>
      <c r="FW120" s="88">
        <v>5877</v>
      </c>
      <c r="FX120" s="88">
        <v>4697</v>
      </c>
      <c r="FY120" s="88">
        <v>4349</v>
      </c>
      <c r="FZ120" s="88">
        <v>4428</v>
      </c>
      <c r="GA120" s="88">
        <v>4056</v>
      </c>
      <c r="GB120" s="88">
        <v>3632</v>
      </c>
      <c r="GC120" s="88">
        <v>3121</v>
      </c>
      <c r="GD120" s="88">
        <v>3217</v>
      </c>
      <c r="GE120" s="88">
        <v>3258</v>
      </c>
      <c r="GF120" s="88">
        <v>2939</v>
      </c>
      <c r="GG120" s="88">
        <v>2781</v>
      </c>
      <c r="GH120" s="88">
        <v>2512</v>
      </c>
      <c r="GI120" s="88">
        <v>2324</v>
      </c>
      <c r="GJ120" s="88">
        <v>2107</v>
      </c>
      <c r="GK120" s="88">
        <v>1948</v>
      </c>
      <c r="GL120" s="89">
        <v>8550</v>
      </c>
    </row>
    <row r="121" spans="1:194" s="1" customFormat="1" x14ac:dyDescent="0.2">
      <c r="A121" s="90" t="s">
        <v>94</v>
      </c>
      <c r="B121" s="146" t="s">
        <v>206</v>
      </c>
      <c r="C121" s="30" t="str">
        <f t="shared" si="14"/>
        <v xml:space="preserve">England – CCGs - Tameside and Glossop </v>
      </c>
      <c r="D121" s="51">
        <f t="shared" si="13"/>
        <v>110880</v>
      </c>
      <c r="E121" s="51">
        <f t="shared" si="13"/>
        <v>116931</v>
      </c>
      <c r="F121" s="52">
        <f t="shared" si="17"/>
        <v>266216</v>
      </c>
      <c r="G121" s="52">
        <f t="shared" si="18"/>
        <v>130586</v>
      </c>
      <c r="H121" s="52">
        <f t="shared" si="19"/>
        <v>135630</v>
      </c>
      <c r="I121" s="697">
        <f t="shared" si="15"/>
        <v>110880</v>
      </c>
      <c r="J121" s="53">
        <f t="shared" si="16"/>
        <v>116931</v>
      </c>
      <c r="K121" s="50">
        <f t="shared" si="20"/>
        <v>29885</v>
      </c>
      <c r="L121" s="51">
        <f t="shared" si="21"/>
        <v>28325</v>
      </c>
      <c r="M121" s="87">
        <v>1454</v>
      </c>
      <c r="N121" s="87">
        <v>1501</v>
      </c>
      <c r="O121" s="87">
        <v>1557</v>
      </c>
      <c r="P121" s="87">
        <v>1610</v>
      </c>
      <c r="Q121" s="87">
        <v>1627</v>
      </c>
      <c r="R121" s="87">
        <v>1635</v>
      </c>
      <c r="S121" s="87">
        <v>1615</v>
      </c>
      <c r="T121" s="87">
        <v>1718</v>
      </c>
      <c r="U121" s="87">
        <v>1637</v>
      </c>
      <c r="V121" s="87">
        <v>1783</v>
      </c>
      <c r="W121" s="87">
        <v>1778</v>
      </c>
      <c r="X121" s="87">
        <v>1791</v>
      </c>
      <c r="Y121" s="87">
        <v>1818</v>
      </c>
      <c r="Z121" s="87">
        <v>1680</v>
      </c>
      <c r="AA121" s="87">
        <v>1790</v>
      </c>
      <c r="AB121" s="87">
        <v>1670</v>
      </c>
      <c r="AC121" s="87">
        <v>1636</v>
      </c>
      <c r="AD121" s="87">
        <v>1585</v>
      </c>
      <c r="AE121" s="87">
        <v>1507</v>
      </c>
      <c r="AF121" s="87">
        <v>1245</v>
      </c>
      <c r="AG121" s="87">
        <v>1267</v>
      </c>
      <c r="AH121" s="87">
        <v>1169</v>
      </c>
      <c r="AI121" s="87">
        <v>1242</v>
      </c>
      <c r="AJ121" s="87">
        <v>1517</v>
      </c>
      <c r="AK121" s="87">
        <v>1464</v>
      </c>
      <c r="AL121" s="87">
        <v>1565</v>
      </c>
      <c r="AM121" s="87">
        <v>1598</v>
      </c>
      <c r="AN121" s="87">
        <v>1561</v>
      </c>
      <c r="AO121" s="87">
        <v>1564</v>
      </c>
      <c r="AP121" s="87">
        <v>1584</v>
      </c>
      <c r="AQ121" s="87">
        <v>1894</v>
      </c>
      <c r="AR121" s="87">
        <v>1808</v>
      </c>
      <c r="AS121" s="87">
        <v>1787</v>
      </c>
      <c r="AT121" s="87">
        <v>1802</v>
      </c>
      <c r="AU121" s="87">
        <v>1827</v>
      </c>
      <c r="AV121" s="87">
        <v>1740</v>
      </c>
      <c r="AW121" s="87">
        <v>1888</v>
      </c>
      <c r="AX121" s="87">
        <v>1782</v>
      </c>
      <c r="AY121" s="87">
        <v>1754</v>
      </c>
      <c r="AZ121" s="87">
        <v>1768</v>
      </c>
      <c r="BA121" s="87">
        <v>1643</v>
      </c>
      <c r="BB121" s="87">
        <v>1666</v>
      </c>
      <c r="BC121" s="87">
        <v>1655</v>
      </c>
      <c r="BD121" s="87">
        <v>1642</v>
      </c>
      <c r="BE121" s="87">
        <v>1521</v>
      </c>
      <c r="BF121" s="87">
        <v>1618</v>
      </c>
      <c r="BG121" s="87">
        <v>1544</v>
      </c>
      <c r="BH121" s="87">
        <v>1517</v>
      </c>
      <c r="BI121" s="87">
        <v>1586</v>
      </c>
      <c r="BJ121" s="87">
        <v>1643</v>
      </c>
      <c r="BK121" s="87">
        <v>1793</v>
      </c>
      <c r="BL121" s="87">
        <v>1917</v>
      </c>
      <c r="BM121" s="87">
        <v>1956</v>
      </c>
      <c r="BN121" s="87">
        <v>1901</v>
      </c>
      <c r="BO121" s="87">
        <v>1887</v>
      </c>
      <c r="BP121" s="87">
        <v>1928</v>
      </c>
      <c r="BQ121" s="87">
        <v>1975</v>
      </c>
      <c r="BR121" s="87">
        <v>1896</v>
      </c>
      <c r="BS121" s="87">
        <v>1925</v>
      </c>
      <c r="BT121" s="87">
        <v>1825</v>
      </c>
      <c r="BU121" s="87">
        <v>1792</v>
      </c>
      <c r="BV121" s="87">
        <v>1781</v>
      </c>
      <c r="BW121" s="87">
        <v>1645</v>
      </c>
      <c r="BX121" s="87">
        <v>1541</v>
      </c>
      <c r="BY121" s="87">
        <v>1568</v>
      </c>
      <c r="BZ121" s="87">
        <v>1420</v>
      </c>
      <c r="CA121" s="87">
        <v>1330</v>
      </c>
      <c r="CB121" s="87">
        <v>1202</v>
      </c>
      <c r="CC121" s="87">
        <v>1208</v>
      </c>
      <c r="CD121" s="87">
        <v>1264</v>
      </c>
      <c r="CE121" s="87">
        <v>1276</v>
      </c>
      <c r="CF121" s="87">
        <v>1171</v>
      </c>
      <c r="CG121" s="87">
        <v>1197</v>
      </c>
      <c r="CH121" s="87">
        <v>1207</v>
      </c>
      <c r="CI121" s="87">
        <v>1327</v>
      </c>
      <c r="CJ121" s="87">
        <v>1377</v>
      </c>
      <c r="CK121" s="87">
        <v>920</v>
      </c>
      <c r="CL121" s="87">
        <v>918</v>
      </c>
      <c r="CM121" s="87">
        <v>856</v>
      </c>
      <c r="CN121" s="87">
        <v>786</v>
      </c>
      <c r="CO121" s="87">
        <v>632</v>
      </c>
      <c r="CP121" s="87">
        <v>521</v>
      </c>
      <c r="CQ121" s="87">
        <v>561</v>
      </c>
      <c r="CR121" s="87">
        <v>473</v>
      </c>
      <c r="CS121" s="87">
        <v>464</v>
      </c>
      <c r="CT121" s="87">
        <v>381</v>
      </c>
      <c r="CU121" s="87">
        <v>340</v>
      </c>
      <c r="CV121" s="87">
        <v>285</v>
      </c>
      <c r="CW121" s="87">
        <v>194</v>
      </c>
      <c r="CX121" s="87">
        <v>168</v>
      </c>
      <c r="CY121" s="87">
        <v>525</v>
      </c>
      <c r="CZ121" s="88">
        <v>1406</v>
      </c>
      <c r="DA121" s="88">
        <v>1382</v>
      </c>
      <c r="DB121" s="88">
        <v>1437</v>
      </c>
      <c r="DC121" s="88">
        <v>1507</v>
      </c>
      <c r="DD121" s="88">
        <v>1532</v>
      </c>
      <c r="DE121" s="88">
        <v>1543</v>
      </c>
      <c r="DF121" s="88">
        <v>1610</v>
      </c>
      <c r="DG121" s="88">
        <v>1557</v>
      </c>
      <c r="DH121" s="88">
        <v>1609</v>
      </c>
      <c r="DI121" s="88">
        <v>1668</v>
      </c>
      <c r="DJ121" s="88">
        <v>1723</v>
      </c>
      <c r="DK121" s="88">
        <v>1725</v>
      </c>
      <c r="DL121" s="88">
        <v>1693</v>
      </c>
      <c r="DM121" s="88">
        <v>1652</v>
      </c>
      <c r="DN121" s="88">
        <v>1605</v>
      </c>
      <c r="DO121" s="88">
        <v>1638</v>
      </c>
      <c r="DP121" s="88">
        <v>1577</v>
      </c>
      <c r="DQ121" s="88">
        <v>1461</v>
      </c>
      <c r="DR121" s="88">
        <v>1381</v>
      </c>
      <c r="DS121" s="88">
        <v>1060</v>
      </c>
      <c r="DT121" s="88">
        <v>1038</v>
      </c>
      <c r="DU121" s="88">
        <v>1206</v>
      </c>
      <c r="DV121" s="88">
        <v>1323</v>
      </c>
      <c r="DW121" s="88">
        <v>1507</v>
      </c>
      <c r="DX121" s="88">
        <v>1458</v>
      </c>
      <c r="DY121" s="88">
        <v>1635</v>
      </c>
      <c r="DZ121" s="88">
        <v>1576</v>
      </c>
      <c r="EA121" s="88">
        <v>1716</v>
      </c>
      <c r="EB121" s="88">
        <v>1779</v>
      </c>
      <c r="EC121" s="88">
        <v>1934</v>
      </c>
      <c r="ED121" s="88">
        <v>1943</v>
      </c>
      <c r="EE121" s="88">
        <v>2094</v>
      </c>
      <c r="EF121" s="88">
        <v>1994</v>
      </c>
      <c r="EG121" s="88">
        <v>2041</v>
      </c>
      <c r="EH121" s="88">
        <v>2102</v>
      </c>
      <c r="EI121" s="88">
        <v>1984</v>
      </c>
      <c r="EJ121" s="88">
        <v>1996</v>
      </c>
      <c r="EK121" s="88">
        <v>1988</v>
      </c>
      <c r="EL121" s="88">
        <v>1811</v>
      </c>
      <c r="EM121" s="88">
        <v>1780</v>
      </c>
      <c r="EN121" s="88">
        <v>1805</v>
      </c>
      <c r="EO121" s="88">
        <v>1785</v>
      </c>
      <c r="EP121" s="88">
        <v>1813</v>
      </c>
      <c r="EQ121" s="88">
        <v>1661</v>
      </c>
      <c r="ER121" s="88">
        <v>1554</v>
      </c>
      <c r="ES121" s="88">
        <v>1586</v>
      </c>
      <c r="ET121" s="88">
        <v>1549</v>
      </c>
      <c r="EU121" s="88">
        <v>1610</v>
      </c>
      <c r="EV121" s="88">
        <v>1654</v>
      </c>
      <c r="EW121" s="88">
        <v>1745</v>
      </c>
      <c r="EX121" s="88">
        <v>1891</v>
      </c>
      <c r="EY121" s="88">
        <v>1878</v>
      </c>
      <c r="EZ121" s="88">
        <v>1799</v>
      </c>
      <c r="FA121" s="88">
        <v>1874</v>
      </c>
      <c r="FB121" s="88">
        <v>2009</v>
      </c>
      <c r="FC121" s="88">
        <v>1960</v>
      </c>
      <c r="FD121" s="88">
        <v>1904</v>
      </c>
      <c r="FE121" s="88">
        <v>1932</v>
      </c>
      <c r="FF121" s="88">
        <v>1910</v>
      </c>
      <c r="FG121" s="88">
        <v>1893</v>
      </c>
      <c r="FH121" s="88">
        <v>1826</v>
      </c>
      <c r="FI121" s="88">
        <v>1828</v>
      </c>
      <c r="FJ121" s="88">
        <v>1581</v>
      </c>
      <c r="FK121" s="88">
        <v>1669</v>
      </c>
      <c r="FL121" s="88">
        <v>1547</v>
      </c>
      <c r="FM121" s="88">
        <v>1467</v>
      </c>
      <c r="FN121" s="88">
        <v>1361</v>
      </c>
      <c r="FO121" s="88">
        <v>1262</v>
      </c>
      <c r="FP121" s="88">
        <v>1314</v>
      </c>
      <c r="FQ121" s="88">
        <v>1313</v>
      </c>
      <c r="FR121" s="88">
        <v>1240</v>
      </c>
      <c r="FS121" s="88">
        <v>1348</v>
      </c>
      <c r="FT121" s="88">
        <v>1275</v>
      </c>
      <c r="FU121" s="88">
        <v>1312</v>
      </c>
      <c r="FV121" s="88">
        <v>1341</v>
      </c>
      <c r="FW121" s="88">
        <v>1543</v>
      </c>
      <c r="FX121" s="88">
        <v>1082</v>
      </c>
      <c r="FY121" s="88">
        <v>1004</v>
      </c>
      <c r="FZ121" s="88">
        <v>1019</v>
      </c>
      <c r="GA121" s="88">
        <v>954</v>
      </c>
      <c r="GB121" s="88">
        <v>856</v>
      </c>
      <c r="GC121" s="88">
        <v>724</v>
      </c>
      <c r="GD121" s="88">
        <v>670</v>
      </c>
      <c r="GE121" s="88">
        <v>620</v>
      </c>
      <c r="GF121" s="88">
        <v>651</v>
      </c>
      <c r="GG121" s="88">
        <v>539</v>
      </c>
      <c r="GH121" s="88">
        <v>482</v>
      </c>
      <c r="GI121" s="88">
        <v>460</v>
      </c>
      <c r="GJ121" s="88">
        <v>365</v>
      </c>
      <c r="GK121" s="88">
        <v>296</v>
      </c>
      <c r="GL121" s="89">
        <v>1198</v>
      </c>
    </row>
    <row r="122" spans="1:194" s="1" customFormat="1" x14ac:dyDescent="0.2">
      <c r="A122" s="90" t="s">
        <v>94</v>
      </c>
      <c r="B122" s="146" t="s">
        <v>207</v>
      </c>
      <c r="C122" s="30" t="str">
        <f t="shared" si="14"/>
        <v xml:space="preserve">England – CCGs - Tees Valley </v>
      </c>
      <c r="D122" s="51">
        <f t="shared" si="13"/>
        <v>288879</v>
      </c>
      <c r="E122" s="51">
        <f t="shared" si="13"/>
        <v>303292</v>
      </c>
      <c r="F122" s="52">
        <f t="shared" si="17"/>
        <v>688756</v>
      </c>
      <c r="G122" s="52">
        <f t="shared" si="18"/>
        <v>338264</v>
      </c>
      <c r="H122" s="52">
        <f t="shared" si="19"/>
        <v>350492</v>
      </c>
      <c r="I122" s="697">
        <f t="shared" si="15"/>
        <v>288879</v>
      </c>
      <c r="J122" s="53">
        <f t="shared" si="16"/>
        <v>303292</v>
      </c>
      <c r="K122" s="50">
        <f t="shared" si="20"/>
        <v>75541</v>
      </c>
      <c r="L122" s="51">
        <f t="shared" si="21"/>
        <v>72179</v>
      </c>
      <c r="M122" s="87">
        <v>3589</v>
      </c>
      <c r="N122" s="87">
        <v>3409</v>
      </c>
      <c r="O122" s="87">
        <v>3706</v>
      </c>
      <c r="P122" s="87">
        <v>3901</v>
      </c>
      <c r="Q122" s="87">
        <v>3955</v>
      </c>
      <c r="R122" s="87">
        <v>4151</v>
      </c>
      <c r="S122" s="87">
        <v>4226</v>
      </c>
      <c r="T122" s="87">
        <v>4235</v>
      </c>
      <c r="U122" s="87">
        <v>4377</v>
      </c>
      <c r="V122" s="87">
        <v>4608</v>
      </c>
      <c r="W122" s="87">
        <v>4540</v>
      </c>
      <c r="X122" s="87">
        <v>4688</v>
      </c>
      <c r="Y122" s="87">
        <v>4557</v>
      </c>
      <c r="Z122" s="87">
        <v>4427</v>
      </c>
      <c r="AA122" s="87">
        <v>4491</v>
      </c>
      <c r="AB122" s="87">
        <v>4246</v>
      </c>
      <c r="AC122" s="87">
        <v>4258</v>
      </c>
      <c r="AD122" s="87">
        <v>4177</v>
      </c>
      <c r="AE122" s="87">
        <v>4131</v>
      </c>
      <c r="AF122" s="87">
        <v>3355</v>
      </c>
      <c r="AG122" s="87">
        <v>3329</v>
      </c>
      <c r="AH122" s="87">
        <v>3513</v>
      </c>
      <c r="AI122" s="87">
        <v>3882</v>
      </c>
      <c r="AJ122" s="87">
        <v>3956</v>
      </c>
      <c r="AK122" s="87">
        <v>4351</v>
      </c>
      <c r="AL122" s="87">
        <v>4411</v>
      </c>
      <c r="AM122" s="87">
        <v>4242</v>
      </c>
      <c r="AN122" s="87">
        <v>4311</v>
      </c>
      <c r="AO122" s="87">
        <v>4329</v>
      </c>
      <c r="AP122" s="87">
        <v>4353</v>
      </c>
      <c r="AQ122" s="87">
        <v>4499</v>
      </c>
      <c r="AR122" s="87">
        <v>4538</v>
      </c>
      <c r="AS122" s="87">
        <v>4345</v>
      </c>
      <c r="AT122" s="87">
        <v>4454</v>
      </c>
      <c r="AU122" s="87">
        <v>4496</v>
      </c>
      <c r="AV122" s="87">
        <v>4394</v>
      </c>
      <c r="AW122" s="87">
        <v>4500</v>
      </c>
      <c r="AX122" s="87">
        <v>4339</v>
      </c>
      <c r="AY122" s="87">
        <v>4235</v>
      </c>
      <c r="AZ122" s="87">
        <v>3985</v>
      </c>
      <c r="BA122" s="87">
        <v>3992</v>
      </c>
      <c r="BB122" s="87">
        <v>4152</v>
      </c>
      <c r="BC122" s="87">
        <v>4209</v>
      </c>
      <c r="BD122" s="87">
        <v>4018</v>
      </c>
      <c r="BE122" s="87">
        <v>3651</v>
      </c>
      <c r="BF122" s="87">
        <v>3480</v>
      </c>
      <c r="BG122" s="87">
        <v>3667</v>
      </c>
      <c r="BH122" s="87">
        <v>3843</v>
      </c>
      <c r="BI122" s="87">
        <v>3772</v>
      </c>
      <c r="BJ122" s="87">
        <v>4063</v>
      </c>
      <c r="BK122" s="87">
        <v>4360</v>
      </c>
      <c r="BL122" s="87">
        <v>4504</v>
      </c>
      <c r="BM122" s="87">
        <v>4425</v>
      </c>
      <c r="BN122" s="87">
        <v>4494</v>
      </c>
      <c r="BO122" s="87">
        <v>4613</v>
      </c>
      <c r="BP122" s="87">
        <v>4732</v>
      </c>
      <c r="BQ122" s="87">
        <v>4858</v>
      </c>
      <c r="BR122" s="87">
        <v>4900</v>
      </c>
      <c r="BS122" s="87">
        <v>4617</v>
      </c>
      <c r="BT122" s="87">
        <v>4804</v>
      </c>
      <c r="BU122" s="87">
        <v>4774</v>
      </c>
      <c r="BV122" s="87">
        <v>4607</v>
      </c>
      <c r="BW122" s="87">
        <v>4376</v>
      </c>
      <c r="BX122" s="87">
        <v>4347</v>
      </c>
      <c r="BY122" s="87">
        <v>4211</v>
      </c>
      <c r="BZ122" s="87">
        <v>4143</v>
      </c>
      <c r="CA122" s="87">
        <v>3988</v>
      </c>
      <c r="CB122" s="87">
        <v>3668</v>
      </c>
      <c r="CC122" s="87">
        <v>3616</v>
      </c>
      <c r="CD122" s="87">
        <v>3605</v>
      </c>
      <c r="CE122" s="87">
        <v>3429</v>
      </c>
      <c r="CF122" s="87">
        <v>3284</v>
      </c>
      <c r="CG122" s="87">
        <v>3304</v>
      </c>
      <c r="CH122" s="87">
        <v>3412</v>
      </c>
      <c r="CI122" s="87">
        <v>3423</v>
      </c>
      <c r="CJ122" s="87">
        <v>3667</v>
      </c>
      <c r="CK122" s="87">
        <v>2649</v>
      </c>
      <c r="CL122" s="87">
        <v>2569</v>
      </c>
      <c r="CM122" s="87">
        <v>2335</v>
      </c>
      <c r="CN122" s="87">
        <v>1916</v>
      </c>
      <c r="CO122" s="87">
        <v>1884</v>
      </c>
      <c r="CP122" s="87">
        <v>1672</v>
      </c>
      <c r="CQ122" s="87">
        <v>1519</v>
      </c>
      <c r="CR122" s="87">
        <v>1504</v>
      </c>
      <c r="CS122" s="87">
        <v>1362</v>
      </c>
      <c r="CT122" s="87">
        <v>1202</v>
      </c>
      <c r="CU122" s="87">
        <v>1018</v>
      </c>
      <c r="CV122" s="87">
        <v>884</v>
      </c>
      <c r="CW122" s="87">
        <v>714</v>
      </c>
      <c r="CX122" s="87">
        <v>581</v>
      </c>
      <c r="CY122" s="87">
        <v>1958</v>
      </c>
      <c r="CZ122" s="88">
        <v>3451</v>
      </c>
      <c r="DA122" s="88">
        <v>3425</v>
      </c>
      <c r="DB122" s="88">
        <v>3682</v>
      </c>
      <c r="DC122" s="88">
        <v>3725</v>
      </c>
      <c r="DD122" s="88">
        <v>3794</v>
      </c>
      <c r="DE122" s="88">
        <v>4056</v>
      </c>
      <c r="DF122" s="88">
        <v>3954</v>
      </c>
      <c r="DG122" s="88">
        <v>4019</v>
      </c>
      <c r="DH122" s="88">
        <v>3993</v>
      </c>
      <c r="DI122" s="88">
        <v>4281</v>
      </c>
      <c r="DJ122" s="88">
        <v>4373</v>
      </c>
      <c r="DK122" s="88">
        <v>4447</v>
      </c>
      <c r="DL122" s="88">
        <v>4268</v>
      </c>
      <c r="DM122" s="88">
        <v>4164</v>
      </c>
      <c r="DN122" s="88">
        <v>4305</v>
      </c>
      <c r="DO122" s="88">
        <v>4195</v>
      </c>
      <c r="DP122" s="88">
        <v>4120</v>
      </c>
      <c r="DQ122" s="88">
        <v>3927</v>
      </c>
      <c r="DR122" s="88">
        <v>3765</v>
      </c>
      <c r="DS122" s="88">
        <v>2803</v>
      </c>
      <c r="DT122" s="88">
        <v>2782</v>
      </c>
      <c r="DU122" s="88">
        <v>3135</v>
      </c>
      <c r="DV122" s="88">
        <v>3612</v>
      </c>
      <c r="DW122" s="88">
        <v>3834</v>
      </c>
      <c r="DX122" s="88">
        <v>3763</v>
      </c>
      <c r="DY122" s="88">
        <v>4173</v>
      </c>
      <c r="DZ122" s="88">
        <v>4145</v>
      </c>
      <c r="EA122" s="88">
        <v>4200</v>
      </c>
      <c r="EB122" s="88">
        <v>4477</v>
      </c>
      <c r="EC122" s="88">
        <v>4493</v>
      </c>
      <c r="ED122" s="88">
        <v>4775</v>
      </c>
      <c r="EE122" s="88">
        <v>4683</v>
      </c>
      <c r="EF122" s="88">
        <v>4632</v>
      </c>
      <c r="EG122" s="88">
        <v>4646</v>
      </c>
      <c r="EH122" s="88">
        <v>4847</v>
      </c>
      <c r="EI122" s="88">
        <v>4682</v>
      </c>
      <c r="EJ122" s="88">
        <v>4687</v>
      </c>
      <c r="EK122" s="88">
        <v>4734</v>
      </c>
      <c r="EL122" s="88">
        <v>4469</v>
      </c>
      <c r="EM122" s="88">
        <v>4352</v>
      </c>
      <c r="EN122" s="88">
        <v>4298</v>
      </c>
      <c r="EO122" s="88">
        <v>4379</v>
      </c>
      <c r="EP122" s="88">
        <v>4315</v>
      </c>
      <c r="EQ122" s="88">
        <v>4170</v>
      </c>
      <c r="ER122" s="88">
        <v>3784</v>
      </c>
      <c r="ES122" s="88">
        <v>3583</v>
      </c>
      <c r="ET122" s="88">
        <v>3891</v>
      </c>
      <c r="EU122" s="88">
        <v>3779</v>
      </c>
      <c r="EV122" s="88">
        <v>4062</v>
      </c>
      <c r="EW122" s="88">
        <v>4132</v>
      </c>
      <c r="EX122" s="88">
        <v>4500</v>
      </c>
      <c r="EY122" s="88">
        <v>4842</v>
      </c>
      <c r="EZ122" s="88">
        <v>4758</v>
      </c>
      <c r="FA122" s="88">
        <v>4686</v>
      </c>
      <c r="FB122" s="88">
        <v>4865</v>
      </c>
      <c r="FC122" s="88">
        <v>5007</v>
      </c>
      <c r="FD122" s="88">
        <v>5095</v>
      </c>
      <c r="FE122" s="88">
        <v>5022</v>
      </c>
      <c r="FF122" s="88">
        <v>5017</v>
      </c>
      <c r="FG122" s="88">
        <v>5075</v>
      </c>
      <c r="FH122" s="88">
        <v>5048</v>
      </c>
      <c r="FI122" s="88">
        <v>4737</v>
      </c>
      <c r="FJ122" s="88">
        <v>4595</v>
      </c>
      <c r="FK122" s="88">
        <v>4606</v>
      </c>
      <c r="FL122" s="88">
        <v>4527</v>
      </c>
      <c r="FM122" s="88">
        <v>4272</v>
      </c>
      <c r="FN122" s="88">
        <v>4046</v>
      </c>
      <c r="FO122" s="88">
        <v>3877</v>
      </c>
      <c r="FP122" s="88">
        <v>3820</v>
      </c>
      <c r="FQ122" s="88">
        <v>3780</v>
      </c>
      <c r="FR122" s="88">
        <v>3654</v>
      </c>
      <c r="FS122" s="88">
        <v>3633</v>
      </c>
      <c r="FT122" s="88">
        <v>3621</v>
      </c>
      <c r="FU122" s="88">
        <v>3652</v>
      </c>
      <c r="FV122" s="88">
        <v>3725</v>
      </c>
      <c r="FW122" s="88">
        <v>4086</v>
      </c>
      <c r="FX122" s="88">
        <v>3054</v>
      </c>
      <c r="FY122" s="88">
        <v>2738</v>
      </c>
      <c r="FZ122" s="88">
        <v>2663</v>
      </c>
      <c r="GA122" s="88">
        <v>2376</v>
      </c>
      <c r="GB122" s="88">
        <v>2287</v>
      </c>
      <c r="GC122" s="88">
        <v>2019</v>
      </c>
      <c r="GD122" s="88">
        <v>2150</v>
      </c>
      <c r="GE122" s="88">
        <v>1994</v>
      </c>
      <c r="GF122" s="88">
        <v>1884</v>
      </c>
      <c r="GG122" s="88">
        <v>1713</v>
      </c>
      <c r="GH122" s="88">
        <v>1451</v>
      </c>
      <c r="GI122" s="88">
        <v>1363</v>
      </c>
      <c r="GJ122" s="88">
        <v>1102</v>
      </c>
      <c r="GK122" s="88">
        <v>1000</v>
      </c>
      <c r="GL122" s="89">
        <v>3891</v>
      </c>
    </row>
    <row r="123" spans="1:194" s="1" customFormat="1" x14ac:dyDescent="0.2">
      <c r="A123" s="90" t="s">
        <v>94</v>
      </c>
      <c r="B123" s="146" t="s">
        <v>208</v>
      </c>
      <c r="C123" s="30" t="str">
        <f t="shared" si="14"/>
        <v xml:space="preserve">England – CCGs - Thurrock </v>
      </c>
      <c r="D123" s="51">
        <f t="shared" si="13"/>
        <v>71148</v>
      </c>
      <c r="E123" s="51">
        <f t="shared" si="13"/>
        <v>75561</v>
      </c>
      <c r="F123" s="52">
        <f t="shared" si="17"/>
        <v>176877</v>
      </c>
      <c r="G123" s="52">
        <f t="shared" si="18"/>
        <v>86665</v>
      </c>
      <c r="H123" s="52">
        <f t="shared" si="19"/>
        <v>90212</v>
      </c>
      <c r="I123" s="697">
        <f t="shared" si="15"/>
        <v>71148</v>
      </c>
      <c r="J123" s="53">
        <f t="shared" si="16"/>
        <v>75561</v>
      </c>
      <c r="K123" s="50">
        <f t="shared" si="20"/>
        <v>23083</v>
      </c>
      <c r="L123" s="51">
        <f t="shared" si="21"/>
        <v>21797</v>
      </c>
      <c r="M123" s="87">
        <v>1238</v>
      </c>
      <c r="N123" s="87">
        <v>1235</v>
      </c>
      <c r="O123" s="87">
        <v>1284</v>
      </c>
      <c r="P123" s="87">
        <v>1252</v>
      </c>
      <c r="Q123" s="87">
        <v>1280</v>
      </c>
      <c r="R123" s="87">
        <v>1327</v>
      </c>
      <c r="S123" s="87">
        <v>1372</v>
      </c>
      <c r="T123" s="87">
        <v>1296</v>
      </c>
      <c r="U123" s="87">
        <v>1235</v>
      </c>
      <c r="V123" s="87">
        <v>1261</v>
      </c>
      <c r="W123" s="87">
        <v>1374</v>
      </c>
      <c r="X123" s="87">
        <v>1363</v>
      </c>
      <c r="Y123" s="87">
        <v>1237</v>
      </c>
      <c r="Z123" s="87">
        <v>1314</v>
      </c>
      <c r="AA123" s="87">
        <v>1337</v>
      </c>
      <c r="AB123" s="87">
        <v>1237</v>
      </c>
      <c r="AC123" s="87">
        <v>1221</v>
      </c>
      <c r="AD123" s="87">
        <v>1220</v>
      </c>
      <c r="AE123" s="87">
        <v>1135</v>
      </c>
      <c r="AF123" s="87">
        <v>862</v>
      </c>
      <c r="AG123" s="87">
        <v>889</v>
      </c>
      <c r="AH123" s="87">
        <v>864</v>
      </c>
      <c r="AI123" s="87">
        <v>960</v>
      </c>
      <c r="AJ123" s="87">
        <v>1000</v>
      </c>
      <c r="AK123" s="87">
        <v>1006</v>
      </c>
      <c r="AL123" s="87">
        <v>1070</v>
      </c>
      <c r="AM123" s="87">
        <v>1080</v>
      </c>
      <c r="AN123" s="87">
        <v>1019</v>
      </c>
      <c r="AO123" s="87">
        <v>1100</v>
      </c>
      <c r="AP123" s="87">
        <v>1149</v>
      </c>
      <c r="AQ123" s="87">
        <v>1158</v>
      </c>
      <c r="AR123" s="87">
        <v>1174</v>
      </c>
      <c r="AS123" s="87">
        <v>1314</v>
      </c>
      <c r="AT123" s="87">
        <v>1375</v>
      </c>
      <c r="AU123" s="87">
        <v>1344</v>
      </c>
      <c r="AV123" s="87">
        <v>1343</v>
      </c>
      <c r="AW123" s="87">
        <v>1403</v>
      </c>
      <c r="AX123" s="87">
        <v>1324</v>
      </c>
      <c r="AY123" s="87">
        <v>1369</v>
      </c>
      <c r="AZ123" s="87">
        <v>1265</v>
      </c>
      <c r="BA123" s="87">
        <v>1313</v>
      </c>
      <c r="BB123" s="87">
        <v>1243</v>
      </c>
      <c r="BC123" s="87">
        <v>1270</v>
      </c>
      <c r="BD123" s="87">
        <v>1180</v>
      </c>
      <c r="BE123" s="87">
        <v>1140</v>
      </c>
      <c r="BF123" s="87">
        <v>1117</v>
      </c>
      <c r="BG123" s="87">
        <v>1174</v>
      </c>
      <c r="BH123" s="87">
        <v>1114</v>
      </c>
      <c r="BI123" s="87">
        <v>1119</v>
      </c>
      <c r="BJ123" s="87">
        <v>1176</v>
      </c>
      <c r="BK123" s="87">
        <v>1125</v>
      </c>
      <c r="BL123" s="87">
        <v>1221</v>
      </c>
      <c r="BM123" s="87">
        <v>1157</v>
      </c>
      <c r="BN123" s="87">
        <v>1186</v>
      </c>
      <c r="BO123" s="87">
        <v>1094</v>
      </c>
      <c r="BP123" s="87">
        <v>1167</v>
      </c>
      <c r="BQ123" s="87">
        <v>1160</v>
      </c>
      <c r="BR123" s="87">
        <v>1100</v>
      </c>
      <c r="BS123" s="87">
        <v>1045</v>
      </c>
      <c r="BT123" s="87">
        <v>1034</v>
      </c>
      <c r="BU123" s="87">
        <v>953</v>
      </c>
      <c r="BV123" s="87">
        <v>879</v>
      </c>
      <c r="BW123" s="87">
        <v>869</v>
      </c>
      <c r="BX123" s="87">
        <v>814</v>
      </c>
      <c r="BY123" s="87">
        <v>777</v>
      </c>
      <c r="BZ123" s="87">
        <v>696</v>
      </c>
      <c r="CA123" s="87">
        <v>728</v>
      </c>
      <c r="CB123" s="87">
        <v>624</v>
      </c>
      <c r="CC123" s="87">
        <v>645</v>
      </c>
      <c r="CD123" s="87">
        <v>626</v>
      </c>
      <c r="CE123" s="87">
        <v>558</v>
      </c>
      <c r="CF123" s="87">
        <v>577</v>
      </c>
      <c r="CG123" s="87">
        <v>657</v>
      </c>
      <c r="CH123" s="87">
        <v>607</v>
      </c>
      <c r="CI123" s="87">
        <v>589</v>
      </c>
      <c r="CJ123" s="87">
        <v>655</v>
      </c>
      <c r="CK123" s="87">
        <v>473</v>
      </c>
      <c r="CL123" s="87">
        <v>423</v>
      </c>
      <c r="CM123" s="87">
        <v>428</v>
      </c>
      <c r="CN123" s="87">
        <v>359</v>
      </c>
      <c r="CO123" s="87">
        <v>303</v>
      </c>
      <c r="CP123" s="87">
        <v>230</v>
      </c>
      <c r="CQ123" s="87">
        <v>272</v>
      </c>
      <c r="CR123" s="87">
        <v>244</v>
      </c>
      <c r="CS123" s="87">
        <v>212</v>
      </c>
      <c r="CT123" s="87">
        <v>204</v>
      </c>
      <c r="CU123" s="87">
        <v>164</v>
      </c>
      <c r="CV123" s="87">
        <v>145</v>
      </c>
      <c r="CW123" s="87">
        <v>117</v>
      </c>
      <c r="CX123" s="87">
        <v>92</v>
      </c>
      <c r="CY123" s="87">
        <v>324</v>
      </c>
      <c r="CZ123" s="88">
        <v>1126</v>
      </c>
      <c r="DA123" s="88">
        <v>1125</v>
      </c>
      <c r="DB123" s="88">
        <v>1221</v>
      </c>
      <c r="DC123" s="88">
        <v>1173</v>
      </c>
      <c r="DD123" s="88">
        <v>1311</v>
      </c>
      <c r="DE123" s="88">
        <v>1254</v>
      </c>
      <c r="DF123" s="88">
        <v>1274</v>
      </c>
      <c r="DG123" s="88">
        <v>1265</v>
      </c>
      <c r="DH123" s="88">
        <v>1212</v>
      </c>
      <c r="DI123" s="88">
        <v>1284</v>
      </c>
      <c r="DJ123" s="88">
        <v>1195</v>
      </c>
      <c r="DK123" s="88">
        <v>1211</v>
      </c>
      <c r="DL123" s="88">
        <v>1185</v>
      </c>
      <c r="DM123" s="88">
        <v>1210</v>
      </c>
      <c r="DN123" s="88">
        <v>1288</v>
      </c>
      <c r="DO123" s="88">
        <v>1188</v>
      </c>
      <c r="DP123" s="88">
        <v>1115</v>
      </c>
      <c r="DQ123" s="88">
        <v>1160</v>
      </c>
      <c r="DR123" s="88">
        <v>1025</v>
      </c>
      <c r="DS123" s="88">
        <v>739</v>
      </c>
      <c r="DT123" s="88">
        <v>802</v>
      </c>
      <c r="DU123" s="88">
        <v>878</v>
      </c>
      <c r="DV123" s="88">
        <v>961</v>
      </c>
      <c r="DW123" s="88">
        <v>1029</v>
      </c>
      <c r="DX123" s="88">
        <v>991</v>
      </c>
      <c r="DY123" s="88">
        <v>1115</v>
      </c>
      <c r="DZ123" s="88">
        <v>1085</v>
      </c>
      <c r="EA123" s="88">
        <v>1166</v>
      </c>
      <c r="EB123" s="88">
        <v>1320</v>
      </c>
      <c r="EC123" s="88">
        <v>1296</v>
      </c>
      <c r="ED123" s="88">
        <v>1416</v>
      </c>
      <c r="EE123" s="88">
        <v>1477</v>
      </c>
      <c r="EF123" s="88">
        <v>1453</v>
      </c>
      <c r="EG123" s="88">
        <v>1526</v>
      </c>
      <c r="EH123" s="88">
        <v>1522</v>
      </c>
      <c r="EI123" s="88">
        <v>1511</v>
      </c>
      <c r="EJ123" s="88">
        <v>1513</v>
      </c>
      <c r="EK123" s="88">
        <v>1530</v>
      </c>
      <c r="EL123" s="88">
        <v>1450</v>
      </c>
      <c r="EM123" s="88">
        <v>1358</v>
      </c>
      <c r="EN123" s="88">
        <v>1349</v>
      </c>
      <c r="EO123" s="88">
        <v>1405</v>
      </c>
      <c r="EP123" s="88">
        <v>1327</v>
      </c>
      <c r="EQ123" s="88">
        <v>1353</v>
      </c>
      <c r="ER123" s="88">
        <v>1194</v>
      </c>
      <c r="ES123" s="88">
        <v>1155</v>
      </c>
      <c r="ET123" s="88">
        <v>1219</v>
      </c>
      <c r="EU123" s="88">
        <v>1208</v>
      </c>
      <c r="EV123" s="88">
        <v>1139</v>
      </c>
      <c r="EW123" s="88">
        <v>1152</v>
      </c>
      <c r="EX123" s="88">
        <v>1168</v>
      </c>
      <c r="EY123" s="88">
        <v>1190</v>
      </c>
      <c r="EZ123" s="88">
        <v>1122</v>
      </c>
      <c r="FA123" s="88">
        <v>1195</v>
      </c>
      <c r="FB123" s="88">
        <v>1132</v>
      </c>
      <c r="FC123" s="88">
        <v>1152</v>
      </c>
      <c r="FD123" s="88">
        <v>1145</v>
      </c>
      <c r="FE123" s="88">
        <v>1097</v>
      </c>
      <c r="FF123" s="88">
        <v>1071</v>
      </c>
      <c r="FG123" s="88">
        <v>966</v>
      </c>
      <c r="FH123" s="88">
        <v>991</v>
      </c>
      <c r="FI123" s="88">
        <v>977</v>
      </c>
      <c r="FJ123" s="88">
        <v>813</v>
      </c>
      <c r="FK123" s="88">
        <v>821</v>
      </c>
      <c r="FL123" s="88">
        <v>740</v>
      </c>
      <c r="FM123" s="88">
        <v>775</v>
      </c>
      <c r="FN123" s="88">
        <v>693</v>
      </c>
      <c r="FO123" s="88">
        <v>637</v>
      </c>
      <c r="FP123" s="88">
        <v>684</v>
      </c>
      <c r="FQ123" s="88">
        <v>663</v>
      </c>
      <c r="FR123" s="88">
        <v>659</v>
      </c>
      <c r="FS123" s="88">
        <v>671</v>
      </c>
      <c r="FT123" s="88">
        <v>661</v>
      </c>
      <c r="FU123" s="88">
        <v>596</v>
      </c>
      <c r="FV123" s="88">
        <v>708</v>
      </c>
      <c r="FW123" s="88">
        <v>780</v>
      </c>
      <c r="FX123" s="88">
        <v>573</v>
      </c>
      <c r="FY123" s="88">
        <v>513</v>
      </c>
      <c r="FZ123" s="88">
        <v>459</v>
      </c>
      <c r="GA123" s="88">
        <v>442</v>
      </c>
      <c r="GB123" s="88">
        <v>441</v>
      </c>
      <c r="GC123" s="88">
        <v>375</v>
      </c>
      <c r="GD123" s="88">
        <v>335</v>
      </c>
      <c r="GE123" s="88">
        <v>326</v>
      </c>
      <c r="GF123" s="88">
        <v>299</v>
      </c>
      <c r="GG123" s="88">
        <v>326</v>
      </c>
      <c r="GH123" s="88">
        <v>263</v>
      </c>
      <c r="GI123" s="88">
        <v>221</v>
      </c>
      <c r="GJ123" s="88">
        <v>198</v>
      </c>
      <c r="GK123" s="88">
        <v>162</v>
      </c>
      <c r="GL123" s="89">
        <v>711</v>
      </c>
    </row>
    <row r="124" spans="1:194" s="1" customFormat="1" x14ac:dyDescent="0.2">
      <c r="A124" s="90" t="s">
        <v>94</v>
      </c>
      <c r="B124" s="146" t="s">
        <v>209</v>
      </c>
      <c r="C124" s="30" t="str">
        <f t="shared" si="14"/>
        <v xml:space="preserve">England – CCGs - Trafford </v>
      </c>
      <c r="D124" s="51">
        <f t="shared" si="13"/>
        <v>96658</v>
      </c>
      <c r="E124" s="51">
        <f t="shared" si="13"/>
        <v>103418</v>
      </c>
      <c r="F124" s="52">
        <f t="shared" si="17"/>
        <v>236301</v>
      </c>
      <c r="G124" s="52">
        <f t="shared" si="18"/>
        <v>115249</v>
      </c>
      <c r="H124" s="52">
        <f t="shared" si="19"/>
        <v>121052</v>
      </c>
      <c r="I124" s="697">
        <f t="shared" si="15"/>
        <v>96658</v>
      </c>
      <c r="J124" s="53">
        <f t="shared" si="16"/>
        <v>103418</v>
      </c>
      <c r="K124" s="50">
        <f t="shared" si="20"/>
        <v>28380</v>
      </c>
      <c r="L124" s="51">
        <f t="shared" si="21"/>
        <v>26954</v>
      </c>
      <c r="M124" s="87">
        <v>1168</v>
      </c>
      <c r="N124" s="87">
        <v>1280</v>
      </c>
      <c r="O124" s="87">
        <v>1310</v>
      </c>
      <c r="P124" s="87">
        <v>1442</v>
      </c>
      <c r="Q124" s="87">
        <v>1478</v>
      </c>
      <c r="R124" s="87">
        <v>1516</v>
      </c>
      <c r="S124" s="87">
        <v>1637</v>
      </c>
      <c r="T124" s="87">
        <v>1601</v>
      </c>
      <c r="U124" s="87">
        <v>1738</v>
      </c>
      <c r="V124" s="87">
        <v>1710</v>
      </c>
      <c r="W124" s="87">
        <v>1833</v>
      </c>
      <c r="X124" s="87">
        <v>1878</v>
      </c>
      <c r="Y124" s="87">
        <v>1710</v>
      </c>
      <c r="Z124" s="87">
        <v>1725</v>
      </c>
      <c r="AA124" s="87">
        <v>1669</v>
      </c>
      <c r="AB124" s="87">
        <v>1615</v>
      </c>
      <c r="AC124" s="87">
        <v>1542</v>
      </c>
      <c r="AD124" s="87">
        <v>1528</v>
      </c>
      <c r="AE124" s="87">
        <v>1401</v>
      </c>
      <c r="AF124" s="87">
        <v>949</v>
      </c>
      <c r="AG124" s="87">
        <v>940</v>
      </c>
      <c r="AH124" s="87">
        <v>875</v>
      </c>
      <c r="AI124" s="87">
        <v>1078</v>
      </c>
      <c r="AJ124" s="87">
        <v>1255</v>
      </c>
      <c r="AK124" s="87">
        <v>1243</v>
      </c>
      <c r="AL124" s="87">
        <v>1322</v>
      </c>
      <c r="AM124" s="87">
        <v>1107</v>
      </c>
      <c r="AN124" s="87">
        <v>1245</v>
      </c>
      <c r="AO124" s="87">
        <v>1260</v>
      </c>
      <c r="AP124" s="87">
        <v>1296</v>
      </c>
      <c r="AQ124" s="87">
        <v>1379</v>
      </c>
      <c r="AR124" s="87">
        <v>1320</v>
      </c>
      <c r="AS124" s="87">
        <v>1351</v>
      </c>
      <c r="AT124" s="87">
        <v>1424</v>
      </c>
      <c r="AU124" s="87">
        <v>1464</v>
      </c>
      <c r="AV124" s="87">
        <v>1443</v>
      </c>
      <c r="AW124" s="87">
        <v>1656</v>
      </c>
      <c r="AX124" s="87">
        <v>1669</v>
      </c>
      <c r="AY124" s="87">
        <v>1673</v>
      </c>
      <c r="AZ124" s="87">
        <v>1676</v>
      </c>
      <c r="BA124" s="87">
        <v>1648</v>
      </c>
      <c r="BB124" s="87">
        <v>1814</v>
      </c>
      <c r="BC124" s="87">
        <v>1754</v>
      </c>
      <c r="BD124" s="87">
        <v>1709</v>
      </c>
      <c r="BE124" s="87">
        <v>1626</v>
      </c>
      <c r="BF124" s="87">
        <v>1560</v>
      </c>
      <c r="BG124" s="87">
        <v>1516</v>
      </c>
      <c r="BH124" s="87">
        <v>1659</v>
      </c>
      <c r="BI124" s="87">
        <v>1556</v>
      </c>
      <c r="BJ124" s="87">
        <v>1585</v>
      </c>
      <c r="BK124" s="87">
        <v>1683</v>
      </c>
      <c r="BL124" s="87">
        <v>1676</v>
      </c>
      <c r="BM124" s="87">
        <v>1644</v>
      </c>
      <c r="BN124" s="87">
        <v>1626</v>
      </c>
      <c r="BO124" s="87">
        <v>1599</v>
      </c>
      <c r="BP124" s="87">
        <v>1556</v>
      </c>
      <c r="BQ124" s="87">
        <v>1556</v>
      </c>
      <c r="BR124" s="87">
        <v>1611</v>
      </c>
      <c r="BS124" s="87">
        <v>1563</v>
      </c>
      <c r="BT124" s="87">
        <v>1510</v>
      </c>
      <c r="BU124" s="87">
        <v>1430</v>
      </c>
      <c r="BV124" s="87">
        <v>1316</v>
      </c>
      <c r="BW124" s="87">
        <v>1332</v>
      </c>
      <c r="BX124" s="87">
        <v>1283</v>
      </c>
      <c r="BY124" s="87">
        <v>1229</v>
      </c>
      <c r="BZ124" s="87">
        <v>1171</v>
      </c>
      <c r="CA124" s="87">
        <v>1153</v>
      </c>
      <c r="CB124" s="87">
        <v>1049</v>
      </c>
      <c r="CC124" s="87">
        <v>1035</v>
      </c>
      <c r="CD124" s="87">
        <v>944</v>
      </c>
      <c r="CE124" s="87">
        <v>957</v>
      </c>
      <c r="CF124" s="87">
        <v>964</v>
      </c>
      <c r="CG124" s="87">
        <v>935</v>
      </c>
      <c r="CH124" s="87">
        <v>969</v>
      </c>
      <c r="CI124" s="87">
        <v>1037</v>
      </c>
      <c r="CJ124" s="87">
        <v>1009</v>
      </c>
      <c r="CK124" s="87">
        <v>724</v>
      </c>
      <c r="CL124" s="87">
        <v>723</v>
      </c>
      <c r="CM124" s="87">
        <v>719</v>
      </c>
      <c r="CN124" s="87">
        <v>663</v>
      </c>
      <c r="CO124" s="87">
        <v>541</v>
      </c>
      <c r="CP124" s="87">
        <v>495</v>
      </c>
      <c r="CQ124" s="87">
        <v>468</v>
      </c>
      <c r="CR124" s="87">
        <v>529</v>
      </c>
      <c r="CS124" s="87">
        <v>463</v>
      </c>
      <c r="CT124" s="87">
        <v>403</v>
      </c>
      <c r="CU124" s="87">
        <v>366</v>
      </c>
      <c r="CV124" s="87">
        <v>312</v>
      </c>
      <c r="CW124" s="87">
        <v>261</v>
      </c>
      <c r="CX124" s="87">
        <v>242</v>
      </c>
      <c r="CY124" s="87">
        <v>670</v>
      </c>
      <c r="CZ124" s="88">
        <v>1115</v>
      </c>
      <c r="DA124" s="88">
        <v>1146</v>
      </c>
      <c r="DB124" s="88">
        <v>1197</v>
      </c>
      <c r="DC124" s="88">
        <v>1446</v>
      </c>
      <c r="DD124" s="88">
        <v>1394</v>
      </c>
      <c r="DE124" s="88">
        <v>1533</v>
      </c>
      <c r="DF124" s="88">
        <v>1605</v>
      </c>
      <c r="DG124" s="88">
        <v>1509</v>
      </c>
      <c r="DH124" s="88">
        <v>1627</v>
      </c>
      <c r="DI124" s="88">
        <v>1572</v>
      </c>
      <c r="DJ124" s="88">
        <v>1684</v>
      </c>
      <c r="DK124" s="88">
        <v>1806</v>
      </c>
      <c r="DL124" s="88">
        <v>1597</v>
      </c>
      <c r="DM124" s="88">
        <v>1618</v>
      </c>
      <c r="DN124" s="88">
        <v>1629</v>
      </c>
      <c r="DO124" s="88">
        <v>1535</v>
      </c>
      <c r="DP124" s="88">
        <v>1488</v>
      </c>
      <c r="DQ124" s="88">
        <v>1453</v>
      </c>
      <c r="DR124" s="88">
        <v>1325</v>
      </c>
      <c r="DS124" s="88">
        <v>779</v>
      </c>
      <c r="DT124" s="88">
        <v>864</v>
      </c>
      <c r="DU124" s="88">
        <v>838</v>
      </c>
      <c r="DV124" s="88">
        <v>1114</v>
      </c>
      <c r="DW124" s="88">
        <v>1231</v>
      </c>
      <c r="DX124" s="88">
        <v>1200</v>
      </c>
      <c r="DY124" s="88">
        <v>1225</v>
      </c>
      <c r="DZ124" s="88">
        <v>1268</v>
      </c>
      <c r="EA124" s="88">
        <v>1186</v>
      </c>
      <c r="EB124" s="88">
        <v>1191</v>
      </c>
      <c r="EC124" s="88">
        <v>1267</v>
      </c>
      <c r="ED124" s="88">
        <v>1374</v>
      </c>
      <c r="EE124" s="88">
        <v>1529</v>
      </c>
      <c r="EF124" s="88">
        <v>1533</v>
      </c>
      <c r="EG124" s="88">
        <v>1663</v>
      </c>
      <c r="EH124" s="88">
        <v>1622</v>
      </c>
      <c r="EI124" s="88">
        <v>1720</v>
      </c>
      <c r="EJ124" s="88">
        <v>1783</v>
      </c>
      <c r="EK124" s="88">
        <v>1840</v>
      </c>
      <c r="EL124" s="88">
        <v>1891</v>
      </c>
      <c r="EM124" s="88">
        <v>1821</v>
      </c>
      <c r="EN124" s="88">
        <v>1878</v>
      </c>
      <c r="EO124" s="88">
        <v>1987</v>
      </c>
      <c r="EP124" s="88">
        <v>1878</v>
      </c>
      <c r="EQ124" s="88">
        <v>1889</v>
      </c>
      <c r="ER124" s="88">
        <v>1751</v>
      </c>
      <c r="ES124" s="88">
        <v>1635</v>
      </c>
      <c r="ET124" s="88">
        <v>1660</v>
      </c>
      <c r="EU124" s="88">
        <v>1617</v>
      </c>
      <c r="EV124" s="88">
        <v>1600</v>
      </c>
      <c r="EW124" s="88">
        <v>1626</v>
      </c>
      <c r="EX124" s="88">
        <v>1759</v>
      </c>
      <c r="EY124" s="88">
        <v>1725</v>
      </c>
      <c r="EZ124" s="88">
        <v>1728</v>
      </c>
      <c r="FA124" s="88">
        <v>1599</v>
      </c>
      <c r="FB124" s="88">
        <v>1612</v>
      </c>
      <c r="FC124" s="88">
        <v>1627</v>
      </c>
      <c r="FD124" s="88">
        <v>1649</v>
      </c>
      <c r="FE124" s="88">
        <v>1599</v>
      </c>
      <c r="FF124" s="88">
        <v>1649</v>
      </c>
      <c r="FG124" s="88">
        <v>1565</v>
      </c>
      <c r="FH124" s="88">
        <v>1449</v>
      </c>
      <c r="FI124" s="88">
        <v>1448</v>
      </c>
      <c r="FJ124" s="88">
        <v>1339</v>
      </c>
      <c r="FK124" s="88">
        <v>1298</v>
      </c>
      <c r="FL124" s="88">
        <v>1249</v>
      </c>
      <c r="FM124" s="88">
        <v>1184</v>
      </c>
      <c r="FN124" s="88">
        <v>1108</v>
      </c>
      <c r="FO124" s="88">
        <v>1138</v>
      </c>
      <c r="FP124" s="88">
        <v>1067</v>
      </c>
      <c r="FQ124" s="88">
        <v>1065</v>
      </c>
      <c r="FR124" s="88">
        <v>1041</v>
      </c>
      <c r="FS124" s="88">
        <v>1066</v>
      </c>
      <c r="FT124" s="88">
        <v>1115</v>
      </c>
      <c r="FU124" s="88">
        <v>1049</v>
      </c>
      <c r="FV124" s="88">
        <v>1129</v>
      </c>
      <c r="FW124" s="88">
        <v>1183</v>
      </c>
      <c r="FX124" s="88">
        <v>907</v>
      </c>
      <c r="FY124" s="88">
        <v>944</v>
      </c>
      <c r="FZ124" s="88">
        <v>944</v>
      </c>
      <c r="GA124" s="88">
        <v>875</v>
      </c>
      <c r="GB124" s="88">
        <v>699</v>
      </c>
      <c r="GC124" s="88">
        <v>674</v>
      </c>
      <c r="GD124" s="88">
        <v>715</v>
      </c>
      <c r="GE124" s="88">
        <v>696</v>
      </c>
      <c r="GF124" s="88">
        <v>616</v>
      </c>
      <c r="GG124" s="88">
        <v>586</v>
      </c>
      <c r="GH124" s="88">
        <v>536</v>
      </c>
      <c r="GI124" s="88">
        <v>445</v>
      </c>
      <c r="GJ124" s="88">
        <v>399</v>
      </c>
      <c r="GK124" s="88">
        <v>373</v>
      </c>
      <c r="GL124" s="89">
        <v>1464</v>
      </c>
    </row>
    <row r="125" spans="1:194" s="1" customFormat="1" x14ac:dyDescent="0.2">
      <c r="A125" s="90" t="s">
        <v>94</v>
      </c>
      <c r="B125" s="146" t="s">
        <v>210</v>
      </c>
      <c r="C125" s="30" t="str">
        <f t="shared" si="14"/>
        <v xml:space="preserve">England – CCGs - Vale of York </v>
      </c>
      <c r="D125" s="51">
        <f t="shared" si="13"/>
        <v>154737</v>
      </c>
      <c r="E125" s="51">
        <f t="shared" si="13"/>
        <v>167837</v>
      </c>
      <c r="F125" s="52">
        <f t="shared" si="17"/>
        <v>364606</v>
      </c>
      <c r="G125" s="52">
        <f t="shared" si="18"/>
        <v>176409</v>
      </c>
      <c r="H125" s="52">
        <f t="shared" si="19"/>
        <v>188197</v>
      </c>
      <c r="I125" s="697">
        <f t="shared" si="15"/>
        <v>154737</v>
      </c>
      <c r="J125" s="53">
        <f t="shared" si="16"/>
        <v>167837</v>
      </c>
      <c r="K125" s="50">
        <f t="shared" si="20"/>
        <v>33299</v>
      </c>
      <c r="L125" s="51">
        <f t="shared" si="21"/>
        <v>31781</v>
      </c>
      <c r="M125" s="87">
        <v>1557</v>
      </c>
      <c r="N125" s="87">
        <v>1659</v>
      </c>
      <c r="O125" s="87">
        <v>1605</v>
      </c>
      <c r="P125" s="87">
        <v>1707</v>
      </c>
      <c r="Q125" s="87">
        <v>1759</v>
      </c>
      <c r="R125" s="87">
        <v>1813</v>
      </c>
      <c r="S125" s="87">
        <v>1872</v>
      </c>
      <c r="T125" s="87">
        <v>1853</v>
      </c>
      <c r="U125" s="87">
        <v>1915</v>
      </c>
      <c r="V125" s="87">
        <v>1962</v>
      </c>
      <c r="W125" s="87">
        <v>1960</v>
      </c>
      <c r="X125" s="87">
        <v>2010</v>
      </c>
      <c r="Y125" s="87">
        <v>1930</v>
      </c>
      <c r="Z125" s="87">
        <v>1995</v>
      </c>
      <c r="AA125" s="87">
        <v>1958</v>
      </c>
      <c r="AB125" s="87">
        <v>1929</v>
      </c>
      <c r="AC125" s="87">
        <v>1889</v>
      </c>
      <c r="AD125" s="87">
        <v>1926</v>
      </c>
      <c r="AE125" s="87">
        <v>2126</v>
      </c>
      <c r="AF125" s="87">
        <v>3199</v>
      </c>
      <c r="AG125" s="87">
        <v>3135</v>
      </c>
      <c r="AH125" s="87">
        <v>2834</v>
      </c>
      <c r="AI125" s="87">
        <v>2526</v>
      </c>
      <c r="AJ125" s="87">
        <v>2478</v>
      </c>
      <c r="AK125" s="87">
        <v>2322</v>
      </c>
      <c r="AL125" s="87">
        <v>2161</v>
      </c>
      <c r="AM125" s="87">
        <v>1954</v>
      </c>
      <c r="AN125" s="87">
        <v>1990</v>
      </c>
      <c r="AO125" s="87">
        <v>2194</v>
      </c>
      <c r="AP125" s="87">
        <v>2070</v>
      </c>
      <c r="AQ125" s="87">
        <v>2128</v>
      </c>
      <c r="AR125" s="87">
        <v>2214</v>
      </c>
      <c r="AS125" s="87">
        <v>2255</v>
      </c>
      <c r="AT125" s="87">
        <v>2249</v>
      </c>
      <c r="AU125" s="87">
        <v>2119</v>
      </c>
      <c r="AV125" s="87">
        <v>2162</v>
      </c>
      <c r="AW125" s="87">
        <v>2095</v>
      </c>
      <c r="AX125" s="87">
        <v>2091</v>
      </c>
      <c r="AY125" s="87">
        <v>2157</v>
      </c>
      <c r="AZ125" s="87">
        <v>2138</v>
      </c>
      <c r="BA125" s="87">
        <v>2167</v>
      </c>
      <c r="BB125" s="87">
        <v>2152</v>
      </c>
      <c r="BC125" s="87">
        <v>2134</v>
      </c>
      <c r="BD125" s="87">
        <v>2169</v>
      </c>
      <c r="BE125" s="87">
        <v>1941</v>
      </c>
      <c r="BF125" s="87">
        <v>1928</v>
      </c>
      <c r="BG125" s="87">
        <v>1856</v>
      </c>
      <c r="BH125" s="87">
        <v>2014</v>
      </c>
      <c r="BI125" s="87">
        <v>2122</v>
      </c>
      <c r="BJ125" s="87">
        <v>2213</v>
      </c>
      <c r="BK125" s="87">
        <v>2361</v>
      </c>
      <c r="BL125" s="87">
        <v>2455</v>
      </c>
      <c r="BM125" s="87">
        <v>2439</v>
      </c>
      <c r="BN125" s="87">
        <v>2462</v>
      </c>
      <c r="BO125" s="87">
        <v>2491</v>
      </c>
      <c r="BP125" s="87">
        <v>2489</v>
      </c>
      <c r="BQ125" s="87">
        <v>2497</v>
      </c>
      <c r="BR125" s="87">
        <v>2535</v>
      </c>
      <c r="BS125" s="87">
        <v>2579</v>
      </c>
      <c r="BT125" s="87">
        <v>2436</v>
      </c>
      <c r="BU125" s="87">
        <v>2441</v>
      </c>
      <c r="BV125" s="87">
        <v>2398</v>
      </c>
      <c r="BW125" s="87">
        <v>2229</v>
      </c>
      <c r="BX125" s="87">
        <v>2282</v>
      </c>
      <c r="BY125" s="87">
        <v>2218</v>
      </c>
      <c r="BZ125" s="87">
        <v>2064</v>
      </c>
      <c r="CA125" s="87">
        <v>1969</v>
      </c>
      <c r="CB125" s="87">
        <v>1899</v>
      </c>
      <c r="CC125" s="87">
        <v>1917</v>
      </c>
      <c r="CD125" s="87">
        <v>1834</v>
      </c>
      <c r="CE125" s="87">
        <v>1789</v>
      </c>
      <c r="CF125" s="87">
        <v>1898</v>
      </c>
      <c r="CG125" s="87">
        <v>1869</v>
      </c>
      <c r="CH125" s="87">
        <v>1852</v>
      </c>
      <c r="CI125" s="87">
        <v>1920</v>
      </c>
      <c r="CJ125" s="87">
        <v>2159</v>
      </c>
      <c r="CK125" s="87">
        <v>1589</v>
      </c>
      <c r="CL125" s="87">
        <v>1480</v>
      </c>
      <c r="CM125" s="87">
        <v>1412</v>
      </c>
      <c r="CN125" s="87">
        <v>1252</v>
      </c>
      <c r="CO125" s="87">
        <v>1133</v>
      </c>
      <c r="CP125" s="87">
        <v>895</v>
      </c>
      <c r="CQ125" s="87">
        <v>914</v>
      </c>
      <c r="CR125" s="87">
        <v>872</v>
      </c>
      <c r="CS125" s="87">
        <v>819</v>
      </c>
      <c r="CT125" s="87">
        <v>734</v>
      </c>
      <c r="CU125" s="87">
        <v>656</v>
      </c>
      <c r="CV125" s="87">
        <v>540</v>
      </c>
      <c r="CW125" s="87">
        <v>444</v>
      </c>
      <c r="CX125" s="87">
        <v>384</v>
      </c>
      <c r="CY125" s="87">
        <v>1211</v>
      </c>
      <c r="CZ125" s="88">
        <v>1492</v>
      </c>
      <c r="DA125" s="88">
        <v>1608</v>
      </c>
      <c r="DB125" s="88">
        <v>1655</v>
      </c>
      <c r="DC125" s="88">
        <v>1575</v>
      </c>
      <c r="DD125" s="88">
        <v>1670</v>
      </c>
      <c r="DE125" s="88">
        <v>1646</v>
      </c>
      <c r="DF125" s="88">
        <v>1715</v>
      </c>
      <c r="DG125" s="88">
        <v>1752</v>
      </c>
      <c r="DH125" s="88">
        <v>1777</v>
      </c>
      <c r="DI125" s="88">
        <v>1721</v>
      </c>
      <c r="DJ125" s="88">
        <v>1946</v>
      </c>
      <c r="DK125" s="88">
        <v>1803</v>
      </c>
      <c r="DL125" s="88">
        <v>1941</v>
      </c>
      <c r="DM125" s="88">
        <v>1928</v>
      </c>
      <c r="DN125" s="88">
        <v>1972</v>
      </c>
      <c r="DO125" s="88">
        <v>1876</v>
      </c>
      <c r="DP125" s="88">
        <v>1853</v>
      </c>
      <c r="DQ125" s="88">
        <v>1851</v>
      </c>
      <c r="DR125" s="88">
        <v>2285</v>
      </c>
      <c r="DS125" s="88">
        <v>4082</v>
      </c>
      <c r="DT125" s="88">
        <v>3879</v>
      </c>
      <c r="DU125" s="88">
        <v>3356</v>
      </c>
      <c r="DV125" s="88">
        <v>2643</v>
      </c>
      <c r="DW125" s="88">
        <v>2496</v>
      </c>
      <c r="DX125" s="88">
        <v>2570</v>
      </c>
      <c r="DY125" s="88">
        <v>2257</v>
      </c>
      <c r="DZ125" s="88">
        <v>2157</v>
      </c>
      <c r="EA125" s="88">
        <v>2226</v>
      </c>
      <c r="EB125" s="88">
        <v>2289</v>
      </c>
      <c r="EC125" s="88">
        <v>2094</v>
      </c>
      <c r="ED125" s="88">
        <v>2299</v>
      </c>
      <c r="EE125" s="88">
        <v>2265</v>
      </c>
      <c r="EF125" s="88">
        <v>2376</v>
      </c>
      <c r="EG125" s="88">
        <v>2322</v>
      </c>
      <c r="EH125" s="88">
        <v>2307</v>
      </c>
      <c r="EI125" s="88">
        <v>2319</v>
      </c>
      <c r="EJ125" s="88">
        <v>2213</v>
      </c>
      <c r="EK125" s="88">
        <v>2267</v>
      </c>
      <c r="EL125" s="88">
        <v>2159</v>
      </c>
      <c r="EM125" s="88">
        <v>2181</v>
      </c>
      <c r="EN125" s="88">
        <v>2259</v>
      </c>
      <c r="EO125" s="88">
        <v>2333</v>
      </c>
      <c r="EP125" s="88">
        <v>2163</v>
      </c>
      <c r="EQ125" s="88">
        <v>2227</v>
      </c>
      <c r="ER125" s="88">
        <v>2064</v>
      </c>
      <c r="ES125" s="88">
        <v>1999</v>
      </c>
      <c r="ET125" s="88">
        <v>2006</v>
      </c>
      <c r="EU125" s="88">
        <v>2161</v>
      </c>
      <c r="EV125" s="88">
        <v>2202</v>
      </c>
      <c r="EW125" s="88">
        <v>2279</v>
      </c>
      <c r="EX125" s="88">
        <v>2449</v>
      </c>
      <c r="EY125" s="88">
        <v>2643</v>
      </c>
      <c r="EZ125" s="88">
        <v>2624</v>
      </c>
      <c r="FA125" s="88">
        <v>2596</v>
      </c>
      <c r="FB125" s="88">
        <v>2591</v>
      </c>
      <c r="FC125" s="88">
        <v>2603</v>
      </c>
      <c r="FD125" s="88">
        <v>2534</v>
      </c>
      <c r="FE125" s="88">
        <v>2659</v>
      </c>
      <c r="FF125" s="88">
        <v>2666</v>
      </c>
      <c r="FG125" s="88">
        <v>2544</v>
      </c>
      <c r="FH125" s="88">
        <v>2594</v>
      </c>
      <c r="FI125" s="88">
        <v>2441</v>
      </c>
      <c r="FJ125" s="88">
        <v>2383</v>
      </c>
      <c r="FK125" s="88">
        <v>2225</v>
      </c>
      <c r="FL125" s="88">
        <v>2221</v>
      </c>
      <c r="FM125" s="88">
        <v>2110</v>
      </c>
      <c r="FN125" s="88">
        <v>2072</v>
      </c>
      <c r="FO125" s="88">
        <v>2046</v>
      </c>
      <c r="FP125" s="88">
        <v>2048</v>
      </c>
      <c r="FQ125" s="88">
        <v>1929</v>
      </c>
      <c r="FR125" s="88">
        <v>1950</v>
      </c>
      <c r="FS125" s="88">
        <v>1965</v>
      </c>
      <c r="FT125" s="88">
        <v>2011</v>
      </c>
      <c r="FU125" s="88">
        <v>2091</v>
      </c>
      <c r="FV125" s="88">
        <v>2221</v>
      </c>
      <c r="FW125" s="88">
        <v>2423</v>
      </c>
      <c r="FX125" s="88">
        <v>1732</v>
      </c>
      <c r="FY125" s="88">
        <v>1763</v>
      </c>
      <c r="FZ125" s="88">
        <v>1639</v>
      </c>
      <c r="GA125" s="88">
        <v>1503</v>
      </c>
      <c r="GB125" s="88">
        <v>1296</v>
      </c>
      <c r="GC125" s="88">
        <v>1101</v>
      </c>
      <c r="GD125" s="88">
        <v>1215</v>
      </c>
      <c r="GE125" s="88">
        <v>1154</v>
      </c>
      <c r="GF125" s="88">
        <v>1094</v>
      </c>
      <c r="GG125" s="88">
        <v>996</v>
      </c>
      <c r="GH125" s="88">
        <v>898</v>
      </c>
      <c r="GI125" s="88">
        <v>807</v>
      </c>
      <c r="GJ125" s="88">
        <v>712</v>
      </c>
      <c r="GK125" s="88">
        <v>593</v>
      </c>
      <c r="GL125" s="89">
        <v>2539</v>
      </c>
    </row>
    <row r="126" spans="1:194" s="1" customFormat="1" x14ac:dyDescent="0.2">
      <c r="A126" s="90" t="s">
        <v>94</v>
      </c>
      <c r="B126" s="146" t="s">
        <v>211</v>
      </c>
      <c r="C126" s="30" t="str">
        <f t="shared" si="14"/>
        <v xml:space="preserve">England – CCGs - Wakefield </v>
      </c>
      <c r="D126" s="51">
        <f t="shared" si="13"/>
        <v>150371</v>
      </c>
      <c r="E126" s="51">
        <f t="shared" si="13"/>
        <v>157384</v>
      </c>
      <c r="F126" s="52">
        <f t="shared" si="17"/>
        <v>357729</v>
      </c>
      <c r="G126" s="52">
        <f t="shared" si="18"/>
        <v>176034</v>
      </c>
      <c r="H126" s="52">
        <f t="shared" si="19"/>
        <v>181695</v>
      </c>
      <c r="I126" s="697">
        <f t="shared" si="15"/>
        <v>150371</v>
      </c>
      <c r="J126" s="53">
        <f t="shared" si="16"/>
        <v>157384</v>
      </c>
      <c r="K126" s="50">
        <f t="shared" si="20"/>
        <v>38413</v>
      </c>
      <c r="L126" s="51">
        <f t="shared" si="21"/>
        <v>36365</v>
      </c>
      <c r="M126" s="87">
        <v>1955</v>
      </c>
      <c r="N126" s="87">
        <v>2042</v>
      </c>
      <c r="O126" s="87">
        <v>2121</v>
      </c>
      <c r="P126" s="87">
        <v>2092</v>
      </c>
      <c r="Q126" s="87">
        <v>2074</v>
      </c>
      <c r="R126" s="87">
        <v>2147</v>
      </c>
      <c r="S126" s="87">
        <v>2216</v>
      </c>
      <c r="T126" s="87">
        <v>2090</v>
      </c>
      <c r="U126" s="87">
        <v>2238</v>
      </c>
      <c r="V126" s="87">
        <v>2218</v>
      </c>
      <c r="W126" s="87">
        <v>2204</v>
      </c>
      <c r="X126" s="87">
        <v>2266</v>
      </c>
      <c r="Y126" s="87">
        <v>2244</v>
      </c>
      <c r="Z126" s="87">
        <v>2149</v>
      </c>
      <c r="AA126" s="87">
        <v>2156</v>
      </c>
      <c r="AB126" s="87">
        <v>2067</v>
      </c>
      <c r="AC126" s="87">
        <v>2089</v>
      </c>
      <c r="AD126" s="87">
        <v>2045</v>
      </c>
      <c r="AE126" s="87">
        <v>2006</v>
      </c>
      <c r="AF126" s="87">
        <v>1485</v>
      </c>
      <c r="AG126" s="87">
        <v>1480</v>
      </c>
      <c r="AH126" s="87">
        <v>1550</v>
      </c>
      <c r="AI126" s="87">
        <v>1789</v>
      </c>
      <c r="AJ126" s="87">
        <v>1884</v>
      </c>
      <c r="AK126" s="87">
        <v>1863</v>
      </c>
      <c r="AL126" s="87">
        <v>2199</v>
      </c>
      <c r="AM126" s="87">
        <v>2149</v>
      </c>
      <c r="AN126" s="87">
        <v>2242</v>
      </c>
      <c r="AO126" s="87">
        <v>2282</v>
      </c>
      <c r="AP126" s="87">
        <v>2450</v>
      </c>
      <c r="AQ126" s="87">
        <v>2617</v>
      </c>
      <c r="AR126" s="87">
        <v>2526</v>
      </c>
      <c r="AS126" s="87">
        <v>2484</v>
      </c>
      <c r="AT126" s="87">
        <v>2501</v>
      </c>
      <c r="AU126" s="87">
        <v>2539</v>
      </c>
      <c r="AV126" s="87">
        <v>2495</v>
      </c>
      <c r="AW126" s="87">
        <v>2541</v>
      </c>
      <c r="AX126" s="87">
        <v>2491</v>
      </c>
      <c r="AY126" s="87">
        <v>2326</v>
      </c>
      <c r="AZ126" s="87">
        <v>2320</v>
      </c>
      <c r="BA126" s="87">
        <v>2238</v>
      </c>
      <c r="BB126" s="87">
        <v>2256</v>
      </c>
      <c r="BC126" s="87">
        <v>2256</v>
      </c>
      <c r="BD126" s="87">
        <v>2058</v>
      </c>
      <c r="BE126" s="87">
        <v>1975</v>
      </c>
      <c r="BF126" s="87">
        <v>1939</v>
      </c>
      <c r="BG126" s="87">
        <v>2088</v>
      </c>
      <c r="BH126" s="87">
        <v>2123</v>
      </c>
      <c r="BI126" s="87">
        <v>2155</v>
      </c>
      <c r="BJ126" s="87">
        <v>2325</v>
      </c>
      <c r="BK126" s="87">
        <v>2427</v>
      </c>
      <c r="BL126" s="87">
        <v>2669</v>
      </c>
      <c r="BM126" s="87">
        <v>2687</v>
      </c>
      <c r="BN126" s="87">
        <v>2533</v>
      </c>
      <c r="BO126" s="87">
        <v>2680</v>
      </c>
      <c r="BP126" s="87">
        <v>2577</v>
      </c>
      <c r="BQ126" s="87">
        <v>2570</v>
      </c>
      <c r="BR126" s="87">
        <v>2500</v>
      </c>
      <c r="BS126" s="87">
        <v>2508</v>
      </c>
      <c r="BT126" s="87">
        <v>2422</v>
      </c>
      <c r="BU126" s="87">
        <v>2378</v>
      </c>
      <c r="BV126" s="87">
        <v>2289</v>
      </c>
      <c r="BW126" s="87">
        <v>2154</v>
      </c>
      <c r="BX126" s="87">
        <v>2148</v>
      </c>
      <c r="BY126" s="87">
        <v>2117</v>
      </c>
      <c r="BZ126" s="87">
        <v>1931</v>
      </c>
      <c r="CA126" s="87">
        <v>1871</v>
      </c>
      <c r="CB126" s="87">
        <v>1799</v>
      </c>
      <c r="CC126" s="87">
        <v>1787</v>
      </c>
      <c r="CD126" s="87">
        <v>1724</v>
      </c>
      <c r="CE126" s="87">
        <v>1640</v>
      </c>
      <c r="CF126" s="87">
        <v>1673</v>
      </c>
      <c r="CG126" s="87">
        <v>1685</v>
      </c>
      <c r="CH126" s="87">
        <v>1747</v>
      </c>
      <c r="CI126" s="87">
        <v>1698</v>
      </c>
      <c r="CJ126" s="87">
        <v>1858</v>
      </c>
      <c r="CK126" s="87">
        <v>1394</v>
      </c>
      <c r="CL126" s="87">
        <v>1279</v>
      </c>
      <c r="CM126" s="87">
        <v>1317</v>
      </c>
      <c r="CN126" s="87">
        <v>1163</v>
      </c>
      <c r="CO126" s="87">
        <v>896</v>
      </c>
      <c r="CP126" s="87">
        <v>807</v>
      </c>
      <c r="CQ126" s="87">
        <v>752</v>
      </c>
      <c r="CR126" s="87">
        <v>730</v>
      </c>
      <c r="CS126" s="87">
        <v>691</v>
      </c>
      <c r="CT126" s="87">
        <v>571</v>
      </c>
      <c r="CU126" s="87">
        <v>485</v>
      </c>
      <c r="CV126" s="87">
        <v>428</v>
      </c>
      <c r="CW126" s="87">
        <v>328</v>
      </c>
      <c r="CX126" s="87">
        <v>285</v>
      </c>
      <c r="CY126" s="87">
        <v>791</v>
      </c>
      <c r="CZ126" s="88">
        <v>1849</v>
      </c>
      <c r="DA126" s="88">
        <v>1898</v>
      </c>
      <c r="DB126" s="88">
        <v>1977</v>
      </c>
      <c r="DC126" s="88">
        <v>2036</v>
      </c>
      <c r="DD126" s="88">
        <v>2011</v>
      </c>
      <c r="DE126" s="88">
        <v>2049</v>
      </c>
      <c r="DF126" s="88">
        <v>2055</v>
      </c>
      <c r="DG126" s="88">
        <v>2067</v>
      </c>
      <c r="DH126" s="88">
        <v>1997</v>
      </c>
      <c r="DI126" s="88">
        <v>2140</v>
      </c>
      <c r="DJ126" s="88">
        <v>2127</v>
      </c>
      <c r="DK126" s="88">
        <v>2105</v>
      </c>
      <c r="DL126" s="88">
        <v>2117</v>
      </c>
      <c r="DM126" s="88">
        <v>2026</v>
      </c>
      <c r="DN126" s="88">
        <v>2053</v>
      </c>
      <c r="DO126" s="88">
        <v>2041</v>
      </c>
      <c r="DP126" s="88">
        <v>1939</v>
      </c>
      <c r="DQ126" s="88">
        <v>1878</v>
      </c>
      <c r="DR126" s="88">
        <v>1851</v>
      </c>
      <c r="DS126" s="88">
        <v>1333</v>
      </c>
      <c r="DT126" s="88">
        <v>1290</v>
      </c>
      <c r="DU126" s="88">
        <v>1539</v>
      </c>
      <c r="DV126" s="88">
        <v>1762</v>
      </c>
      <c r="DW126" s="88">
        <v>1938</v>
      </c>
      <c r="DX126" s="88">
        <v>2100</v>
      </c>
      <c r="DY126" s="88">
        <v>2177</v>
      </c>
      <c r="DZ126" s="88">
        <v>2315</v>
      </c>
      <c r="EA126" s="88">
        <v>2324</v>
      </c>
      <c r="EB126" s="88">
        <v>2503</v>
      </c>
      <c r="EC126" s="88">
        <v>2568</v>
      </c>
      <c r="ED126" s="88">
        <v>2759</v>
      </c>
      <c r="EE126" s="88">
        <v>2687</v>
      </c>
      <c r="EF126" s="88">
        <v>2679</v>
      </c>
      <c r="EG126" s="88">
        <v>2522</v>
      </c>
      <c r="EH126" s="88">
        <v>2730</v>
      </c>
      <c r="EI126" s="88">
        <v>2657</v>
      </c>
      <c r="EJ126" s="88">
        <v>2593</v>
      </c>
      <c r="EK126" s="88">
        <v>2550</v>
      </c>
      <c r="EL126" s="88">
        <v>2391</v>
      </c>
      <c r="EM126" s="88">
        <v>2362</v>
      </c>
      <c r="EN126" s="88">
        <v>2366</v>
      </c>
      <c r="EO126" s="88">
        <v>2286</v>
      </c>
      <c r="EP126" s="88">
        <v>2355</v>
      </c>
      <c r="EQ126" s="88">
        <v>2190</v>
      </c>
      <c r="ER126" s="88">
        <v>1939</v>
      </c>
      <c r="ES126" s="88">
        <v>1806</v>
      </c>
      <c r="ET126" s="88">
        <v>2067</v>
      </c>
      <c r="EU126" s="88">
        <v>2158</v>
      </c>
      <c r="EV126" s="88">
        <v>2128</v>
      </c>
      <c r="EW126" s="88">
        <v>2362</v>
      </c>
      <c r="EX126" s="88">
        <v>2535</v>
      </c>
      <c r="EY126" s="88">
        <v>2642</v>
      </c>
      <c r="EZ126" s="88">
        <v>2617</v>
      </c>
      <c r="FA126" s="88">
        <v>2639</v>
      </c>
      <c r="FB126" s="88">
        <v>2702</v>
      </c>
      <c r="FC126" s="88">
        <v>2705</v>
      </c>
      <c r="FD126" s="88">
        <v>2614</v>
      </c>
      <c r="FE126" s="88">
        <v>2565</v>
      </c>
      <c r="FF126" s="88">
        <v>2526</v>
      </c>
      <c r="FG126" s="88">
        <v>2482</v>
      </c>
      <c r="FH126" s="88">
        <v>2406</v>
      </c>
      <c r="FI126" s="88">
        <v>2330</v>
      </c>
      <c r="FJ126" s="88">
        <v>2221</v>
      </c>
      <c r="FK126" s="88">
        <v>2225</v>
      </c>
      <c r="FL126" s="88">
        <v>2125</v>
      </c>
      <c r="FM126" s="88">
        <v>2003</v>
      </c>
      <c r="FN126" s="88">
        <v>2010</v>
      </c>
      <c r="FO126" s="88">
        <v>1878</v>
      </c>
      <c r="FP126" s="88">
        <v>1904</v>
      </c>
      <c r="FQ126" s="88">
        <v>1869</v>
      </c>
      <c r="FR126" s="88">
        <v>1731</v>
      </c>
      <c r="FS126" s="88">
        <v>1782</v>
      </c>
      <c r="FT126" s="88">
        <v>1868</v>
      </c>
      <c r="FU126" s="88">
        <v>1847</v>
      </c>
      <c r="FV126" s="88">
        <v>1938</v>
      </c>
      <c r="FW126" s="88">
        <v>2058</v>
      </c>
      <c r="FX126" s="88">
        <v>1562</v>
      </c>
      <c r="FY126" s="88">
        <v>1513</v>
      </c>
      <c r="FZ126" s="88">
        <v>1453</v>
      </c>
      <c r="GA126" s="88">
        <v>1308</v>
      </c>
      <c r="GB126" s="88">
        <v>1098</v>
      </c>
      <c r="GC126" s="88">
        <v>1039</v>
      </c>
      <c r="GD126" s="88">
        <v>993</v>
      </c>
      <c r="GE126" s="88">
        <v>966</v>
      </c>
      <c r="GF126" s="88">
        <v>895</v>
      </c>
      <c r="GG126" s="88">
        <v>788</v>
      </c>
      <c r="GH126" s="88">
        <v>705</v>
      </c>
      <c r="GI126" s="88">
        <v>606</v>
      </c>
      <c r="GJ126" s="88">
        <v>627</v>
      </c>
      <c r="GK126" s="88">
        <v>476</v>
      </c>
      <c r="GL126" s="89">
        <v>1792</v>
      </c>
    </row>
    <row r="127" spans="1:194" s="1" customFormat="1" x14ac:dyDescent="0.2">
      <c r="A127" s="90" t="s">
        <v>94</v>
      </c>
      <c r="B127" s="146" t="s">
        <v>212</v>
      </c>
      <c r="C127" s="30" t="str">
        <f t="shared" si="14"/>
        <v xml:space="preserve">England – CCGs - Warrington </v>
      </c>
      <c r="D127" s="51">
        <f t="shared" si="13"/>
        <v>90188</v>
      </c>
      <c r="E127" s="51">
        <f t="shared" si="13"/>
        <v>93221</v>
      </c>
      <c r="F127" s="52">
        <f t="shared" si="17"/>
        <v>211580</v>
      </c>
      <c r="G127" s="52">
        <f t="shared" si="18"/>
        <v>104613</v>
      </c>
      <c r="H127" s="52">
        <f t="shared" si="19"/>
        <v>106967</v>
      </c>
      <c r="I127" s="697">
        <f t="shared" si="15"/>
        <v>90188</v>
      </c>
      <c r="J127" s="53">
        <f t="shared" si="16"/>
        <v>93221</v>
      </c>
      <c r="K127" s="50">
        <f t="shared" si="20"/>
        <v>22329</v>
      </c>
      <c r="L127" s="51">
        <f t="shared" si="21"/>
        <v>21139</v>
      </c>
      <c r="M127" s="87">
        <v>1018</v>
      </c>
      <c r="N127" s="87">
        <v>1014</v>
      </c>
      <c r="O127" s="87">
        <v>1105</v>
      </c>
      <c r="P127" s="87">
        <v>1098</v>
      </c>
      <c r="Q127" s="87">
        <v>1173</v>
      </c>
      <c r="R127" s="87">
        <v>1167</v>
      </c>
      <c r="S127" s="87">
        <v>1253</v>
      </c>
      <c r="T127" s="87">
        <v>1260</v>
      </c>
      <c r="U127" s="87">
        <v>1335</v>
      </c>
      <c r="V127" s="87">
        <v>1334</v>
      </c>
      <c r="W127" s="87">
        <v>1381</v>
      </c>
      <c r="X127" s="87">
        <v>1287</v>
      </c>
      <c r="Y127" s="87">
        <v>1405</v>
      </c>
      <c r="Z127" s="87">
        <v>1344</v>
      </c>
      <c r="AA127" s="87">
        <v>1347</v>
      </c>
      <c r="AB127" s="87">
        <v>1306</v>
      </c>
      <c r="AC127" s="87">
        <v>1248</v>
      </c>
      <c r="AD127" s="87">
        <v>1254</v>
      </c>
      <c r="AE127" s="87">
        <v>1168</v>
      </c>
      <c r="AF127" s="87">
        <v>811</v>
      </c>
      <c r="AG127" s="87">
        <v>838</v>
      </c>
      <c r="AH127" s="87">
        <v>932</v>
      </c>
      <c r="AI127" s="87">
        <v>1058</v>
      </c>
      <c r="AJ127" s="87">
        <v>1133</v>
      </c>
      <c r="AK127" s="87">
        <v>1140</v>
      </c>
      <c r="AL127" s="87">
        <v>1259</v>
      </c>
      <c r="AM127" s="87">
        <v>1202</v>
      </c>
      <c r="AN127" s="87">
        <v>1194</v>
      </c>
      <c r="AO127" s="87">
        <v>1224</v>
      </c>
      <c r="AP127" s="87">
        <v>1304</v>
      </c>
      <c r="AQ127" s="87">
        <v>1315</v>
      </c>
      <c r="AR127" s="87">
        <v>1422</v>
      </c>
      <c r="AS127" s="87">
        <v>1336</v>
      </c>
      <c r="AT127" s="87">
        <v>1371</v>
      </c>
      <c r="AU127" s="87">
        <v>1384</v>
      </c>
      <c r="AV127" s="87">
        <v>1378</v>
      </c>
      <c r="AW127" s="87">
        <v>1411</v>
      </c>
      <c r="AX127" s="87">
        <v>1433</v>
      </c>
      <c r="AY127" s="87">
        <v>1430</v>
      </c>
      <c r="AZ127" s="87">
        <v>1376</v>
      </c>
      <c r="BA127" s="87">
        <v>1406</v>
      </c>
      <c r="BB127" s="87">
        <v>1390</v>
      </c>
      <c r="BC127" s="87">
        <v>1481</v>
      </c>
      <c r="BD127" s="87">
        <v>1395</v>
      </c>
      <c r="BE127" s="87">
        <v>1314</v>
      </c>
      <c r="BF127" s="87">
        <v>1233</v>
      </c>
      <c r="BG127" s="87">
        <v>1294</v>
      </c>
      <c r="BH127" s="87">
        <v>1389</v>
      </c>
      <c r="BI127" s="87">
        <v>1386</v>
      </c>
      <c r="BJ127" s="87">
        <v>1509</v>
      </c>
      <c r="BK127" s="87">
        <v>1519</v>
      </c>
      <c r="BL127" s="87">
        <v>1593</v>
      </c>
      <c r="BM127" s="87">
        <v>1569</v>
      </c>
      <c r="BN127" s="87">
        <v>1558</v>
      </c>
      <c r="BO127" s="87">
        <v>1553</v>
      </c>
      <c r="BP127" s="87">
        <v>1621</v>
      </c>
      <c r="BQ127" s="87">
        <v>1670</v>
      </c>
      <c r="BR127" s="87">
        <v>1597</v>
      </c>
      <c r="BS127" s="87">
        <v>1571</v>
      </c>
      <c r="BT127" s="87">
        <v>1571</v>
      </c>
      <c r="BU127" s="87">
        <v>1455</v>
      </c>
      <c r="BV127" s="87">
        <v>1420</v>
      </c>
      <c r="BW127" s="87">
        <v>1296</v>
      </c>
      <c r="BX127" s="87">
        <v>1271</v>
      </c>
      <c r="BY127" s="87">
        <v>1182</v>
      </c>
      <c r="BZ127" s="87">
        <v>1197</v>
      </c>
      <c r="CA127" s="87">
        <v>1097</v>
      </c>
      <c r="CB127" s="87">
        <v>1062</v>
      </c>
      <c r="CC127" s="87">
        <v>997</v>
      </c>
      <c r="CD127" s="87">
        <v>1057</v>
      </c>
      <c r="CE127" s="87">
        <v>961</v>
      </c>
      <c r="CF127" s="87">
        <v>945</v>
      </c>
      <c r="CG127" s="87">
        <v>1020</v>
      </c>
      <c r="CH127" s="87">
        <v>1012</v>
      </c>
      <c r="CI127" s="87">
        <v>953</v>
      </c>
      <c r="CJ127" s="87">
        <v>1073</v>
      </c>
      <c r="CK127" s="87">
        <v>815</v>
      </c>
      <c r="CL127" s="87">
        <v>821</v>
      </c>
      <c r="CM127" s="87">
        <v>761</v>
      </c>
      <c r="CN127" s="87">
        <v>703</v>
      </c>
      <c r="CO127" s="87">
        <v>563</v>
      </c>
      <c r="CP127" s="87">
        <v>489</v>
      </c>
      <c r="CQ127" s="87">
        <v>538</v>
      </c>
      <c r="CR127" s="87">
        <v>491</v>
      </c>
      <c r="CS127" s="87">
        <v>446</v>
      </c>
      <c r="CT127" s="87">
        <v>370</v>
      </c>
      <c r="CU127" s="87">
        <v>309</v>
      </c>
      <c r="CV127" s="87">
        <v>272</v>
      </c>
      <c r="CW127" s="87">
        <v>244</v>
      </c>
      <c r="CX127" s="87">
        <v>182</v>
      </c>
      <c r="CY127" s="87">
        <v>544</v>
      </c>
      <c r="CZ127" s="88">
        <v>961</v>
      </c>
      <c r="DA127" s="88">
        <v>956</v>
      </c>
      <c r="DB127" s="88">
        <v>1052</v>
      </c>
      <c r="DC127" s="88">
        <v>1110</v>
      </c>
      <c r="DD127" s="88">
        <v>1081</v>
      </c>
      <c r="DE127" s="88">
        <v>1099</v>
      </c>
      <c r="DF127" s="88">
        <v>1178</v>
      </c>
      <c r="DG127" s="88">
        <v>1226</v>
      </c>
      <c r="DH127" s="88">
        <v>1222</v>
      </c>
      <c r="DI127" s="88">
        <v>1218</v>
      </c>
      <c r="DJ127" s="88">
        <v>1277</v>
      </c>
      <c r="DK127" s="88">
        <v>1366</v>
      </c>
      <c r="DL127" s="88">
        <v>1224</v>
      </c>
      <c r="DM127" s="88">
        <v>1304</v>
      </c>
      <c r="DN127" s="88">
        <v>1289</v>
      </c>
      <c r="DO127" s="88">
        <v>1216</v>
      </c>
      <c r="DP127" s="88">
        <v>1171</v>
      </c>
      <c r="DQ127" s="88">
        <v>1189</v>
      </c>
      <c r="DR127" s="88">
        <v>1110</v>
      </c>
      <c r="DS127" s="88">
        <v>681</v>
      </c>
      <c r="DT127" s="88">
        <v>708</v>
      </c>
      <c r="DU127" s="88">
        <v>815</v>
      </c>
      <c r="DV127" s="88">
        <v>1020</v>
      </c>
      <c r="DW127" s="88">
        <v>1136</v>
      </c>
      <c r="DX127" s="88">
        <v>1133</v>
      </c>
      <c r="DY127" s="88">
        <v>1191</v>
      </c>
      <c r="DZ127" s="88">
        <v>1202</v>
      </c>
      <c r="EA127" s="88">
        <v>1166</v>
      </c>
      <c r="EB127" s="88">
        <v>1210</v>
      </c>
      <c r="EC127" s="88">
        <v>1262</v>
      </c>
      <c r="ED127" s="88">
        <v>1367</v>
      </c>
      <c r="EE127" s="88">
        <v>1476</v>
      </c>
      <c r="EF127" s="88">
        <v>1384</v>
      </c>
      <c r="EG127" s="88">
        <v>1374</v>
      </c>
      <c r="EH127" s="88">
        <v>1500</v>
      </c>
      <c r="EI127" s="88">
        <v>1393</v>
      </c>
      <c r="EJ127" s="88">
        <v>1489</v>
      </c>
      <c r="EK127" s="88">
        <v>1467</v>
      </c>
      <c r="EL127" s="88">
        <v>1456</v>
      </c>
      <c r="EM127" s="88">
        <v>1430</v>
      </c>
      <c r="EN127" s="88">
        <v>1464</v>
      </c>
      <c r="EO127" s="88">
        <v>1465</v>
      </c>
      <c r="EP127" s="88">
        <v>1485</v>
      </c>
      <c r="EQ127" s="88">
        <v>1399</v>
      </c>
      <c r="ER127" s="88">
        <v>1270</v>
      </c>
      <c r="ES127" s="88">
        <v>1307</v>
      </c>
      <c r="ET127" s="88">
        <v>1371</v>
      </c>
      <c r="EU127" s="88">
        <v>1323</v>
      </c>
      <c r="EV127" s="88">
        <v>1364</v>
      </c>
      <c r="EW127" s="88">
        <v>1502</v>
      </c>
      <c r="EX127" s="88">
        <v>1467</v>
      </c>
      <c r="EY127" s="88">
        <v>1615</v>
      </c>
      <c r="EZ127" s="88">
        <v>1636</v>
      </c>
      <c r="FA127" s="88">
        <v>1596</v>
      </c>
      <c r="FB127" s="88">
        <v>1511</v>
      </c>
      <c r="FC127" s="88">
        <v>1639</v>
      </c>
      <c r="FD127" s="88">
        <v>1619</v>
      </c>
      <c r="FE127" s="88">
        <v>1607</v>
      </c>
      <c r="FF127" s="88">
        <v>1581</v>
      </c>
      <c r="FG127" s="88">
        <v>1565</v>
      </c>
      <c r="FH127" s="88">
        <v>1537</v>
      </c>
      <c r="FI127" s="88">
        <v>1427</v>
      </c>
      <c r="FJ127" s="88">
        <v>1326</v>
      </c>
      <c r="FK127" s="88">
        <v>1346</v>
      </c>
      <c r="FL127" s="88">
        <v>1243</v>
      </c>
      <c r="FM127" s="88">
        <v>1169</v>
      </c>
      <c r="FN127" s="88">
        <v>1095</v>
      </c>
      <c r="FO127" s="88">
        <v>1057</v>
      </c>
      <c r="FP127" s="88">
        <v>1120</v>
      </c>
      <c r="FQ127" s="88">
        <v>1064</v>
      </c>
      <c r="FR127" s="88">
        <v>1017</v>
      </c>
      <c r="FS127" s="88">
        <v>1061</v>
      </c>
      <c r="FT127" s="88">
        <v>1019</v>
      </c>
      <c r="FU127" s="88">
        <v>1022</v>
      </c>
      <c r="FV127" s="88">
        <v>1174</v>
      </c>
      <c r="FW127" s="88">
        <v>1316</v>
      </c>
      <c r="FX127" s="88">
        <v>939</v>
      </c>
      <c r="FY127" s="88">
        <v>898</v>
      </c>
      <c r="FZ127" s="88">
        <v>916</v>
      </c>
      <c r="GA127" s="88">
        <v>805</v>
      </c>
      <c r="GB127" s="88">
        <v>810</v>
      </c>
      <c r="GC127" s="88">
        <v>682</v>
      </c>
      <c r="GD127" s="88">
        <v>658</v>
      </c>
      <c r="GE127" s="88">
        <v>685</v>
      </c>
      <c r="GF127" s="88">
        <v>569</v>
      </c>
      <c r="GG127" s="88">
        <v>531</v>
      </c>
      <c r="GH127" s="88">
        <v>465</v>
      </c>
      <c r="GI127" s="88">
        <v>363</v>
      </c>
      <c r="GJ127" s="88">
        <v>332</v>
      </c>
      <c r="GK127" s="88">
        <v>302</v>
      </c>
      <c r="GL127" s="89">
        <v>1124</v>
      </c>
    </row>
    <row r="128" spans="1:194" s="1" customFormat="1" x14ac:dyDescent="0.2">
      <c r="A128" s="90" t="s">
        <v>94</v>
      </c>
      <c r="B128" s="146" t="s">
        <v>213</v>
      </c>
      <c r="C128" s="30" t="str">
        <f t="shared" si="14"/>
        <v xml:space="preserve">England – CCGs - West Essex </v>
      </c>
      <c r="D128" s="51">
        <f t="shared" si="13"/>
        <v>132282</v>
      </c>
      <c r="E128" s="51">
        <f t="shared" si="13"/>
        <v>142197</v>
      </c>
      <c r="F128" s="52">
        <f t="shared" si="17"/>
        <v>321976</v>
      </c>
      <c r="G128" s="52">
        <f t="shared" si="18"/>
        <v>156557</v>
      </c>
      <c r="H128" s="52">
        <f t="shared" si="19"/>
        <v>165419</v>
      </c>
      <c r="I128" s="697">
        <f t="shared" si="15"/>
        <v>132282</v>
      </c>
      <c r="J128" s="53">
        <f t="shared" si="16"/>
        <v>142197</v>
      </c>
      <c r="K128" s="50">
        <f t="shared" si="20"/>
        <v>36523</v>
      </c>
      <c r="L128" s="51">
        <f t="shared" si="21"/>
        <v>34762</v>
      </c>
      <c r="M128" s="87">
        <v>1916</v>
      </c>
      <c r="N128" s="87">
        <v>1870</v>
      </c>
      <c r="O128" s="87">
        <v>2004</v>
      </c>
      <c r="P128" s="87">
        <v>2123</v>
      </c>
      <c r="Q128" s="87">
        <v>1997</v>
      </c>
      <c r="R128" s="87">
        <v>2069</v>
      </c>
      <c r="S128" s="87">
        <v>2053</v>
      </c>
      <c r="T128" s="87">
        <v>1980</v>
      </c>
      <c r="U128" s="87">
        <v>1952</v>
      </c>
      <c r="V128" s="87">
        <v>2140</v>
      </c>
      <c r="W128" s="87">
        <v>2023</v>
      </c>
      <c r="X128" s="87">
        <v>2148</v>
      </c>
      <c r="Y128" s="87">
        <v>2095</v>
      </c>
      <c r="Z128" s="87">
        <v>2075</v>
      </c>
      <c r="AA128" s="87">
        <v>2113</v>
      </c>
      <c r="AB128" s="87">
        <v>2049</v>
      </c>
      <c r="AC128" s="87">
        <v>1984</v>
      </c>
      <c r="AD128" s="87">
        <v>1932</v>
      </c>
      <c r="AE128" s="87">
        <v>1882</v>
      </c>
      <c r="AF128" s="87">
        <v>1293</v>
      </c>
      <c r="AG128" s="87">
        <v>1448</v>
      </c>
      <c r="AH128" s="87">
        <v>1458</v>
      </c>
      <c r="AI128" s="87">
        <v>1646</v>
      </c>
      <c r="AJ128" s="87">
        <v>1768</v>
      </c>
      <c r="AK128" s="87">
        <v>1696</v>
      </c>
      <c r="AL128" s="87">
        <v>1708</v>
      </c>
      <c r="AM128" s="87">
        <v>1670</v>
      </c>
      <c r="AN128" s="87">
        <v>1757</v>
      </c>
      <c r="AO128" s="87">
        <v>1758</v>
      </c>
      <c r="AP128" s="87">
        <v>1825</v>
      </c>
      <c r="AQ128" s="87">
        <v>1894</v>
      </c>
      <c r="AR128" s="87">
        <v>1963</v>
      </c>
      <c r="AS128" s="87">
        <v>1994</v>
      </c>
      <c r="AT128" s="87">
        <v>2114</v>
      </c>
      <c r="AU128" s="87">
        <v>2094</v>
      </c>
      <c r="AV128" s="87">
        <v>2161</v>
      </c>
      <c r="AW128" s="87">
        <v>2089</v>
      </c>
      <c r="AX128" s="87">
        <v>2141</v>
      </c>
      <c r="AY128" s="87">
        <v>2105</v>
      </c>
      <c r="AZ128" s="87">
        <v>2125</v>
      </c>
      <c r="BA128" s="87">
        <v>2182</v>
      </c>
      <c r="BB128" s="87">
        <v>2248</v>
      </c>
      <c r="BC128" s="87">
        <v>2242</v>
      </c>
      <c r="BD128" s="87">
        <v>2115</v>
      </c>
      <c r="BE128" s="87">
        <v>2015</v>
      </c>
      <c r="BF128" s="87">
        <v>1921</v>
      </c>
      <c r="BG128" s="87">
        <v>1935</v>
      </c>
      <c r="BH128" s="87">
        <v>1956</v>
      </c>
      <c r="BI128" s="87">
        <v>1910</v>
      </c>
      <c r="BJ128" s="87">
        <v>2130</v>
      </c>
      <c r="BK128" s="87">
        <v>2081</v>
      </c>
      <c r="BL128" s="87">
        <v>2280</v>
      </c>
      <c r="BM128" s="87">
        <v>2110</v>
      </c>
      <c r="BN128" s="87">
        <v>2197</v>
      </c>
      <c r="BO128" s="87">
        <v>2141</v>
      </c>
      <c r="BP128" s="87">
        <v>2305</v>
      </c>
      <c r="BQ128" s="87">
        <v>2208</v>
      </c>
      <c r="BR128" s="87">
        <v>2262</v>
      </c>
      <c r="BS128" s="87">
        <v>2138</v>
      </c>
      <c r="BT128" s="87">
        <v>2152</v>
      </c>
      <c r="BU128" s="87">
        <v>2115</v>
      </c>
      <c r="BV128" s="87">
        <v>2047</v>
      </c>
      <c r="BW128" s="87">
        <v>1997</v>
      </c>
      <c r="BX128" s="87">
        <v>1823</v>
      </c>
      <c r="BY128" s="87">
        <v>1770</v>
      </c>
      <c r="BZ128" s="87">
        <v>1669</v>
      </c>
      <c r="CA128" s="87">
        <v>1658</v>
      </c>
      <c r="CB128" s="87">
        <v>1570</v>
      </c>
      <c r="CC128" s="87">
        <v>1436</v>
      </c>
      <c r="CD128" s="87">
        <v>1415</v>
      </c>
      <c r="CE128" s="87">
        <v>1364</v>
      </c>
      <c r="CF128" s="87">
        <v>1318</v>
      </c>
      <c r="CG128" s="87">
        <v>1321</v>
      </c>
      <c r="CH128" s="87">
        <v>1383</v>
      </c>
      <c r="CI128" s="87">
        <v>1470</v>
      </c>
      <c r="CJ128" s="87">
        <v>1633</v>
      </c>
      <c r="CK128" s="87">
        <v>1152</v>
      </c>
      <c r="CL128" s="87">
        <v>1116</v>
      </c>
      <c r="CM128" s="87">
        <v>1111</v>
      </c>
      <c r="CN128" s="87">
        <v>963</v>
      </c>
      <c r="CO128" s="87">
        <v>862</v>
      </c>
      <c r="CP128" s="87">
        <v>683</v>
      </c>
      <c r="CQ128" s="87">
        <v>668</v>
      </c>
      <c r="CR128" s="87">
        <v>671</v>
      </c>
      <c r="CS128" s="87">
        <v>624</v>
      </c>
      <c r="CT128" s="87">
        <v>546</v>
      </c>
      <c r="CU128" s="87">
        <v>444</v>
      </c>
      <c r="CV128" s="87">
        <v>384</v>
      </c>
      <c r="CW128" s="87">
        <v>400</v>
      </c>
      <c r="CX128" s="87">
        <v>289</v>
      </c>
      <c r="CY128" s="87">
        <v>1015</v>
      </c>
      <c r="CZ128" s="88">
        <v>1767</v>
      </c>
      <c r="DA128" s="88">
        <v>1820</v>
      </c>
      <c r="DB128" s="88">
        <v>1934</v>
      </c>
      <c r="DC128" s="88">
        <v>1888</v>
      </c>
      <c r="DD128" s="88">
        <v>1950</v>
      </c>
      <c r="DE128" s="88">
        <v>1923</v>
      </c>
      <c r="DF128" s="88">
        <v>1998</v>
      </c>
      <c r="DG128" s="88">
        <v>1991</v>
      </c>
      <c r="DH128" s="88">
        <v>1959</v>
      </c>
      <c r="DI128" s="88">
        <v>2002</v>
      </c>
      <c r="DJ128" s="88">
        <v>2000</v>
      </c>
      <c r="DK128" s="88">
        <v>1990</v>
      </c>
      <c r="DL128" s="88">
        <v>2035</v>
      </c>
      <c r="DM128" s="88">
        <v>2003</v>
      </c>
      <c r="DN128" s="88">
        <v>1919</v>
      </c>
      <c r="DO128" s="88">
        <v>1955</v>
      </c>
      <c r="DP128" s="88">
        <v>1785</v>
      </c>
      <c r="DQ128" s="88">
        <v>1843</v>
      </c>
      <c r="DR128" s="88">
        <v>1768</v>
      </c>
      <c r="DS128" s="88">
        <v>1156</v>
      </c>
      <c r="DT128" s="88">
        <v>1179</v>
      </c>
      <c r="DU128" s="88">
        <v>1333</v>
      </c>
      <c r="DV128" s="88">
        <v>1550</v>
      </c>
      <c r="DW128" s="88">
        <v>1601</v>
      </c>
      <c r="DX128" s="88">
        <v>1698</v>
      </c>
      <c r="DY128" s="88">
        <v>1720</v>
      </c>
      <c r="DZ128" s="88">
        <v>1702</v>
      </c>
      <c r="EA128" s="88">
        <v>1800</v>
      </c>
      <c r="EB128" s="88">
        <v>1930</v>
      </c>
      <c r="EC128" s="88">
        <v>1962</v>
      </c>
      <c r="ED128" s="88">
        <v>2142</v>
      </c>
      <c r="EE128" s="88">
        <v>2238</v>
      </c>
      <c r="EF128" s="88">
        <v>2427</v>
      </c>
      <c r="EG128" s="88">
        <v>2317</v>
      </c>
      <c r="EH128" s="88">
        <v>2443</v>
      </c>
      <c r="EI128" s="88">
        <v>2485</v>
      </c>
      <c r="EJ128" s="88">
        <v>2327</v>
      </c>
      <c r="EK128" s="88">
        <v>2366</v>
      </c>
      <c r="EL128" s="88">
        <v>2361</v>
      </c>
      <c r="EM128" s="88">
        <v>2323</v>
      </c>
      <c r="EN128" s="88">
        <v>2368</v>
      </c>
      <c r="EO128" s="88">
        <v>2344</v>
      </c>
      <c r="EP128" s="88">
        <v>2316</v>
      </c>
      <c r="EQ128" s="88">
        <v>2333</v>
      </c>
      <c r="ER128" s="88">
        <v>2117</v>
      </c>
      <c r="ES128" s="88">
        <v>2034</v>
      </c>
      <c r="ET128" s="88">
        <v>2017</v>
      </c>
      <c r="EU128" s="88">
        <v>2168</v>
      </c>
      <c r="EV128" s="88">
        <v>2005</v>
      </c>
      <c r="EW128" s="88">
        <v>2163</v>
      </c>
      <c r="EX128" s="88">
        <v>2256</v>
      </c>
      <c r="EY128" s="88">
        <v>2384</v>
      </c>
      <c r="EZ128" s="88">
        <v>2305</v>
      </c>
      <c r="FA128" s="88">
        <v>2346</v>
      </c>
      <c r="FB128" s="88">
        <v>2399</v>
      </c>
      <c r="FC128" s="88">
        <v>2301</v>
      </c>
      <c r="FD128" s="88">
        <v>2368</v>
      </c>
      <c r="FE128" s="88">
        <v>2383</v>
      </c>
      <c r="FF128" s="88">
        <v>2343</v>
      </c>
      <c r="FG128" s="88">
        <v>2241</v>
      </c>
      <c r="FH128" s="88">
        <v>2109</v>
      </c>
      <c r="FI128" s="88">
        <v>2090</v>
      </c>
      <c r="FJ128" s="88">
        <v>2002</v>
      </c>
      <c r="FK128" s="88">
        <v>1893</v>
      </c>
      <c r="FL128" s="88">
        <v>1822</v>
      </c>
      <c r="FM128" s="88">
        <v>1716</v>
      </c>
      <c r="FN128" s="88">
        <v>1690</v>
      </c>
      <c r="FO128" s="88">
        <v>1591</v>
      </c>
      <c r="FP128" s="88">
        <v>1648</v>
      </c>
      <c r="FQ128" s="88">
        <v>1550</v>
      </c>
      <c r="FR128" s="88">
        <v>1552</v>
      </c>
      <c r="FS128" s="88">
        <v>1469</v>
      </c>
      <c r="FT128" s="88">
        <v>1482</v>
      </c>
      <c r="FU128" s="88">
        <v>1483</v>
      </c>
      <c r="FV128" s="88">
        <v>1646</v>
      </c>
      <c r="FW128" s="88">
        <v>1808</v>
      </c>
      <c r="FX128" s="88">
        <v>1336</v>
      </c>
      <c r="FY128" s="88">
        <v>1293</v>
      </c>
      <c r="FZ128" s="88">
        <v>1260</v>
      </c>
      <c r="GA128" s="88">
        <v>1198</v>
      </c>
      <c r="GB128" s="88">
        <v>1036</v>
      </c>
      <c r="GC128" s="88">
        <v>847</v>
      </c>
      <c r="GD128" s="88">
        <v>892</v>
      </c>
      <c r="GE128" s="88">
        <v>948</v>
      </c>
      <c r="GF128" s="88">
        <v>832</v>
      </c>
      <c r="GG128" s="88">
        <v>745</v>
      </c>
      <c r="GH128" s="88">
        <v>663</v>
      </c>
      <c r="GI128" s="88">
        <v>630</v>
      </c>
      <c r="GJ128" s="88">
        <v>606</v>
      </c>
      <c r="GK128" s="88">
        <v>489</v>
      </c>
      <c r="GL128" s="89">
        <v>2312</v>
      </c>
    </row>
    <row r="129" spans="1:194" s="1" customFormat="1" x14ac:dyDescent="0.2">
      <c r="A129" s="90" t="s">
        <v>94</v>
      </c>
      <c r="B129" s="146" t="s">
        <v>214</v>
      </c>
      <c r="C129" s="30" t="str">
        <f t="shared" si="14"/>
        <v xml:space="preserve">England – CCGs - West Lancashire </v>
      </c>
      <c r="D129" s="51">
        <f t="shared" si="13"/>
        <v>50062</v>
      </c>
      <c r="E129" s="51">
        <f t="shared" si="13"/>
        <v>55174</v>
      </c>
      <c r="F129" s="52">
        <f t="shared" si="17"/>
        <v>119367</v>
      </c>
      <c r="G129" s="52">
        <f t="shared" si="18"/>
        <v>57283</v>
      </c>
      <c r="H129" s="52">
        <f t="shared" si="19"/>
        <v>62084</v>
      </c>
      <c r="I129" s="697">
        <f t="shared" si="15"/>
        <v>50062</v>
      </c>
      <c r="J129" s="53">
        <f t="shared" si="16"/>
        <v>55174</v>
      </c>
      <c r="K129" s="50">
        <f t="shared" si="20"/>
        <v>11323</v>
      </c>
      <c r="L129" s="51">
        <f t="shared" si="21"/>
        <v>10819</v>
      </c>
      <c r="M129" s="87">
        <v>543</v>
      </c>
      <c r="N129" s="87">
        <v>512</v>
      </c>
      <c r="O129" s="87">
        <v>545</v>
      </c>
      <c r="P129" s="87">
        <v>579</v>
      </c>
      <c r="Q129" s="87">
        <v>581</v>
      </c>
      <c r="R129" s="87">
        <v>617</v>
      </c>
      <c r="S129" s="87">
        <v>605</v>
      </c>
      <c r="T129" s="87">
        <v>623</v>
      </c>
      <c r="U129" s="87">
        <v>588</v>
      </c>
      <c r="V129" s="87">
        <v>654</v>
      </c>
      <c r="W129" s="87">
        <v>650</v>
      </c>
      <c r="X129" s="87">
        <v>724</v>
      </c>
      <c r="Y129" s="87">
        <v>662</v>
      </c>
      <c r="Z129" s="87">
        <v>689</v>
      </c>
      <c r="AA129" s="87">
        <v>753</v>
      </c>
      <c r="AB129" s="87">
        <v>654</v>
      </c>
      <c r="AC129" s="87">
        <v>692</v>
      </c>
      <c r="AD129" s="87">
        <v>652</v>
      </c>
      <c r="AE129" s="87">
        <v>693</v>
      </c>
      <c r="AF129" s="87">
        <v>1013</v>
      </c>
      <c r="AG129" s="87">
        <v>1067</v>
      </c>
      <c r="AH129" s="87">
        <v>960</v>
      </c>
      <c r="AI129" s="87">
        <v>673</v>
      </c>
      <c r="AJ129" s="87">
        <v>663</v>
      </c>
      <c r="AK129" s="87">
        <v>556</v>
      </c>
      <c r="AL129" s="87">
        <v>638</v>
      </c>
      <c r="AM129" s="87">
        <v>558</v>
      </c>
      <c r="AN129" s="87">
        <v>605</v>
      </c>
      <c r="AO129" s="87">
        <v>640</v>
      </c>
      <c r="AP129" s="87">
        <v>597</v>
      </c>
      <c r="AQ129" s="87">
        <v>582</v>
      </c>
      <c r="AR129" s="87">
        <v>710</v>
      </c>
      <c r="AS129" s="87">
        <v>631</v>
      </c>
      <c r="AT129" s="87">
        <v>663</v>
      </c>
      <c r="AU129" s="87">
        <v>685</v>
      </c>
      <c r="AV129" s="87">
        <v>686</v>
      </c>
      <c r="AW129" s="87">
        <v>655</v>
      </c>
      <c r="AX129" s="87">
        <v>592</v>
      </c>
      <c r="AY129" s="87">
        <v>603</v>
      </c>
      <c r="AZ129" s="87">
        <v>655</v>
      </c>
      <c r="BA129" s="87">
        <v>572</v>
      </c>
      <c r="BB129" s="87">
        <v>641</v>
      </c>
      <c r="BC129" s="87">
        <v>651</v>
      </c>
      <c r="BD129" s="87">
        <v>573</v>
      </c>
      <c r="BE129" s="87">
        <v>616</v>
      </c>
      <c r="BF129" s="87">
        <v>554</v>
      </c>
      <c r="BG129" s="87">
        <v>621</v>
      </c>
      <c r="BH129" s="87">
        <v>627</v>
      </c>
      <c r="BI129" s="87">
        <v>691</v>
      </c>
      <c r="BJ129" s="87">
        <v>710</v>
      </c>
      <c r="BK129" s="87">
        <v>776</v>
      </c>
      <c r="BL129" s="87">
        <v>835</v>
      </c>
      <c r="BM129" s="87">
        <v>815</v>
      </c>
      <c r="BN129" s="87">
        <v>861</v>
      </c>
      <c r="BO129" s="87">
        <v>856</v>
      </c>
      <c r="BP129" s="87">
        <v>831</v>
      </c>
      <c r="BQ129" s="87">
        <v>944</v>
      </c>
      <c r="BR129" s="87">
        <v>943</v>
      </c>
      <c r="BS129" s="87">
        <v>915</v>
      </c>
      <c r="BT129" s="87">
        <v>867</v>
      </c>
      <c r="BU129" s="87">
        <v>837</v>
      </c>
      <c r="BV129" s="87">
        <v>773</v>
      </c>
      <c r="BW129" s="87">
        <v>782</v>
      </c>
      <c r="BX129" s="87">
        <v>734</v>
      </c>
      <c r="BY129" s="87">
        <v>768</v>
      </c>
      <c r="BZ129" s="87">
        <v>707</v>
      </c>
      <c r="CA129" s="87">
        <v>664</v>
      </c>
      <c r="CB129" s="87">
        <v>634</v>
      </c>
      <c r="CC129" s="87">
        <v>628</v>
      </c>
      <c r="CD129" s="87">
        <v>651</v>
      </c>
      <c r="CE129" s="87">
        <v>603</v>
      </c>
      <c r="CF129" s="87">
        <v>633</v>
      </c>
      <c r="CG129" s="87">
        <v>637</v>
      </c>
      <c r="CH129" s="87">
        <v>686</v>
      </c>
      <c r="CI129" s="87">
        <v>670</v>
      </c>
      <c r="CJ129" s="87">
        <v>658</v>
      </c>
      <c r="CK129" s="87">
        <v>545</v>
      </c>
      <c r="CL129" s="87">
        <v>478</v>
      </c>
      <c r="CM129" s="87">
        <v>489</v>
      </c>
      <c r="CN129" s="87">
        <v>468</v>
      </c>
      <c r="CO129" s="87">
        <v>379</v>
      </c>
      <c r="CP129" s="87">
        <v>370</v>
      </c>
      <c r="CQ129" s="87">
        <v>305</v>
      </c>
      <c r="CR129" s="87">
        <v>284</v>
      </c>
      <c r="CS129" s="87">
        <v>267</v>
      </c>
      <c r="CT129" s="87">
        <v>266</v>
      </c>
      <c r="CU129" s="87">
        <v>202</v>
      </c>
      <c r="CV129" s="87">
        <v>185</v>
      </c>
      <c r="CW129" s="87">
        <v>150</v>
      </c>
      <c r="CX129" s="87">
        <v>122</v>
      </c>
      <c r="CY129" s="87">
        <v>361</v>
      </c>
      <c r="CZ129" s="88">
        <v>576</v>
      </c>
      <c r="DA129" s="88">
        <v>480</v>
      </c>
      <c r="DB129" s="88">
        <v>516</v>
      </c>
      <c r="DC129" s="88">
        <v>579</v>
      </c>
      <c r="DD129" s="88">
        <v>539</v>
      </c>
      <c r="DE129" s="88">
        <v>543</v>
      </c>
      <c r="DF129" s="88">
        <v>547</v>
      </c>
      <c r="DG129" s="88">
        <v>588</v>
      </c>
      <c r="DH129" s="88">
        <v>568</v>
      </c>
      <c r="DI129" s="88">
        <v>664</v>
      </c>
      <c r="DJ129" s="88">
        <v>680</v>
      </c>
      <c r="DK129" s="88">
        <v>630</v>
      </c>
      <c r="DL129" s="88">
        <v>655</v>
      </c>
      <c r="DM129" s="88">
        <v>636</v>
      </c>
      <c r="DN129" s="88">
        <v>690</v>
      </c>
      <c r="DO129" s="88">
        <v>639</v>
      </c>
      <c r="DP129" s="88">
        <v>621</v>
      </c>
      <c r="DQ129" s="88">
        <v>668</v>
      </c>
      <c r="DR129" s="88">
        <v>821</v>
      </c>
      <c r="DS129" s="88">
        <v>1558</v>
      </c>
      <c r="DT129" s="88">
        <v>1748</v>
      </c>
      <c r="DU129" s="88">
        <v>1233</v>
      </c>
      <c r="DV129" s="88">
        <v>723</v>
      </c>
      <c r="DW129" s="88">
        <v>627</v>
      </c>
      <c r="DX129" s="88">
        <v>651</v>
      </c>
      <c r="DY129" s="88">
        <v>582</v>
      </c>
      <c r="DZ129" s="88">
        <v>576</v>
      </c>
      <c r="EA129" s="88">
        <v>547</v>
      </c>
      <c r="EB129" s="88">
        <v>613</v>
      </c>
      <c r="EC129" s="88">
        <v>593</v>
      </c>
      <c r="ED129" s="88">
        <v>680</v>
      </c>
      <c r="EE129" s="88">
        <v>685</v>
      </c>
      <c r="EF129" s="88">
        <v>695</v>
      </c>
      <c r="EG129" s="88">
        <v>664</v>
      </c>
      <c r="EH129" s="88">
        <v>694</v>
      </c>
      <c r="EI129" s="88">
        <v>677</v>
      </c>
      <c r="EJ129" s="88">
        <v>681</v>
      </c>
      <c r="EK129" s="88">
        <v>734</v>
      </c>
      <c r="EL129" s="88">
        <v>703</v>
      </c>
      <c r="EM129" s="88">
        <v>663</v>
      </c>
      <c r="EN129" s="88">
        <v>650</v>
      </c>
      <c r="EO129" s="88">
        <v>608</v>
      </c>
      <c r="EP129" s="88">
        <v>698</v>
      </c>
      <c r="EQ129" s="88">
        <v>664</v>
      </c>
      <c r="ER129" s="88">
        <v>627</v>
      </c>
      <c r="ES129" s="88">
        <v>600</v>
      </c>
      <c r="ET129" s="88">
        <v>639</v>
      </c>
      <c r="EU129" s="88">
        <v>658</v>
      </c>
      <c r="EV129" s="88">
        <v>704</v>
      </c>
      <c r="EW129" s="88">
        <v>818</v>
      </c>
      <c r="EX129" s="88">
        <v>858</v>
      </c>
      <c r="EY129" s="88">
        <v>909</v>
      </c>
      <c r="EZ129" s="88">
        <v>859</v>
      </c>
      <c r="FA129" s="88">
        <v>895</v>
      </c>
      <c r="FB129" s="88">
        <v>869</v>
      </c>
      <c r="FC129" s="88">
        <v>859</v>
      </c>
      <c r="FD129" s="88">
        <v>940</v>
      </c>
      <c r="FE129" s="88">
        <v>948</v>
      </c>
      <c r="FF129" s="88">
        <v>898</v>
      </c>
      <c r="FG129" s="88">
        <v>884</v>
      </c>
      <c r="FH129" s="88">
        <v>918</v>
      </c>
      <c r="FI129" s="88">
        <v>838</v>
      </c>
      <c r="FJ129" s="88">
        <v>826</v>
      </c>
      <c r="FK129" s="88">
        <v>784</v>
      </c>
      <c r="FL129" s="88">
        <v>792</v>
      </c>
      <c r="FM129" s="88">
        <v>745</v>
      </c>
      <c r="FN129" s="88">
        <v>727</v>
      </c>
      <c r="FO129" s="88">
        <v>728</v>
      </c>
      <c r="FP129" s="88">
        <v>686</v>
      </c>
      <c r="FQ129" s="88">
        <v>678</v>
      </c>
      <c r="FR129" s="88">
        <v>668</v>
      </c>
      <c r="FS129" s="88">
        <v>691</v>
      </c>
      <c r="FT129" s="88">
        <v>652</v>
      </c>
      <c r="FU129" s="88">
        <v>706</v>
      </c>
      <c r="FV129" s="88">
        <v>771</v>
      </c>
      <c r="FW129" s="88">
        <v>828</v>
      </c>
      <c r="FX129" s="88">
        <v>616</v>
      </c>
      <c r="FY129" s="88">
        <v>580</v>
      </c>
      <c r="FZ129" s="88">
        <v>549</v>
      </c>
      <c r="GA129" s="88">
        <v>544</v>
      </c>
      <c r="GB129" s="88">
        <v>522</v>
      </c>
      <c r="GC129" s="88">
        <v>413</v>
      </c>
      <c r="GD129" s="88">
        <v>392</v>
      </c>
      <c r="GE129" s="88">
        <v>418</v>
      </c>
      <c r="GF129" s="88">
        <v>364</v>
      </c>
      <c r="GG129" s="88">
        <v>347</v>
      </c>
      <c r="GH129" s="88">
        <v>304</v>
      </c>
      <c r="GI129" s="88">
        <v>260</v>
      </c>
      <c r="GJ129" s="88">
        <v>249</v>
      </c>
      <c r="GK129" s="88">
        <v>174</v>
      </c>
      <c r="GL129" s="89">
        <v>762</v>
      </c>
    </row>
    <row r="130" spans="1:194" s="1" customFormat="1" x14ac:dyDescent="0.2">
      <c r="A130" s="90" t="s">
        <v>94</v>
      </c>
      <c r="B130" s="146" t="s">
        <v>215</v>
      </c>
      <c r="C130" s="30" t="str">
        <f t="shared" si="14"/>
        <v xml:space="preserve">England – CCGs - West Leicestershire </v>
      </c>
      <c r="D130" s="51">
        <f t="shared" si="13"/>
        <v>178023</v>
      </c>
      <c r="E130" s="51">
        <f t="shared" si="13"/>
        <v>181988</v>
      </c>
      <c r="F130" s="52">
        <f t="shared" si="17"/>
        <v>412977</v>
      </c>
      <c r="G130" s="52">
        <f t="shared" si="18"/>
        <v>205194</v>
      </c>
      <c r="H130" s="52">
        <f t="shared" si="19"/>
        <v>207783</v>
      </c>
      <c r="I130" s="697">
        <f t="shared" si="15"/>
        <v>178023</v>
      </c>
      <c r="J130" s="53">
        <f t="shared" si="16"/>
        <v>181988</v>
      </c>
      <c r="K130" s="50">
        <f t="shared" si="20"/>
        <v>41355</v>
      </c>
      <c r="L130" s="51">
        <f t="shared" si="21"/>
        <v>38804</v>
      </c>
      <c r="M130" s="87">
        <v>2039</v>
      </c>
      <c r="N130" s="87">
        <v>1957</v>
      </c>
      <c r="O130" s="87">
        <v>2103</v>
      </c>
      <c r="P130" s="87">
        <v>2156</v>
      </c>
      <c r="Q130" s="87">
        <v>2348</v>
      </c>
      <c r="R130" s="87">
        <v>2271</v>
      </c>
      <c r="S130" s="87">
        <v>2410</v>
      </c>
      <c r="T130" s="87">
        <v>2350</v>
      </c>
      <c r="U130" s="87">
        <v>2230</v>
      </c>
      <c r="V130" s="87">
        <v>2400</v>
      </c>
      <c r="W130" s="87">
        <v>2483</v>
      </c>
      <c r="X130" s="87">
        <v>2424</v>
      </c>
      <c r="Y130" s="87">
        <v>2384</v>
      </c>
      <c r="Z130" s="87">
        <v>2359</v>
      </c>
      <c r="AA130" s="87">
        <v>2398</v>
      </c>
      <c r="AB130" s="87">
        <v>2376</v>
      </c>
      <c r="AC130" s="87">
        <v>2318</v>
      </c>
      <c r="AD130" s="87">
        <v>2349</v>
      </c>
      <c r="AE130" s="87">
        <v>2539</v>
      </c>
      <c r="AF130" s="87">
        <v>3943</v>
      </c>
      <c r="AG130" s="87">
        <v>3776</v>
      </c>
      <c r="AH130" s="87">
        <v>2949</v>
      </c>
      <c r="AI130" s="87">
        <v>3003</v>
      </c>
      <c r="AJ130" s="87">
        <v>2737</v>
      </c>
      <c r="AK130" s="87">
        <v>2422</v>
      </c>
      <c r="AL130" s="87">
        <v>2104</v>
      </c>
      <c r="AM130" s="87">
        <v>2240</v>
      </c>
      <c r="AN130" s="87">
        <v>2300</v>
      </c>
      <c r="AO130" s="87">
        <v>2415</v>
      </c>
      <c r="AP130" s="87">
        <v>2442</v>
      </c>
      <c r="AQ130" s="87">
        <v>2492</v>
      </c>
      <c r="AR130" s="87">
        <v>2660</v>
      </c>
      <c r="AS130" s="87">
        <v>2684</v>
      </c>
      <c r="AT130" s="87">
        <v>2585</v>
      </c>
      <c r="AU130" s="87">
        <v>2531</v>
      </c>
      <c r="AV130" s="87">
        <v>2528</v>
      </c>
      <c r="AW130" s="87">
        <v>2595</v>
      </c>
      <c r="AX130" s="87">
        <v>2688</v>
      </c>
      <c r="AY130" s="87">
        <v>2492</v>
      </c>
      <c r="AZ130" s="87">
        <v>2411</v>
      </c>
      <c r="BA130" s="87">
        <v>2549</v>
      </c>
      <c r="BB130" s="87">
        <v>2553</v>
      </c>
      <c r="BC130" s="87">
        <v>2568</v>
      </c>
      <c r="BD130" s="87">
        <v>2424</v>
      </c>
      <c r="BE130" s="87">
        <v>2154</v>
      </c>
      <c r="BF130" s="87">
        <v>2300</v>
      </c>
      <c r="BG130" s="87">
        <v>2410</v>
      </c>
      <c r="BH130" s="87">
        <v>2334</v>
      </c>
      <c r="BI130" s="87">
        <v>2512</v>
      </c>
      <c r="BJ130" s="87">
        <v>2708</v>
      </c>
      <c r="BK130" s="87">
        <v>2738</v>
      </c>
      <c r="BL130" s="87">
        <v>3021</v>
      </c>
      <c r="BM130" s="87">
        <v>2856</v>
      </c>
      <c r="BN130" s="87">
        <v>2905</v>
      </c>
      <c r="BO130" s="87">
        <v>2942</v>
      </c>
      <c r="BP130" s="87">
        <v>2948</v>
      </c>
      <c r="BQ130" s="87">
        <v>2870</v>
      </c>
      <c r="BR130" s="87">
        <v>2861</v>
      </c>
      <c r="BS130" s="87">
        <v>2823</v>
      </c>
      <c r="BT130" s="87">
        <v>2698</v>
      </c>
      <c r="BU130" s="87">
        <v>2712</v>
      </c>
      <c r="BV130" s="87">
        <v>2737</v>
      </c>
      <c r="BW130" s="87">
        <v>2522</v>
      </c>
      <c r="BX130" s="87">
        <v>2430</v>
      </c>
      <c r="BY130" s="87">
        <v>2315</v>
      </c>
      <c r="BZ130" s="87">
        <v>2295</v>
      </c>
      <c r="CA130" s="87">
        <v>2221</v>
      </c>
      <c r="CB130" s="87">
        <v>2116</v>
      </c>
      <c r="CC130" s="87">
        <v>2071</v>
      </c>
      <c r="CD130" s="87">
        <v>2141</v>
      </c>
      <c r="CE130" s="87">
        <v>2139</v>
      </c>
      <c r="CF130" s="87">
        <v>2111</v>
      </c>
      <c r="CG130" s="87">
        <v>2108</v>
      </c>
      <c r="CH130" s="87">
        <v>2109</v>
      </c>
      <c r="CI130" s="87">
        <v>2164</v>
      </c>
      <c r="CJ130" s="87">
        <v>2410</v>
      </c>
      <c r="CK130" s="87">
        <v>1750</v>
      </c>
      <c r="CL130" s="87">
        <v>1704</v>
      </c>
      <c r="CM130" s="87">
        <v>1658</v>
      </c>
      <c r="CN130" s="87">
        <v>1490</v>
      </c>
      <c r="CO130" s="87">
        <v>1191</v>
      </c>
      <c r="CP130" s="87">
        <v>1032</v>
      </c>
      <c r="CQ130" s="87">
        <v>989</v>
      </c>
      <c r="CR130" s="87">
        <v>928</v>
      </c>
      <c r="CS130" s="87">
        <v>879</v>
      </c>
      <c r="CT130" s="87">
        <v>730</v>
      </c>
      <c r="CU130" s="87">
        <v>609</v>
      </c>
      <c r="CV130" s="87">
        <v>545</v>
      </c>
      <c r="CW130" s="87">
        <v>383</v>
      </c>
      <c r="CX130" s="87">
        <v>395</v>
      </c>
      <c r="CY130" s="87">
        <v>1245</v>
      </c>
      <c r="CZ130" s="88">
        <v>1943</v>
      </c>
      <c r="DA130" s="88">
        <v>1953</v>
      </c>
      <c r="DB130" s="88">
        <v>2005</v>
      </c>
      <c r="DC130" s="88">
        <v>2031</v>
      </c>
      <c r="DD130" s="88">
        <v>2135</v>
      </c>
      <c r="DE130" s="88">
        <v>2051</v>
      </c>
      <c r="DF130" s="88">
        <v>2242</v>
      </c>
      <c r="DG130" s="88">
        <v>2242</v>
      </c>
      <c r="DH130" s="88">
        <v>2204</v>
      </c>
      <c r="DI130" s="88">
        <v>2261</v>
      </c>
      <c r="DJ130" s="88">
        <v>2296</v>
      </c>
      <c r="DK130" s="88">
        <v>2432</v>
      </c>
      <c r="DL130" s="88">
        <v>2280</v>
      </c>
      <c r="DM130" s="88">
        <v>2163</v>
      </c>
      <c r="DN130" s="88">
        <v>2278</v>
      </c>
      <c r="DO130" s="88">
        <v>2169</v>
      </c>
      <c r="DP130" s="88">
        <v>2085</v>
      </c>
      <c r="DQ130" s="88">
        <v>2034</v>
      </c>
      <c r="DR130" s="88">
        <v>2302</v>
      </c>
      <c r="DS130" s="88">
        <v>2832</v>
      </c>
      <c r="DT130" s="88">
        <v>2935</v>
      </c>
      <c r="DU130" s="88">
        <v>2614</v>
      </c>
      <c r="DV130" s="88">
        <v>2552</v>
      </c>
      <c r="DW130" s="88">
        <v>2418</v>
      </c>
      <c r="DX130" s="88">
        <v>2231</v>
      </c>
      <c r="DY130" s="88">
        <v>2213</v>
      </c>
      <c r="DZ130" s="88">
        <v>2253</v>
      </c>
      <c r="EA130" s="88">
        <v>2307</v>
      </c>
      <c r="EB130" s="88">
        <v>2536</v>
      </c>
      <c r="EC130" s="88">
        <v>2503</v>
      </c>
      <c r="ED130" s="88">
        <v>2735</v>
      </c>
      <c r="EE130" s="88">
        <v>2784</v>
      </c>
      <c r="EF130" s="88">
        <v>2774</v>
      </c>
      <c r="EG130" s="88">
        <v>2710</v>
      </c>
      <c r="EH130" s="88">
        <v>2764</v>
      </c>
      <c r="EI130" s="88">
        <v>2810</v>
      </c>
      <c r="EJ130" s="88">
        <v>2657</v>
      </c>
      <c r="EK130" s="88">
        <v>2696</v>
      </c>
      <c r="EL130" s="88">
        <v>2657</v>
      </c>
      <c r="EM130" s="88">
        <v>2709</v>
      </c>
      <c r="EN130" s="88">
        <v>2659</v>
      </c>
      <c r="EO130" s="88">
        <v>2677</v>
      </c>
      <c r="EP130" s="88">
        <v>2667</v>
      </c>
      <c r="EQ130" s="88">
        <v>2558</v>
      </c>
      <c r="ER130" s="88">
        <v>2372</v>
      </c>
      <c r="ES130" s="88">
        <v>2166</v>
      </c>
      <c r="ET130" s="88">
        <v>2378</v>
      </c>
      <c r="EU130" s="88">
        <v>2479</v>
      </c>
      <c r="EV130" s="88">
        <v>2556</v>
      </c>
      <c r="EW130" s="88">
        <v>2763</v>
      </c>
      <c r="EX130" s="88">
        <v>2846</v>
      </c>
      <c r="EY130" s="88">
        <v>3079</v>
      </c>
      <c r="EZ130" s="88">
        <v>2860</v>
      </c>
      <c r="FA130" s="88">
        <v>3007</v>
      </c>
      <c r="FB130" s="88">
        <v>2985</v>
      </c>
      <c r="FC130" s="88">
        <v>2918</v>
      </c>
      <c r="FD130" s="88">
        <v>2919</v>
      </c>
      <c r="FE130" s="88">
        <v>2872</v>
      </c>
      <c r="FF130" s="88">
        <v>2807</v>
      </c>
      <c r="FG130" s="88">
        <v>2798</v>
      </c>
      <c r="FH130" s="88">
        <v>2779</v>
      </c>
      <c r="FI130" s="88">
        <v>2644</v>
      </c>
      <c r="FJ130" s="88">
        <v>2560</v>
      </c>
      <c r="FK130" s="88">
        <v>2553</v>
      </c>
      <c r="FL130" s="88">
        <v>2513</v>
      </c>
      <c r="FM130" s="88">
        <v>2272</v>
      </c>
      <c r="FN130" s="88">
        <v>2218</v>
      </c>
      <c r="FO130" s="88">
        <v>2087</v>
      </c>
      <c r="FP130" s="88">
        <v>2249</v>
      </c>
      <c r="FQ130" s="88">
        <v>2297</v>
      </c>
      <c r="FR130" s="88">
        <v>2268</v>
      </c>
      <c r="FS130" s="88">
        <v>2169</v>
      </c>
      <c r="FT130" s="88">
        <v>2245</v>
      </c>
      <c r="FU130" s="88">
        <v>2344</v>
      </c>
      <c r="FV130" s="88">
        <v>2443</v>
      </c>
      <c r="FW130" s="88">
        <v>2423</v>
      </c>
      <c r="FX130" s="88">
        <v>1894</v>
      </c>
      <c r="FY130" s="88">
        <v>1924</v>
      </c>
      <c r="FZ130" s="88">
        <v>1934</v>
      </c>
      <c r="GA130" s="88">
        <v>1684</v>
      </c>
      <c r="GB130" s="88">
        <v>1352</v>
      </c>
      <c r="GC130" s="88">
        <v>1183</v>
      </c>
      <c r="GD130" s="88">
        <v>1193</v>
      </c>
      <c r="GE130" s="88">
        <v>1142</v>
      </c>
      <c r="GF130" s="88">
        <v>1040</v>
      </c>
      <c r="GG130" s="88">
        <v>966</v>
      </c>
      <c r="GH130" s="88">
        <v>867</v>
      </c>
      <c r="GI130" s="88">
        <v>753</v>
      </c>
      <c r="GJ130" s="88">
        <v>656</v>
      </c>
      <c r="GK130" s="88">
        <v>599</v>
      </c>
      <c r="GL130" s="89">
        <v>2370</v>
      </c>
    </row>
    <row r="131" spans="1:194" s="1" customFormat="1" x14ac:dyDescent="0.2">
      <c r="A131" s="90" t="s">
        <v>94</v>
      </c>
      <c r="B131" s="146" t="s">
        <v>216</v>
      </c>
      <c r="C131" s="30" t="str">
        <f t="shared" si="14"/>
        <v xml:space="preserve">England – CCGs - West Suffolk </v>
      </c>
      <c r="D131" s="51">
        <f t="shared" si="13"/>
        <v>101635</v>
      </c>
      <c r="E131" s="51">
        <f t="shared" si="13"/>
        <v>104682</v>
      </c>
      <c r="F131" s="52">
        <f t="shared" si="17"/>
        <v>237473</v>
      </c>
      <c r="G131" s="52">
        <f t="shared" si="18"/>
        <v>117832</v>
      </c>
      <c r="H131" s="52">
        <f t="shared" si="19"/>
        <v>119641</v>
      </c>
      <c r="I131" s="697">
        <f t="shared" si="15"/>
        <v>101635</v>
      </c>
      <c r="J131" s="53">
        <f t="shared" si="16"/>
        <v>104682</v>
      </c>
      <c r="K131" s="50">
        <f t="shared" si="20"/>
        <v>23967</v>
      </c>
      <c r="L131" s="51">
        <f t="shared" si="21"/>
        <v>22333</v>
      </c>
      <c r="M131" s="87">
        <v>1257</v>
      </c>
      <c r="N131" s="87">
        <v>1321</v>
      </c>
      <c r="O131" s="87">
        <v>1378</v>
      </c>
      <c r="P131" s="87">
        <v>1351</v>
      </c>
      <c r="Q131" s="87">
        <v>1352</v>
      </c>
      <c r="R131" s="87">
        <v>1327</v>
      </c>
      <c r="S131" s="87">
        <v>1326</v>
      </c>
      <c r="T131" s="87">
        <v>1325</v>
      </c>
      <c r="U131" s="87">
        <v>1324</v>
      </c>
      <c r="V131" s="87">
        <v>1359</v>
      </c>
      <c r="W131" s="87">
        <v>1442</v>
      </c>
      <c r="X131" s="87">
        <v>1435</v>
      </c>
      <c r="Y131" s="87">
        <v>1365</v>
      </c>
      <c r="Z131" s="87">
        <v>1316</v>
      </c>
      <c r="AA131" s="87">
        <v>1301</v>
      </c>
      <c r="AB131" s="87">
        <v>1285</v>
      </c>
      <c r="AC131" s="87">
        <v>1287</v>
      </c>
      <c r="AD131" s="87">
        <v>1216</v>
      </c>
      <c r="AE131" s="87">
        <v>1191</v>
      </c>
      <c r="AF131" s="87">
        <v>1087</v>
      </c>
      <c r="AG131" s="87">
        <v>1007</v>
      </c>
      <c r="AH131" s="87">
        <v>1222</v>
      </c>
      <c r="AI131" s="87">
        <v>1525</v>
      </c>
      <c r="AJ131" s="87">
        <v>1553</v>
      </c>
      <c r="AK131" s="87">
        <v>1566</v>
      </c>
      <c r="AL131" s="87">
        <v>1515</v>
      </c>
      <c r="AM131" s="87">
        <v>1444</v>
      </c>
      <c r="AN131" s="87">
        <v>1516</v>
      </c>
      <c r="AO131" s="87">
        <v>1716</v>
      </c>
      <c r="AP131" s="87">
        <v>1492</v>
      </c>
      <c r="AQ131" s="87">
        <v>1644</v>
      </c>
      <c r="AR131" s="87">
        <v>1755</v>
      </c>
      <c r="AS131" s="87">
        <v>1598</v>
      </c>
      <c r="AT131" s="87">
        <v>1620</v>
      </c>
      <c r="AU131" s="87">
        <v>1548</v>
      </c>
      <c r="AV131" s="87">
        <v>1577</v>
      </c>
      <c r="AW131" s="87">
        <v>1460</v>
      </c>
      <c r="AX131" s="87">
        <v>1448</v>
      </c>
      <c r="AY131" s="87">
        <v>1462</v>
      </c>
      <c r="AZ131" s="87">
        <v>1432</v>
      </c>
      <c r="BA131" s="87">
        <v>1433</v>
      </c>
      <c r="BB131" s="87">
        <v>1490</v>
      </c>
      <c r="BC131" s="87">
        <v>1455</v>
      </c>
      <c r="BD131" s="87">
        <v>1462</v>
      </c>
      <c r="BE131" s="87">
        <v>1236</v>
      </c>
      <c r="BF131" s="87">
        <v>1296</v>
      </c>
      <c r="BG131" s="87">
        <v>1284</v>
      </c>
      <c r="BH131" s="87">
        <v>1317</v>
      </c>
      <c r="BI131" s="87">
        <v>1370</v>
      </c>
      <c r="BJ131" s="87">
        <v>1493</v>
      </c>
      <c r="BK131" s="87">
        <v>1541</v>
      </c>
      <c r="BL131" s="87">
        <v>1642</v>
      </c>
      <c r="BM131" s="87">
        <v>1584</v>
      </c>
      <c r="BN131" s="87">
        <v>1741</v>
      </c>
      <c r="BO131" s="87">
        <v>1541</v>
      </c>
      <c r="BP131" s="87">
        <v>1665</v>
      </c>
      <c r="BQ131" s="87">
        <v>1626</v>
      </c>
      <c r="BR131" s="87">
        <v>1583</v>
      </c>
      <c r="BS131" s="87">
        <v>1657</v>
      </c>
      <c r="BT131" s="87">
        <v>1579</v>
      </c>
      <c r="BU131" s="87">
        <v>1555</v>
      </c>
      <c r="BV131" s="87">
        <v>1523</v>
      </c>
      <c r="BW131" s="87">
        <v>1460</v>
      </c>
      <c r="BX131" s="87">
        <v>1333</v>
      </c>
      <c r="BY131" s="87">
        <v>1420</v>
      </c>
      <c r="BZ131" s="87">
        <v>1263</v>
      </c>
      <c r="CA131" s="87">
        <v>1239</v>
      </c>
      <c r="CB131" s="87">
        <v>1105</v>
      </c>
      <c r="CC131" s="87">
        <v>1233</v>
      </c>
      <c r="CD131" s="87">
        <v>1213</v>
      </c>
      <c r="CE131" s="87">
        <v>1175</v>
      </c>
      <c r="CF131" s="87">
        <v>1204</v>
      </c>
      <c r="CG131" s="87">
        <v>1251</v>
      </c>
      <c r="CH131" s="87">
        <v>1271</v>
      </c>
      <c r="CI131" s="87">
        <v>1368</v>
      </c>
      <c r="CJ131" s="87">
        <v>1458</v>
      </c>
      <c r="CK131" s="87">
        <v>1127</v>
      </c>
      <c r="CL131" s="87">
        <v>1038</v>
      </c>
      <c r="CM131" s="87">
        <v>1047</v>
      </c>
      <c r="CN131" s="87">
        <v>900</v>
      </c>
      <c r="CO131" s="87">
        <v>834</v>
      </c>
      <c r="CP131" s="87">
        <v>658</v>
      </c>
      <c r="CQ131" s="87">
        <v>711</v>
      </c>
      <c r="CR131" s="87">
        <v>682</v>
      </c>
      <c r="CS131" s="87">
        <v>650</v>
      </c>
      <c r="CT131" s="87">
        <v>505</v>
      </c>
      <c r="CU131" s="87">
        <v>453</v>
      </c>
      <c r="CV131" s="87">
        <v>378</v>
      </c>
      <c r="CW131" s="87">
        <v>291</v>
      </c>
      <c r="CX131" s="87">
        <v>275</v>
      </c>
      <c r="CY131" s="87">
        <v>872</v>
      </c>
      <c r="CZ131" s="88">
        <v>1183</v>
      </c>
      <c r="DA131" s="88">
        <v>1115</v>
      </c>
      <c r="DB131" s="88">
        <v>1146</v>
      </c>
      <c r="DC131" s="88">
        <v>1274</v>
      </c>
      <c r="DD131" s="88">
        <v>1190</v>
      </c>
      <c r="DE131" s="88">
        <v>1271</v>
      </c>
      <c r="DF131" s="88">
        <v>1279</v>
      </c>
      <c r="DG131" s="88">
        <v>1311</v>
      </c>
      <c r="DH131" s="88">
        <v>1301</v>
      </c>
      <c r="DI131" s="88">
        <v>1281</v>
      </c>
      <c r="DJ131" s="88">
        <v>1267</v>
      </c>
      <c r="DK131" s="88">
        <v>1341</v>
      </c>
      <c r="DL131" s="88">
        <v>1188</v>
      </c>
      <c r="DM131" s="88">
        <v>1343</v>
      </c>
      <c r="DN131" s="88">
        <v>1259</v>
      </c>
      <c r="DO131" s="88">
        <v>1221</v>
      </c>
      <c r="DP131" s="88">
        <v>1187</v>
      </c>
      <c r="DQ131" s="88">
        <v>1176</v>
      </c>
      <c r="DR131" s="88">
        <v>1202</v>
      </c>
      <c r="DS131" s="88">
        <v>847</v>
      </c>
      <c r="DT131" s="88">
        <v>859</v>
      </c>
      <c r="DU131" s="88">
        <v>1013</v>
      </c>
      <c r="DV131" s="88">
        <v>1127</v>
      </c>
      <c r="DW131" s="88">
        <v>1373</v>
      </c>
      <c r="DX131" s="88">
        <v>1325</v>
      </c>
      <c r="DY131" s="88">
        <v>1423</v>
      </c>
      <c r="DZ131" s="88">
        <v>1414</v>
      </c>
      <c r="EA131" s="88">
        <v>1492</v>
      </c>
      <c r="EB131" s="88">
        <v>1494</v>
      </c>
      <c r="EC131" s="88">
        <v>1571</v>
      </c>
      <c r="ED131" s="88">
        <v>1564</v>
      </c>
      <c r="EE131" s="88">
        <v>1592</v>
      </c>
      <c r="EF131" s="88">
        <v>1658</v>
      </c>
      <c r="EG131" s="88">
        <v>1596</v>
      </c>
      <c r="EH131" s="88">
        <v>1651</v>
      </c>
      <c r="EI131" s="88">
        <v>1570</v>
      </c>
      <c r="EJ131" s="88">
        <v>1492</v>
      </c>
      <c r="EK131" s="88">
        <v>1496</v>
      </c>
      <c r="EL131" s="88">
        <v>1447</v>
      </c>
      <c r="EM131" s="88">
        <v>1423</v>
      </c>
      <c r="EN131" s="88">
        <v>1459</v>
      </c>
      <c r="EO131" s="88">
        <v>1406</v>
      </c>
      <c r="EP131" s="88">
        <v>1408</v>
      </c>
      <c r="EQ131" s="88">
        <v>1423</v>
      </c>
      <c r="ER131" s="88">
        <v>1299</v>
      </c>
      <c r="ES131" s="88">
        <v>1283</v>
      </c>
      <c r="ET131" s="88">
        <v>1291</v>
      </c>
      <c r="EU131" s="88">
        <v>1402</v>
      </c>
      <c r="EV131" s="88">
        <v>1433</v>
      </c>
      <c r="EW131" s="88">
        <v>1579</v>
      </c>
      <c r="EX131" s="88">
        <v>1534</v>
      </c>
      <c r="EY131" s="88">
        <v>1610</v>
      </c>
      <c r="EZ131" s="88">
        <v>1557</v>
      </c>
      <c r="FA131" s="88">
        <v>1678</v>
      </c>
      <c r="FB131" s="88">
        <v>1708</v>
      </c>
      <c r="FC131" s="88">
        <v>1729</v>
      </c>
      <c r="FD131" s="88">
        <v>1740</v>
      </c>
      <c r="FE131" s="88">
        <v>1700</v>
      </c>
      <c r="FF131" s="88">
        <v>1777</v>
      </c>
      <c r="FG131" s="88">
        <v>1581</v>
      </c>
      <c r="FH131" s="88">
        <v>1545</v>
      </c>
      <c r="FI131" s="88">
        <v>1527</v>
      </c>
      <c r="FJ131" s="88">
        <v>1429</v>
      </c>
      <c r="FK131" s="88">
        <v>1443</v>
      </c>
      <c r="FL131" s="88">
        <v>1414</v>
      </c>
      <c r="FM131" s="88">
        <v>1382</v>
      </c>
      <c r="FN131" s="88">
        <v>1317</v>
      </c>
      <c r="FO131" s="88">
        <v>1290</v>
      </c>
      <c r="FP131" s="88">
        <v>1355</v>
      </c>
      <c r="FQ131" s="88">
        <v>1339</v>
      </c>
      <c r="FR131" s="88">
        <v>1254</v>
      </c>
      <c r="FS131" s="88">
        <v>1312</v>
      </c>
      <c r="FT131" s="88">
        <v>1345</v>
      </c>
      <c r="FU131" s="88">
        <v>1437</v>
      </c>
      <c r="FV131" s="88">
        <v>1555</v>
      </c>
      <c r="FW131" s="88">
        <v>1759</v>
      </c>
      <c r="FX131" s="88">
        <v>1312</v>
      </c>
      <c r="FY131" s="88">
        <v>1200</v>
      </c>
      <c r="FZ131" s="88">
        <v>1245</v>
      </c>
      <c r="GA131" s="88">
        <v>1142</v>
      </c>
      <c r="GB131" s="88">
        <v>987</v>
      </c>
      <c r="GC131" s="88">
        <v>817</v>
      </c>
      <c r="GD131" s="88">
        <v>803</v>
      </c>
      <c r="GE131" s="88">
        <v>793</v>
      </c>
      <c r="GF131" s="88">
        <v>730</v>
      </c>
      <c r="GG131" s="88">
        <v>688</v>
      </c>
      <c r="GH131" s="88">
        <v>601</v>
      </c>
      <c r="GI131" s="88">
        <v>499</v>
      </c>
      <c r="GJ131" s="88">
        <v>475</v>
      </c>
      <c r="GK131" s="88">
        <v>330</v>
      </c>
      <c r="GL131" s="89">
        <v>1757</v>
      </c>
    </row>
    <row r="132" spans="1:194" s="1" customFormat="1" x14ac:dyDescent="0.2">
      <c r="A132" s="90" t="s">
        <v>94</v>
      </c>
      <c r="B132" s="146" t="s">
        <v>217</v>
      </c>
      <c r="C132" s="30" t="str">
        <f t="shared" si="14"/>
        <v xml:space="preserve">England – CCGs - West Sussex </v>
      </c>
      <c r="D132" s="51">
        <f t="shared" si="13"/>
        <v>371016</v>
      </c>
      <c r="E132" s="51">
        <f t="shared" si="13"/>
        <v>399530</v>
      </c>
      <c r="F132" s="52">
        <f t="shared" si="17"/>
        <v>885492</v>
      </c>
      <c r="G132" s="52">
        <f t="shared" si="18"/>
        <v>429875</v>
      </c>
      <c r="H132" s="52">
        <f t="shared" si="19"/>
        <v>455617</v>
      </c>
      <c r="I132" s="697">
        <f t="shared" si="15"/>
        <v>371016</v>
      </c>
      <c r="J132" s="53">
        <f t="shared" si="16"/>
        <v>399530</v>
      </c>
      <c r="K132" s="50">
        <f t="shared" si="20"/>
        <v>90255</v>
      </c>
      <c r="L132" s="51">
        <f t="shared" si="21"/>
        <v>85479</v>
      </c>
      <c r="M132" s="87">
        <v>4253</v>
      </c>
      <c r="N132" s="87">
        <v>4316</v>
      </c>
      <c r="O132" s="87">
        <v>4496</v>
      </c>
      <c r="P132" s="87">
        <v>4711</v>
      </c>
      <c r="Q132" s="87">
        <v>4749</v>
      </c>
      <c r="R132" s="87">
        <v>4937</v>
      </c>
      <c r="S132" s="87">
        <v>4996</v>
      </c>
      <c r="T132" s="87">
        <v>5158</v>
      </c>
      <c r="U132" s="87">
        <v>5041</v>
      </c>
      <c r="V132" s="87">
        <v>5340</v>
      </c>
      <c r="W132" s="87">
        <v>5418</v>
      </c>
      <c r="X132" s="87">
        <v>5444</v>
      </c>
      <c r="Y132" s="87">
        <v>5572</v>
      </c>
      <c r="Z132" s="87">
        <v>5348</v>
      </c>
      <c r="AA132" s="87">
        <v>5302</v>
      </c>
      <c r="AB132" s="87">
        <v>5177</v>
      </c>
      <c r="AC132" s="87">
        <v>5033</v>
      </c>
      <c r="AD132" s="87">
        <v>4964</v>
      </c>
      <c r="AE132" s="87">
        <v>4930</v>
      </c>
      <c r="AF132" s="87">
        <v>3910</v>
      </c>
      <c r="AG132" s="87">
        <v>3478</v>
      </c>
      <c r="AH132" s="87">
        <v>3813</v>
      </c>
      <c r="AI132" s="87">
        <v>3986</v>
      </c>
      <c r="AJ132" s="87">
        <v>4410</v>
      </c>
      <c r="AK132" s="87">
        <v>4400</v>
      </c>
      <c r="AL132" s="87">
        <v>4519</v>
      </c>
      <c r="AM132" s="87">
        <v>4479</v>
      </c>
      <c r="AN132" s="87">
        <v>4522</v>
      </c>
      <c r="AO132" s="87">
        <v>4799</v>
      </c>
      <c r="AP132" s="87">
        <v>4758</v>
      </c>
      <c r="AQ132" s="87">
        <v>5012</v>
      </c>
      <c r="AR132" s="87">
        <v>5194</v>
      </c>
      <c r="AS132" s="87">
        <v>5282</v>
      </c>
      <c r="AT132" s="87">
        <v>5252</v>
      </c>
      <c r="AU132" s="87">
        <v>5557</v>
      </c>
      <c r="AV132" s="87">
        <v>5359</v>
      </c>
      <c r="AW132" s="87">
        <v>5367</v>
      </c>
      <c r="AX132" s="87">
        <v>5422</v>
      </c>
      <c r="AY132" s="87">
        <v>5430</v>
      </c>
      <c r="AZ132" s="87">
        <v>5395</v>
      </c>
      <c r="BA132" s="87">
        <v>5432</v>
      </c>
      <c r="BB132" s="87">
        <v>5603</v>
      </c>
      <c r="BC132" s="87">
        <v>5534</v>
      </c>
      <c r="BD132" s="87">
        <v>5592</v>
      </c>
      <c r="BE132" s="87">
        <v>5262</v>
      </c>
      <c r="BF132" s="87">
        <v>5079</v>
      </c>
      <c r="BG132" s="87">
        <v>5187</v>
      </c>
      <c r="BH132" s="87">
        <v>5159</v>
      </c>
      <c r="BI132" s="87">
        <v>5643</v>
      </c>
      <c r="BJ132" s="87">
        <v>5615</v>
      </c>
      <c r="BK132" s="87">
        <v>6016</v>
      </c>
      <c r="BL132" s="87">
        <v>6076</v>
      </c>
      <c r="BM132" s="87">
        <v>5949</v>
      </c>
      <c r="BN132" s="87">
        <v>6048</v>
      </c>
      <c r="BO132" s="87">
        <v>6116</v>
      </c>
      <c r="BP132" s="87">
        <v>6248</v>
      </c>
      <c r="BQ132" s="87">
        <v>6246</v>
      </c>
      <c r="BR132" s="87">
        <v>6343</v>
      </c>
      <c r="BS132" s="87">
        <v>6207</v>
      </c>
      <c r="BT132" s="87">
        <v>6004</v>
      </c>
      <c r="BU132" s="87">
        <v>5798</v>
      </c>
      <c r="BV132" s="87">
        <v>5634</v>
      </c>
      <c r="BW132" s="87">
        <v>5406</v>
      </c>
      <c r="BX132" s="87">
        <v>5394</v>
      </c>
      <c r="BY132" s="87">
        <v>5261</v>
      </c>
      <c r="BZ132" s="87">
        <v>4895</v>
      </c>
      <c r="CA132" s="87">
        <v>4868</v>
      </c>
      <c r="CB132" s="87">
        <v>4738</v>
      </c>
      <c r="CC132" s="87">
        <v>4700</v>
      </c>
      <c r="CD132" s="87">
        <v>4537</v>
      </c>
      <c r="CE132" s="87">
        <v>4354</v>
      </c>
      <c r="CF132" s="87">
        <v>4354</v>
      </c>
      <c r="CG132" s="87">
        <v>4472</v>
      </c>
      <c r="CH132" s="87">
        <v>4731</v>
      </c>
      <c r="CI132" s="87">
        <v>4958</v>
      </c>
      <c r="CJ132" s="87">
        <v>5450</v>
      </c>
      <c r="CK132" s="87">
        <v>4156</v>
      </c>
      <c r="CL132" s="87">
        <v>3916</v>
      </c>
      <c r="CM132" s="87">
        <v>3794</v>
      </c>
      <c r="CN132" s="87">
        <v>3532</v>
      </c>
      <c r="CO132" s="87">
        <v>2962</v>
      </c>
      <c r="CP132" s="87">
        <v>2477</v>
      </c>
      <c r="CQ132" s="87">
        <v>2483</v>
      </c>
      <c r="CR132" s="87">
        <v>2339</v>
      </c>
      <c r="CS132" s="87">
        <v>2277</v>
      </c>
      <c r="CT132" s="87">
        <v>1955</v>
      </c>
      <c r="CU132" s="87">
        <v>1739</v>
      </c>
      <c r="CV132" s="87">
        <v>1547</v>
      </c>
      <c r="CW132" s="87">
        <v>1283</v>
      </c>
      <c r="CX132" s="87">
        <v>1083</v>
      </c>
      <c r="CY132" s="87">
        <v>3894</v>
      </c>
      <c r="CZ132" s="88">
        <v>4166</v>
      </c>
      <c r="DA132" s="88">
        <v>4132</v>
      </c>
      <c r="DB132" s="88">
        <v>4389</v>
      </c>
      <c r="DC132" s="88">
        <v>4545</v>
      </c>
      <c r="DD132" s="88">
        <v>4529</v>
      </c>
      <c r="DE132" s="88">
        <v>4669</v>
      </c>
      <c r="DF132" s="88">
        <v>4852</v>
      </c>
      <c r="DG132" s="88">
        <v>4815</v>
      </c>
      <c r="DH132" s="88">
        <v>4786</v>
      </c>
      <c r="DI132" s="88">
        <v>4771</v>
      </c>
      <c r="DJ132" s="88">
        <v>5265</v>
      </c>
      <c r="DK132" s="88">
        <v>5168</v>
      </c>
      <c r="DL132" s="88">
        <v>5091</v>
      </c>
      <c r="DM132" s="88">
        <v>5057</v>
      </c>
      <c r="DN132" s="88">
        <v>5049</v>
      </c>
      <c r="DO132" s="88">
        <v>4826</v>
      </c>
      <c r="DP132" s="88">
        <v>4660</v>
      </c>
      <c r="DQ132" s="88">
        <v>4709</v>
      </c>
      <c r="DR132" s="88">
        <v>4462</v>
      </c>
      <c r="DS132" s="88">
        <v>3503</v>
      </c>
      <c r="DT132" s="88">
        <v>3197</v>
      </c>
      <c r="DU132" s="88">
        <v>3524</v>
      </c>
      <c r="DV132" s="88">
        <v>4011</v>
      </c>
      <c r="DW132" s="88">
        <v>4156</v>
      </c>
      <c r="DX132" s="88">
        <v>4347</v>
      </c>
      <c r="DY132" s="88">
        <v>4444</v>
      </c>
      <c r="DZ132" s="88">
        <v>4426</v>
      </c>
      <c r="EA132" s="88">
        <v>4637</v>
      </c>
      <c r="EB132" s="88">
        <v>4939</v>
      </c>
      <c r="EC132" s="88">
        <v>5007</v>
      </c>
      <c r="ED132" s="88">
        <v>5304</v>
      </c>
      <c r="EE132" s="88">
        <v>5401</v>
      </c>
      <c r="EF132" s="88">
        <v>5714</v>
      </c>
      <c r="EG132" s="88">
        <v>5920</v>
      </c>
      <c r="EH132" s="88">
        <v>5905</v>
      </c>
      <c r="EI132" s="88">
        <v>5741</v>
      </c>
      <c r="EJ132" s="88">
        <v>5702</v>
      </c>
      <c r="EK132" s="88">
        <v>5702</v>
      </c>
      <c r="EL132" s="88">
        <v>5553</v>
      </c>
      <c r="EM132" s="88">
        <v>5616</v>
      </c>
      <c r="EN132" s="88">
        <v>5804</v>
      </c>
      <c r="EO132" s="88">
        <v>5816</v>
      </c>
      <c r="EP132" s="88">
        <v>6106</v>
      </c>
      <c r="EQ132" s="88">
        <v>5836</v>
      </c>
      <c r="ER132" s="88">
        <v>5448</v>
      </c>
      <c r="ES132" s="88">
        <v>5202</v>
      </c>
      <c r="ET132" s="88">
        <v>5356</v>
      </c>
      <c r="EU132" s="88">
        <v>5597</v>
      </c>
      <c r="EV132" s="88">
        <v>5828</v>
      </c>
      <c r="EW132" s="88">
        <v>5921</v>
      </c>
      <c r="EX132" s="88">
        <v>6102</v>
      </c>
      <c r="EY132" s="88">
        <v>6492</v>
      </c>
      <c r="EZ132" s="88">
        <v>6038</v>
      </c>
      <c r="FA132" s="88">
        <v>6391</v>
      </c>
      <c r="FB132" s="88">
        <v>6491</v>
      </c>
      <c r="FC132" s="88">
        <v>6505</v>
      </c>
      <c r="FD132" s="88">
        <v>6369</v>
      </c>
      <c r="FE132" s="88">
        <v>6560</v>
      </c>
      <c r="FF132" s="88">
        <v>6526</v>
      </c>
      <c r="FG132" s="88">
        <v>6300</v>
      </c>
      <c r="FH132" s="88">
        <v>6261</v>
      </c>
      <c r="FI132" s="88">
        <v>5997</v>
      </c>
      <c r="FJ132" s="88">
        <v>5761</v>
      </c>
      <c r="FK132" s="88">
        <v>5764</v>
      </c>
      <c r="FL132" s="88">
        <v>5739</v>
      </c>
      <c r="FM132" s="88">
        <v>5385</v>
      </c>
      <c r="FN132" s="88">
        <v>5252</v>
      </c>
      <c r="FO132" s="88">
        <v>5160</v>
      </c>
      <c r="FP132" s="88">
        <v>5090</v>
      </c>
      <c r="FQ132" s="88">
        <v>5026</v>
      </c>
      <c r="FR132" s="88">
        <v>5000</v>
      </c>
      <c r="FS132" s="88">
        <v>5087</v>
      </c>
      <c r="FT132" s="88">
        <v>5186</v>
      </c>
      <c r="FU132" s="88">
        <v>5455</v>
      </c>
      <c r="FV132" s="88">
        <v>5805</v>
      </c>
      <c r="FW132" s="88">
        <v>6487</v>
      </c>
      <c r="FX132" s="88">
        <v>4928</v>
      </c>
      <c r="FY132" s="88">
        <v>4654</v>
      </c>
      <c r="FZ132" s="88">
        <v>4485</v>
      </c>
      <c r="GA132" s="88">
        <v>4247</v>
      </c>
      <c r="GB132" s="88">
        <v>3529</v>
      </c>
      <c r="GC132" s="88">
        <v>3058</v>
      </c>
      <c r="GD132" s="88">
        <v>3333</v>
      </c>
      <c r="GE132" s="88">
        <v>3198</v>
      </c>
      <c r="GF132" s="88">
        <v>2947</v>
      </c>
      <c r="GG132" s="88">
        <v>2655</v>
      </c>
      <c r="GH132" s="88">
        <v>2463</v>
      </c>
      <c r="GI132" s="88">
        <v>2279</v>
      </c>
      <c r="GJ132" s="88">
        <v>2018</v>
      </c>
      <c r="GK132" s="88">
        <v>1770</v>
      </c>
      <c r="GL132" s="89">
        <v>8220</v>
      </c>
    </row>
    <row r="133" spans="1:194" s="1" customFormat="1" x14ac:dyDescent="0.2">
      <c r="A133" s="90" t="s">
        <v>94</v>
      </c>
      <c r="B133" s="146" t="s">
        <v>218</v>
      </c>
      <c r="C133" s="30" t="str">
        <f t="shared" si="14"/>
        <v xml:space="preserve">England – CCGs - Wigan Borough </v>
      </c>
      <c r="D133" s="51">
        <f t="shared" si="13"/>
        <v>142142</v>
      </c>
      <c r="E133" s="51">
        <f t="shared" si="13"/>
        <v>146354</v>
      </c>
      <c r="F133" s="52">
        <f t="shared" si="17"/>
        <v>334110</v>
      </c>
      <c r="G133" s="52">
        <f t="shared" si="18"/>
        <v>165612</v>
      </c>
      <c r="H133" s="52">
        <f t="shared" si="19"/>
        <v>168498</v>
      </c>
      <c r="I133" s="697">
        <f t="shared" si="15"/>
        <v>142142</v>
      </c>
      <c r="J133" s="53">
        <f t="shared" si="16"/>
        <v>146354</v>
      </c>
      <c r="K133" s="50">
        <f t="shared" si="20"/>
        <v>35791</v>
      </c>
      <c r="L133" s="51">
        <f t="shared" si="21"/>
        <v>33555</v>
      </c>
      <c r="M133" s="87">
        <v>1848</v>
      </c>
      <c r="N133" s="87">
        <v>1789</v>
      </c>
      <c r="O133" s="87">
        <v>1770</v>
      </c>
      <c r="P133" s="87">
        <v>1923</v>
      </c>
      <c r="Q133" s="87">
        <v>1908</v>
      </c>
      <c r="R133" s="87">
        <v>1968</v>
      </c>
      <c r="S133" s="87">
        <v>2038</v>
      </c>
      <c r="T133" s="87">
        <v>2028</v>
      </c>
      <c r="U133" s="87">
        <v>1997</v>
      </c>
      <c r="V133" s="87">
        <v>2002</v>
      </c>
      <c r="W133" s="87">
        <v>2081</v>
      </c>
      <c r="X133" s="87">
        <v>2118</v>
      </c>
      <c r="Y133" s="87">
        <v>2155</v>
      </c>
      <c r="Z133" s="87">
        <v>2037</v>
      </c>
      <c r="AA133" s="87">
        <v>2163</v>
      </c>
      <c r="AB133" s="87">
        <v>1928</v>
      </c>
      <c r="AC133" s="87">
        <v>2047</v>
      </c>
      <c r="AD133" s="87">
        <v>1991</v>
      </c>
      <c r="AE133" s="87">
        <v>1911</v>
      </c>
      <c r="AF133" s="87">
        <v>1602</v>
      </c>
      <c r="AG133" s="87">
        <v>1524</v>
      </c>
      <c r="AH133" s="87">
        <v>1671</v>
      </c>
      <c r="AI133" s="87">
        <v>1780</v>
      </c>
      <c r="AJ133" s="87">
        <v>1830</v>
      </c>
      <c r="AK133" s="87">
        <v>1895</v>
      </c>
      <c r="AL133" s="87">
        <v>1889</v>
      </c>
      <c r="AM133" s="87">
        <v>1938</v>
      </c>
      <c r="AN133" s="87">
        <v>1993</v>
      </c>
      <c r="AO133" s="87">
        <v>2062</v>
      </c>
      <c r="AP133" s="87">
        <v>2095</v>
      </c>
      <c r="AQ133" s="87">
        <v>2232</v>
      </c>
      <c r="AR133" s="87">
        <v>2346</v>
      </c>
      <c r="AS133" s="87">
        <v>2320</v>
      </c>
      <c r="AT133" s="87">
        <v>2325</v>
      </c>
      <c r="AU133" s="87">
        <v>2264</v>
      </c>
      <c r="AV133" s="87">
        <v>2289</v>
      </c>
      <c r="AW133" s="87">
        <v>2255</v>
      </c>
      <c r="AX133" s="87">
        <v>2303</v>
      </c>
      <c r="AY133" s="87">
        <v>2163</v>
      </c>
      <c r="AZ133" s="87">
        <v>2154</v>
      </c>
      <c r="BA133" s="87">
        <v>2190</v>
      </c>
      <c r="BB133" s="87">
        <v>2110</v>
      </c>
      <c r="BC133" s="87">
        <v>2155</v>
      </c>
      <c r="BD133" s="87">
        <v>1975</v>
      </c>
      <c r="BE133" s="87">
        <v>1782</v>
      </c>
      <c r="BF133" s="87">
        <v>1868</v>
      </c>
      <c r="BG133" s="87">
        <v>1880</v>
      </c>
      <c r="BH133" s="87">
        <v>2056</v>
      </c>
      <c r="BI133" s="87">
        <v>2080</v>
      </c>
      <c r="BJ133" s="87">
        <v>2122</v>
      </c>
      <c r="BK133" s="87">
        <v>2429</v>
      </c>
      <c r="BL133" s="87">
        <v>2532</v>
      </c>
      <c r="BM133" s="87">
        <v>2429</v>
      </c>
      <c r="BN133" s="87">
        <v>2468</v>
      </c>
      <c r="BO133" s="87">
        <v>2526</v>
      </c>
      <c r="BP133" s="87">
        <v>2525</v>
      </c>
      <c r="BQ133" s="87">
        <v>2422</v>
      </c>
      <c r="BR133" s="87">
        <v>2461</v>
      </c>
      <c r="BS133" s="87">
        <v>2406</v>
      </c>
      <c r="BT133" s="87">
        <v>2182</v>
      </c>
      <c r="BU133" s="87">
        <v>2200</v>
      </c>
      <c r="BV133" s="87">
        <v>2200</v>
      </c>
      <c r="BW133" s="87">
        <v>1926</v>
      </c>
      <c r="BX133" s="87">
        <v>1937</v>
      </c>
      <c r="BY133" s="87">
        <v>1956</v>
      </c>
      <c r="BZ133" s="87">
        <v>1740</v>
      </c>
      <c r="CA133" s="87">
        <v>1697</v>
      </c>
      <c r="CB133" s="87">
        <v>1635</v>
      </c>
      <c r="CC133" s="87">
        <v>1653</v>
      </c>
      <c r="CD133" s="87">
        <v>1600</v>
      </c>
      <c r="CE133" s="87">
        <v>1514</v>
      </c>
      <c r="CF133" s="87">
        <v>1635</v>
      </c>
      <c r="CG133" s="87">
        <v>1638</v>
      </c>
      <c r="CH133" s="87">
        <v>1700</v>
      </c>
      <c r="CI133" s="87">
        <v>1738</v>
      </c>
      <c r="CJ133" s="87">
        <v>1853</v>
      </c>
      <c r="CK133" s="87">
        <v>1378</v>
      </c>
      <c r="CL133" s="87">
        <v>1303</v>
      </c>
      <c r="CM133" s="87">
        <v>1280</v>
      </c>
      <c r="CN133" s="87">
        <v>1184</v>
      </c>
      <c r="CO133" s="87">
        <v>1041</v>
      </c>
      <c r="CP133" s="87">
        <v>899</v>
      </c>
      <c r="CQ133" s="87">
        <v>820</v>
      </c>
      <c r="CR133" s="87">
        <v>757</v>
      </c>
      <c r="CS133" s="87">
        <v>600</v>
      </c>
      <c r="CT133" s="87">
        <v>530</v>
      </c>
      <c r="CU133" s="87">
        <v>452</v>
      </c>
      <c r="CV133" s="87">
        <v>365</v>
      </c>
      <c r="CW133" s="87">
        <v>276</v>
      </c>
      <c r="CX133" s="87">
        <v>199</v>
      </c>
      <c r="CY133" s="87">
        <v>676</v>
      </c>
      <c r="CZ133" s="88">
        <v>1714</v>
      </c>
      <c r="DA133" s="88">
        <v>1710</v>
      </c>
      <c r="DB133" s="88">
        <v>1702</v>
      </c>
      <c r="DC133" s="88">
        <v>1751</v>
      </c>
      <c r="DD133" s="88">
        <v>1882</v>
      </c>
      <c r="DE133" s="88">
        <v>1835</v>
      </c>
      <c r="DF133" s="88">
        <v>1816</v>
      </c>
      <c r="DG133" s="88">
        <v>1876</v>
      </c>
      <c r="DH133" s="88">
        <v>1909</v>
      </c>
      <c r="DI133" s="88">
        <v>1950</v>
      </c>
      <c r="DJ133" s="88">
        <v>1953</v>
      </c>
      <c r="DK133" s="88">
        <v>2046</v>
      </c>
      <c r="DL133" s="88">
        <v>1938</v>
      </c>
      <c r="DM133" s="88">
        <v>1979</v>
      </c>
      <c r="DN133" s="88">
        <v>1935</v>
      </c>
      <c r="DO133" s="88">
        <v>1828</v>
      </c>
      <c r="DP133" s="88">
        <v>1871</v>
      </c>
      <c r="DQ133" s="88">
        <v>1860</v>
      </c>
      <c r="DR133" s="88">
        <v>1714</v>
      </c>
      <c r="DS133" s="88">
        <v>1268</v>
      </c>
      <c r="DT133" s="88">
        <v>1297</v>
      </c>
      <c r="DU133" s="88">
        <v>1511</v>
      </c>
      <c r="DV133" s="88">
        <v>1620</v>
      </c>
      <c r="DW133" s="88">
        <v>1847</v>
      </c>
      <c r="DX133" s="88">
        <v>1846</v>
      </c>
      <c r="DY133" s="88">
        <v>2006</v>
      </c>
      <c r="DZ133" s="88">
        <v>2020</v>
      </c>
      <c r="EA133" s="88">
        <v>2137</v>
      </c>
      <c r="EB133" s="88">
        <v>2197</v>
      </c>
      <c r="EC133" s="88">
        <v>2345</v>
      </c>
      <c r="ED133" s="88">
        <v>2486</v>
      </c>
      <c r="EE133" s="88">
        <v>2403</v>
      </c>
      <c r="EF133" s="88">
        <v>2424</v>
      </c>
      <c r="EG133" s="88">
        <v>2436</v>
      </c>
      <c r="EH133" s="88">
        <v>2422</v>
      </c>
      <c r="EI133" s="88">
        <v>2341</v>
      </c>
      <c r="EJ133" s="88">
        <v>2336</v>
      </c>
      <c r="EK133" s="88">
        <v>2287</v>
      </c>
      <c r="EL133" s="88">
        <v>2292</v>
      </c>
      <c r="EM133" s="88">
        <v>2143</v>
      </c>
      <c r="EN133" s="88">
        <v>2119</v>
      </c>
      <c r="EO133" s="88">
        <v>2200</v>
      </c>
      <c r="EP133" s="88">
        <v>2123</v>
      </c>
      <c r="EQ133" s="88">
        <v>2034</v>
      </c>
      <c r="ER133" s="88">
        <v>1880</v>
      </c>
      <c r="ES133" s="88">
        <v>1855</v>
      </c>
      <c r="ET133" s="88">
        <v>1898</v>
      </c>
      <c r="EU133" s="88">
        <v>1990</v>
      </c>
      <c r="EV133" s="88">
        <v>2087</v>
      </c>
      <c r="EW133" s="88">
        <v>2175</v>
      </c>
      <c r="EX133" s="88">
        <v>2355</v>
      </c>
      <c r="EY133" s="88">
        <v>2522</v>
      </c>
      <c r="EZ133" s="88">
        <v>2504</v>
      </c>
      <c r="FA133" s="88">
        <v>2545</v>
      </c>
      <c r="FB133" s="88">
        <v>2470</v>
      </c>
      <c r="FC133" s="88">
        <v>2394</v>
      </c>
      <c r="FD133" s="88">
        <v>2388</v>
      </c>
      <c r="FE133" s="88">
        <v>2358</v>
      </c>
      <c r="FF133" s="88">
        <v>2362</v>
      </c>
      <c r="FG133" s="88">
        <v>2217</v>
      </c>
      <c r="FH133" s="88">
        <v>2288</v>
      </c>
      <c r="FI133" s="88">
        <v>2092</v>
      </c>
      <c r="FJ133" s="88">
        <v>2085</v>
      </c>
      <c r="FK133" s="88">
        <v>2029</v>
      </c>
      <c r="FL133" s="88">
        <v>1920</v>
      </c>
      <c r="FM133" s="88">
        <v>1879</v>
      </c>
      <c r="FN133" s="88">
        <v>1767</v>
      </c>
      <c r="FO133" s="88">
        <v>1717</v>
      </c>
      <c r="FP133" s="88">
        <v>1744</v>
      </c>
      <c r="FQ133" s="88">
        <v>1743</v>
      </c>
      <c r="FR133" s="88">
        <v>1655</v>
      </c>
      <c r="FS133" s="88">
        <v>1652</v>
      </c>
      <c r="FT133" s="88">
        <v>1782</v>
      </c>
      <c r="FU133" s="88">
        <v>1814</v>
      </c>
      <c r="FV133" s="88">
        <v>1937</v>
      </c>
      <c r="FW133" s="88">
        <v>2121</v>
      </c>
      <c r="FX133" s="88">
        <v>1481</v>
      </c>
      <c r="FY133" s="88">
        <v>1515</v>
      </c>
      <c r="FZ133" s="88">
        <v>1393</v>
      </c>
      <c r="GA133" s="88">
        <v>1381</v>
      </c>
      <c r="GB133" s="88">
        <v>1166</v>
      </c>
      <c r="GC133" s="88">
        <v>952</v>
      </c>
      <c r="GD133" s="88">
        <v>983</v>
      </c>
      <c r="GE133" s="88">
        <v>870</v>
      </c>
      <c r="GF133" s="88">
        <v>853</v>
      </c>
      <c r="GG133" s="88">
        <v>735</v>
      </c>
      <c r="GH133" s="88">
        <v>602</v>
      </c>
      <c r="GI133" s="88">
        <v>564</v>
      </c>
      <c r="GJ133" s="88">
        <v>488</v>
      </c>
      <c r="GK133" s="88">
        <v>353</v>
      </c>
      <c r="GL133" s="89">
        <v>1528</v>
      </c>
    </row>
    <row r="134" spans="1:194" s="1" customFormat="1" x14ac:dyDescent="0.2">
      <c r="A134" s="90" t="s">
        <v>94</v>
      </c>
      <c r="B134" s="146" t="s">
        <v>219</v>
      </c>
      <c r="C134" s="30" t="str">
        <f t="shared" si="14"/>
        <v xml:space="preserve">England – CCGs - Wirral </v>
      </c>
      <c r="D134" s="51">
        <f t="shared" si="13"/>
        <v>134091</v>
      </c>
      <c r="E134" s="51">
        <f t="shared" si="13"/>
        <v>145723</v>
      </c>
      <c r="F134" s="52">
        <f t="shared" si="17"/>
        <v>322453</v>
      </c>
      <c r="G134" s="52">
        <f t="shared" si="18"/>
        <v>156079</v>
      </c>
      <c r="H134" s="52">
        <f t="shared" si="19"/>
        <v>166374</v>
      </c>
      <c r="I134" s="694">
        <f t="shared" si="15"/>
        <v>134091</v>
      </c>
      <c r="J134" s="49">
        <f t="shared" si="16"/>
        <v>145723</v>
      </c>
      <c r="K134" s="50">
        <f t="shared" si="20"/>
        <v>33797</v>
      </c>
      <c r="L134" s="51">
        <f t="shared" si="21"/>
        <v>31893</v>
      </c>
      <c r="M134" s="87">
        <v>1548</v>
      </c>
      <c r="N134" s="87">
        <v>1560</v>
      </c>
      <c r="O134" s="87">
        <v>1574</v>
      </c>
      <c r="P134" s="87">
        <v>1765</v>
      </c>
      <c r="Q134" s="87">
        <v>1847</v>
      </c>
      <c r="R134" s="87">
        <v>1861</v>
      </c>
      <c r="S134" s="87">
        <v>1922</v>
      </c>
      <c r="T134" s="87">
        <v>1887</v>
      </c>
      <c r="U134" s="87">
        <v>1937</v>
      </c>
      <c r="V134" s="87">
        <v>1909</v>
      </c>
      <c r="W134" s="87">
        <v>2170</v>
      </c>
      <c r="X134" s="87">
        <v>2008</v>
      </c>
      <c r="Y134" s="87">
        <v>2010</v>
      </c>
      <c r="Z134" s="87">
        <v>1997</v>
      </c>
      <c r="AA134" s="87">
        <v>1957</v>
      </c>
      <c r="AB134" s="87">
        <v>1994</v>
      </c>
      <c r="AC134" s="87">
        <v>1961</v>
      </c>
      <c r="AD134" s="87">
        <v>1890</v>
      </c>
      <c r="AE134" s="87">
        <v>1831</v>
      </c>
      <c r="AF134" s="87">
        <v>1384</v>
      </c>
      <c r="AG134" s="87">
        <v>1401</v>
      </c>
      <c r="AH134" s="87">
        <v>1445</v>
      </c>
      <c r="AI134" s="87">
        <v>1494</v>
      </c>
      <c r="AJ134" s="87">
        <v>1630</v>
      </c>
      <c r="AK134" s="87">
        <v>1635</v>
      </c>
      <c r="AL134" s="87">
        <v>1726</v>
      </c>
      <c r="AM134" s="87">
        <v>1723</v>
      </c>
      <c r="AN134" s="87">
        <v>1637</v>
      </c>
      <c r="AO134" s="87">
        <v>1726</v>
      </c>
      <c r="AP134" s="87">
        <v>1930</v>
      </c>
      <c r="AQ134" s="87">
        <v>1823</v>
      </c>
      <c r="AR134" s="87">
        <v>1956</v>
      </c>
      <c r="AS134" s="87">
        <v>1965</v>
      </c>
      <c r="AT134" s="87">
        <v>1832</v>
      </c>
      <c r="AU134" s="87">
        <v>1944</v>
      </c>
      <c r="AV134" s="87">
        <v>1873</v>
      </c>
      <c r="AW134" s="87">
        <v>1831</v>
      </c>
      <c r="AX134" s="87">
        <v>1805</v>
      </c>
      <c r="AY134" s="87">
        <v>1820</v>
      </c>
      <c r="AZ134" s="87">
        <v>1850</v>
      </c>
      <c r="BA134" s="87">
        <v>1913</v>
      </c>
      <c r="BB134" s="87">
        <v>1873</v>
      </c>
      <c r="BC134" s="87">
        <v>1898</v>
      </c>
      <c r="BD134" s="87">
        <v>1850</v>
      </c>
      <c r="BE134" s="87">
        <v>1708</v>
      </c>
      <c r="BF134" s="87">
        <v>1661</v>
      </c>
      <c r="BG134" s="87">
        <v>1741</v>
      </c>
      <c r="BH134" s="87">
        <v>1801</v>
      </c>
      <c r="BI134" s="87">
        <v>1784</v>
      </c>
      <c r="BJ134" s="87">
        <v>1965</v>
      </c>
      <c r="BK134" s="87">
        <v>2142</v>
      </c>
      <c r="BL134" s="87">
        <v>2256</v>
      </c>
      <c r="BM134" s="87">
        <v>2109</v>
      </c>
      <c r="BN134" s="87">
        <v>2195</v>
      </c>
      <c r="BO134" s="87">
        <v>2226</v>
      </c>
      <c r="BP134" s="87">
        <v>2312</v>
      </c>
      <c r="BQ134" s="87">
        <v>2251</v>
      </c>
      <c r="BR134" s="87">
        <v>2279</v>
      </c>
      <c r="BS134" s="87">
        <v>2333</v>
      </c>
      <c r="BT134" s="87">
        <v>2194</v>
      </c>
      <c r="BU134" s="87">
        <v>2365</v>
      </c>
      <c r="BV134" s="87">
        <v>2290</v>
      </c>
      <c r="BW134" s="87">
        <v>2170</v>
      </c>
      <c r="BX134" s="87">
        <v>2139</v>
      </c>
      <c r="BY134" s="87">
        <v>2069</v>
      </c>
      <c r="BZ134" s="87">
        <v>1943</v>
      </c>
      <c r="CA134" s="87">
        <v>1821</v>
      </c>
      <c r="CB134" s="87">
        <v>1740</v>
      </c>
      <c r="CC134" s="87">
        <v>1873</v>
      </c>
      <c r="CD134" s="87">
        <v>1779</v>
      </c>
      <c r="CE134" s="87">
        <v>1716</v>
      </c>
      <c r="CF134" s="87">
        <v>1767</v>
      </c>
      <c r="CG134" s="87">
        <v>1835</v>
      </c>
      <c r="CH134" s="87">
        <v>1720</v>
      </c>
      <c r="CI134" s="87">
        <v>1765</v>
      </c>
      <c r="CJ134" s="87">
        <v>1855</v>
      </c>
      <c r="CK134" s="87">
        <v>1342</v>
      </c>
      <c r="CL134" s="87">
        <v>1281</v>
      </c>
      <c r="CM134" s="87">
        <v>1330</v>
      </c>
      <c r="CN134" s="87">
        <v>1138</v>
      </c>
      <c r="CO134" s="87">
        <v>967</v>
      </c>
      <c r="CP134" s="87">
        <v>811</v>
      </c>
      <c r="CQ134" s="87">
        <v>879</v>
      </c>
      <c r="CR134" s="87">
        <v>776</v>
      </c>
      <c r="CS134" s="87">
        <v>716</v>
      </c>
      <c r="CT134" s="87">
        <v>599</v>
      </c>
      <c r="CU134" s="87">
        <v>560</v>
      </c>
      <c r="CV134" s="87">
        <v>467</v>
      </c>
      <c r="CW134" s="87">
        <v>384</v>
      </c>
      <c r="CX134" s="87">
        <v>330</v>
      </c>
      <c r="CY134" s="87">
        <v>1103</v>
      </c>
      <c r="CZ134" s="88">
        <v>1473</v>
      </c>
      <c r="DA134" s="88">
        <v>1489</v>
      </c>
      <c r="DB134" s="88">
        <v>1668</v>
      </c>
      <c r="DC134" s="88">
        <v>1644</v>
      </c>
      <c r="DD134" s="88">
        <v>1601</v>
      </c>
      <c r="DE134" s="88">
        <v>1629</v>
      </c>
      <c r="DF134" s="88">
        <v>1797</v>
      </c>
      <c r="DG134" s="88">
        <v>1778</v>
      </c>
      <c r="DH134" s="88">
        <v>1778</v>
      </c>
      <c r="DI134" s="88">
        <v>1873</v>
      </c>
      <c r="DJ134" s="88">
        <v>1959</v>
      </c>
      <c r="DK134" s="88">
        <v>1962</v>
      </c>
      <c r="DL134" s="88">
        <v>1872</v>
      </c>
      <c r="DM134" s="88">
        <v>1905</v>
      </c>
      <c r="DN134" s="88">
        <v>1998</v>
      </c>
      <c r="DO134" s="88">
        <v>1805</v>
      </c>
      <c r="DP134" s="88">
        <v>1792</v>
      </c>
      <c r="DQ134" s="88">
        <v>1870</v>
      </c>
      <c r="DR134" s="88">
        <v>1751</v>
      </c>
      <c r="DS134" s="88">
        <v>1137</v>
      </c>
      <c r="DT134" s="88">
        <v>1203</v>
      </c>
      <c r="DU134" s="88">
        <v>1309</v>
      </c>
      <c r="DV134" s="88">
        <v>1481</v>
      </c>
      <c r="DW134" s="88">
        <v>1605</v>
      </c>
      <c r="DX134" s="88">
        <v>1708</v>
      </c>
      <c r="DY134" s="88">
        <v>1724</v>
      </c>
      <c r="DZ134" s="88">
        <v>1705</v>
      </c>
      <c r="EA134" s="88">
        <v>1866</v>
      </c>
      <c r="EB134" s="88">
        <v>1890</v>
      </c>
      <c r="EC134" s="88">
        <v>1897</v>
      </c>
      <c r="ED134" s="88">
        <v>1946</v>
      </c>
      <c r="EE134" s="88">
        <v>2084</v>
      </c>
      <c r="EF134" s="88">
        <v>2066</v>
      </c>
      <c r="EG134" s="88">
        <v>2114</v>
      </c>
      <c r="EH134" s="88">
        <v>2195</v>
      </c>
      <c r="EI134" s="88">
        <v>2116</v>
      </c>
      <c r="EJ134" s="88">
        <v>2170</v>
      </c>
      <c r="EK134" s="88">
        <v>2082</v>
      </c>
      <c r="EL134" s="88">
        <v>2099</v>
      </c>
      <c r="EM134" s="88">
        <v>1993</v>
      </c>
      <c r="EN134" s="88">
        <v>1993</v>
      </c>
      <c r="EO134" s="88">
        <v>1980</v>
      </c>
      <c r="EP134" s="88">
        <v>1994</v>
      </c>
      <c r="EQ134" s="88">
        <v>2013</v>
      </c>
      <c r="ER134" s="88">
        <v>1833</v>
      </c>
      <c r="ES134" s="88">
        <v>1799</v>
      </c>
      <c r="ET134" s="88">
        <v>1913</v>
      </c>
      <c r="EU134" s="88">
        <v>1981</v>
      </c>
      <c r="EV134" s="88">
        <v>1956</v>
      </c>
      <c r="EW134" s="88">
        <v>2114</v>
      </c>
      <c r="EX134" s="88">
        <v>2210</v>
      </c>
      <c r="EY134" s="88">
        <v>2367</v>
      </c>
      <c r="EZ134" s="88">
        <v>2309</v>
      </c>
      <c r="FA134" s="88">
        <v>2347</v>
      </c>
      <c r="FB134" s="88">
        <v>2434</v>
      </c>
      <c r="FC134" s="88">
        <v>2374</v>
      </c>
      <c r="FD134" s="88">
        <v>2354</v>
      </c>
      <c r="FE134" s="88">
        <v>2547</v>
      </c>
      <c r="FF134" s="88">
        <v>2526</v>
      </c>
      <c r="FG134" s="88">
        <v>2562</v>
      </c>
      <c r="FH134" s="88">
        <v>2452</v>
      </c>
      <c r="FI134" s="88">
        <v>2278</v>
      </c>
      <c r="FJ134" s="88">
        <v>2247</v>
      </c>
      <c r="FK134" s="88">
        <v>2178</v>
      </c>
      <c r="FL134" s="88">
        <v>2128</v>
      </c>
      <c r="FM134" s="88">
        <v>2160</v>
      </c>
      <c r="FN134" s="88">
        <v>1979</v>
      </c>
      <c r="FO134" s="88">
        <v>1975</v>
      </c>
      <c r="FP134" s="88">
        <v>1945</v>
      </c>
      <c r="FQ134" s="88">
        <v>1952</v>
      </c>
      <c r="FR134" s="88">
        <v>1934</v>
      </c>
      <c r="FS134" s="88">
        <v>1933</v>
      </c>
      <c r="FT134" s="88">
        <v>1802</v>
      </c>
      <c r="FU134" s="88">
        <v>1947</v>
      </c>
      <c r="FV134" s="88">
        <v>1960</v>
      </c>
      <c r="FW134" s="88">
        <v>2161</v>
      </c>
      <c r="FX134" s="88">
        <v>1589</v>
      </c>
      <c r="FY134" s="88">
        <v>1489</v>
      </c>
      <c r="FZ134" s="88">
        <v>1518</v>
      </c>
      <c r="GA134" s="88">
        <v>1389</v>
      </c>
      <c r="GB134" s="88">
        <v>1214</v>
      </c>
      <c r="GC134" s="88">
        <v>1173</v>
      </c>
      <c r="GD134" s="88">
        <v>1166</v>
      </c>
      <c r="GE134" s="88">
        <v>1095</v>
      </c>
      <c r="GF134" s="88">
        <v>979</v>
      </c>
      <c r="GG134" s="88">
        <v>862</v>
      </c>
      <c r="GH134" s="88">
        <v>838</v>
      </c>
      <c r="GI134" s="88">
        <v>747</v>
      </c>
      <c r="GJ134" s="88">
        <v>662</v>
      </c>
      <c r="GK134" s="88">
        <v>530</v>
      </c>
      <c r="GL134" s="89">
        <v>2452</v>
      </c>
    </row>
    <row r="135" spans="1:194" s="125" customFormat="1" ht="15" x14ac:dyDescent="0.25">
      <c r="A135" s="121"/>
      <c r="B135" s="122"/>
      <c r="C135" s="121"/>
      <c r="D135" s="148">
        <f t="shared" ref="D135:L135" si="22">SUM(D29:D134)</f>
        <v>23982304</v>
      </c>
      <c r="E135" s="148">
        <f t="shared" si="22"/>
        <v>25305672</v>
      </c>
      <c r="F135" s="148">
        <f t="shared" si="22"/>
        <v>57106398</v>
      </c>
      <c r="G135" s="148">
        <f t="shared" si="22"/>
        <v>27983290</v>
      </c>
      <c r="H135" s="148">
        <f t="shared" si="22"/>
        <v>29123108</v>
      </c>
      <c r="I135" s="698">
        <f>SUM(I29:I134)</f>
        <v>23982304</v>
      </c>
      <c r="J135" s="77">
        <f t="shared" si="22"/>
        <v>25305672</v>
      </c>
      <c r="K135" s="148">
        <f t="shared" si="22"/>
        <v>6087888</v>
      </c>
      <c r="L135" s="148">
        <f t="shared" si="22"/>
        <v>5799018</v>
      </c>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c r="CD135" s="124"/>
      <c r="CE135" s="124"/>
      <c r="CF135" s="124"/>
      <c r="CG135" s="124"/>
      <c r="CH135" s="124"/>
      <c r="CI135" s="124"/>
      <c r="CJ135" s="124"/>
      <c r="CK135" s="124"/>
      <c r="CL135" s="124"/>
      <c r="CM135" s="124"/>
      <c r="CN135" s="124"/>
      <c r="CO135" s="124"/>
      <c r="CP135" s="124"/>
      <c r="CQ135" s="124"/>
      <c r="CR135" s="124"/>
      <c r="CS135" s="124"/>
      <c r="CT135" s="124"/>
      <c r="CU135" s="124"/>
      <c r="CV135" s="124"/>
      <c r="CW135" s="124"/>
      <c r="CX135" s="124"/>
      <c r="CY135" s="123"/>
      <c r="CZ135" s="124"/>
      <c r="DA135" s="124"/>
      <c r="DB135" s="124"/>
      <c r="DC135" s="124"/>
      <c r="DD135" s="124"/>
      <c r="DE135" s="124"/>
      <c r="DF135" s="124"/>
      <c r="DG135" s="124"/>
      <c r="DH135" s="124"/>
      <c r="DI135" s="124"/>
      <c r="DJ135" s="124"/>
      <c r="DK135" s="124"/>
      <c r="DL135" s="124"/>
      <c r="DM135" s="124"/>
      <c r="DN135" s="124"/>
      <c r="DO135" s="124"/>
      <c r="DP135" s="124"/>
      <c r="DQ135" s="124"/>
      <c r="DR135" s="124"/>
      <c r="DS135" s="124"/>
      <c r="DT135" s="124"/>
      <c r="DU135" s="124"/>
      <c r="DV135" s="124"/>
      <c r="DW135" s="124"/>
      <c r="DX135" s="124"/>
      <c r="DY135" s="124"/>
      <c r="DZ135" s="124"/>
      <c r="EA135" s="124"/>
      <c r="EB135" s="124"/>
      <c r="EC135" s="124"/>
      <c r="ED135" s="124"/>
      <c r="EE135" s="124"/>
      <c r="EF135" s="124"/>
      <c r="EG135" s="124"/>
      <c r="EH135" s="124"/>
      <c r="EI135" s="124"/>
      <c r="EJ135" s="124"/>
      <c r="EK135" s="124"/>
      <c r="EL135" s="124"/>
      <c r="EM135" s="124"/>
      <c r="EN135" s="124"/>
      <c r="EO135" s="124"/>
      <c r="EP135" s="124"/>
      <c r="EQ135" s="124"/>
      <c r="ER135" s="124"/>
      <c r="ES135" s="124"/>
      <c r="ET135" s="124"/>
      <c r="EU135" s="124"/>
      <c r="EV135" s="124"/>
      <c r="EW135" s="124"/>
      <c r="EX135" s="124"/>
      <c r="EY135" s="124"/>
      <c r="EZ135" s="124"/>
      <c r="FA135" s="124"/>
      <c r="FB135" s="124"/>
      <c r="FC135" s="124"/>
      <c r="FD135" s="124"/>
      <c r="FE135" s="124"/>
      <c r="FF135" s="124"/>
      <c r="FG135" s="124"/>
      <c r="FH135" s="124"/>
      <c r="FI135" s="124"/>
      <c r="FJ135" s="124"/>
      <c r="FK135" s="124"/>
      <c r="FL135" s="124"/>
      <c r="FM135" s="124"/>
      <c r="FN135" s="124"/>
      <c r="FO135" s="124"/>
      <c r="FP135" s="124"/>
      <c r="FQ135" s="124"/>
      <c r="FR135" s="124"/>
      <c r="FS135" s="124"/>
      <c r="FT135" s="124"/>
      <c r="FU135" s="124"/>
      <c r="FV135" s="124"/>
      <c r="FW135" s="124"/>
      <c r="FX135" s="124"/>
      <c r="FY135" s="124"/>
      <c r="FZ135" s="124"/>
      <c r="GA135" s="124"/>
      <c r="GB135" s="124"/>
      <c r="GC135" s="124"/>
      <c r="GD135" s="124"/>
      <c r="GE135" s="124"/>
      <c r="GF135" s="124"/>
      <c r="GG135" s="124"/>
      <c r="GH135" s="124"/>
      <c r="GI135" s="124"/>
      <c r="GJ135" s="124"/>
      <c r="GK135" s="124"/>
      <c r="GL135" s="123"/>
    </row>
    <row r="136" spans="1:194" s="1" customFormat="1" x14ac:dyDescent="0.2">
      <c r="A136" s="54" t="s">
        <v>73</v>
      </c>
      <c r="B136" s="108" t="s">
        <v>220</v>
      </c>
      <c r="C136" s="30" t="str">
        <f t="shared" ref="C136:C142" si="23">CONCATENATE(A136," - ",B136)</f>
        <v xml:space="preserve">Wales – Health Boards - Aneurin Bevan University Health Board </v>
      </c>
      <c r="D136" s="51">
        <f t="shared" ref="D136:E142" si="24">I136</f>
        <v>248793</v>
      </c>
      <c r="E136" s="51">
        <f t="shared" si="24"/>
        <v>262653</v>
      </c>
      <c r="F136" s="52">
        <f t="shared" ref="F136:F142" si="25">G136+H136</f>
        <v>591396</v>
      </c>
      <c r="G136" s="52">
        <f t="shared" ref="G136:G142" si="26">SUM(M136:CY136)</f>
        <v>289759</v>
      </c>
      <c r="H136" s="52">
        <f t="shared" ref="H136:H142" si="27">SUM(CZ136:GL136)</f>
        <v>301637</v>
      </c>
      <c r="I136" s="696">
        <f t="shared" si="15"/>
        <v>248793</v>
      </c>
      <c r="J136" s="62">
        <f t="shared" si="16"/>
        <v>262653</v>
      </c>
      <c r="K136" s="50">
        <f t="shared" ref="K136:K142" si="28">SUM(M136:AD136)</f>
        <v>62647</v>
      </c>
      <c r="L136" s="51">
        <f t="shared" ref="L136:L142" si="29">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91">
        <v>3416</v>
      </c>
    </row>
    <row r="137" spans="1:194" s="1" customFormat="1" x14ac:dyDescent="0.2">
      <c r="A137" s="54" t="s">
        <v>73</v>
      </c>
      <c r="B137" s="109" t="s">
        <v>221</v>
      </c>
      <c r="C137" s="30" t="str">
        <f t="shared" si="23"/>
        <v xml:space="preserve">Wales – Health Boards - Betsi Cadwaladr University Health Board </v>
      </c>
      <c r="D137" s="51">
        <f t="shared" si="24"/>
        <v>293102</v>
      </c>
      <c r="E137" s="51">
        <f t="shared" si="24"/>
        <v>309372</v>
      </c>
      <c r="F137" s="52">
        <f t="shared" si="25"/>
        <v>688201</v>
      </c>
      <c r="G137" s="52">
        <f t="shared" si="26"/>
        <v>337029</v>
      </c>
      <c r="H137" s="52">
        <f t="shared" si="27"/>
        <v>351172</v>
      </c>
      <c r="I137" s="697">
        <f t="shared" si="15"/>
        <v>293102</v>
      </c>
      <c r="J137" s="53">
        <f t="shared" si="16"/>
        <v>309372</v>
      </c>
      <c r="K137" s="50">
        <f t="shared" si="28"/>
        <v>68583</v>
      </c>
      <c r="L137" s="51">
        <f t="shared" si="29"/>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91">
        <v>5253</v>
      </c>
    </row>
    <row r="138" spans="1:194" s="1" customFormat="1" x14ac:dyDescent="0.2">
      <c r="A138" s="54" t="s">
        <v>73</v>
      </c>
      <c r="B138" s="109" t="s">
        <v>222</v>
      </c>
      <c r="C138" s="30" t="str">
        <f t="shared" si="23"/>
        <v xml:space="preserve">Wales – Health Boards - Cardiff and Vale University Health Board </v>
      </c>
      <c r="D138" s="51">
        <f t="shared" si="24"/>
        <v>212233</v>
      </c>
      <c r="E138" s="51">
        <f t="shared" si="24"/>
        <v>225638</v>
      </c>
      <c r="F138" s="52">
        <f t="shared" si="25"/>
        <v>505581</v>
      </c>
      <c r="G138" s="52">
        <f t="shared" si="26"/>
        <v>246725</v>
      </c>
      <c r="H138" s="52">
        <f t="shared" si="27"/>
        <v>258856</v>
      </c>
      <c r="I138" s="697">
        <f t="shared" si="15"/>
        <v>212233</v>
      </c>
      <c r="J138" s="53">
        <f t="shared" si="16"/>
        <v>225638</v>
      </c>
      <c r="K138" s="50">
        <f t="shared" si="28"/>
        <v>52516</v>
      </c>
      <c r="L138" s="51">
        <f t="shared" si="29"/>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91">
        <v>2801</v>
      </c>
    </row>
    <row r="139" spans="1:194" s="1" customFormat="1" x14ac:dyDescent="0.2">
      <c r="A139" s="54" t="s">
        <v>73</v>
      </c>
      <c r="B139" s="109" t="s">
        <v>223</v>
      </c>
      <c r="C139" s="30" t="str">
        <f t="shared" si="23"/>
        <v xml:space="preserve">Wales – Health Boards - Cwm Taf Morgannwg University Health Board </v>
      </c>
      <c r="D139" s="51">
        <f t="shared" si="24"/>
        <v>187852</v>
      </c>
      <c r="E139" s="51">
        <f t="shared" si="24"/>
        <v>196895</v>
      </c>
      <c r="F139" s="52">
        <f t="shared" si="25"/>
        <v>444037</v>
      </c>
      <c r="G139" s="52">
        <f t="shared" si="26"/>
        <v>218245</v>
      </c>
      <c r="H139" s="52">
        <f t="shared" si="27"/>
        <v>225792</v>
      </c>
      <c r="I139" s="697">
        <f t="shared" si="15"/>
        <v>187852</v>
      </c>
      <c r="J139" s="53">
        <f t="shared" si="16"/>
        <v>196895</v>
      </c>
      <c r="K139" s="50">
        <f t="shared" si="28"/>
        <v>46628</v>
      </c>
      <c r="L139" s="51">
        <f t="shared" si="29"/>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91">
        <v>2349</v>
      </c>
    </row>
    <row r="140" spans="1:194" s="1" customFormat="1" x14ac:dyDescent="0.2">
      <c r="A140" s="54" t="s">
        <v>73</v>
      </c>
      <c r="B140" s="109" t="s">
        <v>224</v>
      </c>
      <c r="C140" s="30" t="str">
        <f t="shared" si="23"/>
        <v xml:space="preserve">Wales – Health Boards - Hywel Dda University Health Board </v>
      </c>
      <c r="D140" s="51">
        <f t="shared" si="24"/>
        <v>164354</v>
      </c>
      <c r="E140" s="51">
        <f t="shared" si="24"/>
        <v>174792</v>
      </c>
      <c r="F140" s="52">
        <f t="shared" si="25"/>
        <v>385094</v>
      </c>
      <c r="G140" s="52">
        <f t="shared" si="26"/>
        <v>187853</v>
      </c>
      <c r="H140" s="52">
        <f t="shared" si="27"/>
        <v>197241</v>
      </c>
      <c r="I140" s="697">
        <f t="shared" si="15"/>
        <v>164354</v>
      </c>
      <c r="J140" s="53">
        <f t="shared" si="16"/>
        <v>174792</v>
      </c>
      <c r="K140" s="50">
        <f t="shared" si="28"/>
        <v>36778</v>
      </c>
      <c r="L140" s="51">
        <f t="shared" si="29"/>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91">
        <v>2974</v>
      </c>
    </row>
    <row r="141" spans="1:194" s="1" customFormat="1" x14ac:dyDescent="0.2">
      <c r="A141" s="54" t="s">
        <v>73</v>
      </c>
      <c r="B141" s="109" t="s">
        <v>225</v>
      </c>
      <c r="C141" s="30" t="str">
        <f t="shared" si="23"/>
        <v xml:space="preserve">Wales – Health Boards - Powys Teaching Health Board </v>
      </c>
      <c r="D141" s="51">
        <f t="shared" si="24"/>
        <v>58414</v>
      </c>
      <c r="E141" s="51">
        <f t="shared" si="24"/>
        <v>60474</v>
      </c>
      <c r="F141" s="52">
        <f t="shared" si="25"/>
        <v>133891</v>
      </c>
      <c r="G141" s="52">
        <f t="shared" si="26"/>
        <v>66153</v>
      </c>
      <c r="H141" s="52">
        <f t="shared" si="27"/>
        <v>67738</v>
      </c>
      <c r="I141" s="697">
        <f t="shared" si="15"/>
        <v>58414</v>
      </c>
      <c r="J141" s="53">
        <f t="shared" si="16"/>
        <v>60474</v>
      </c>
      <c r="K141" s="50">
        <f t="shared" si="28"/>
        <v>12168</v>
      </c>
      <c r="L141" s="51">
        <f t="shared" si="29"/>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91">
        <v>1223</v>
      </c>
    </row>
    <row r="142" spans="1:194" s="1" customFormat="1" x14ac:dyDescent="0.2">
      <c r="A142" s="55" t="s">
        <v>73</v>
      </c>
      <c r="B142" s="107" t="s">
        <v>226</v>
      </c>
      <c r="C142" s="44" t="str">
        <f t="shared" si="23"/>
        <v xml:space="preserve">Wales – Health Boards - Swansea Bay University Health Board </v>
      </c>
      <c r="D142" s="57">
        <f t="shared" si="24"/>
        <v>164352</v>
      </c>
      <c r="E142" s="57">
        <f t="shared" si="24"/>
        <v>170961</v>
      </c>
      <c r="F142" s="52">
        <f t="shared" si="25"/>
        <v>383440</v>
      </c>
      <c r="G142" s="52">
        <f t="shared" si="26"/>
        <v>189120</v>
      </c>
      <c r="H142" s="52">
        <f t="shared" si="27"/>
        <v>194320</v>
      </c>
      <c r="I142" s="697">
        <f t="shared" si="15"/>
        <v>164352</v>
      </c>
      <c r="J142" s="53">
        <f t="shared" si="16"/>
        <v>170961</v>
      </c>
      <c r="K142" s="56">
        <f t="shared" si="28"/>
        <v>38510</v>
      </c>
      <c r="L142" s="57">
        <f t="shared" si="29"/>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25" customFormat="1" ht="15" x14ac:dyDescent="0.25">
      <c r="A143" s="126"/>
      <c r="B143" s="127"/>
      <c r="C143" s="126"/>
      <c r="D143" s="41">
        <f>SUM(D136:D142)</f>
        <v>1329100</v>
      </c>
      <c r="E143" s="41">
        <f t="shared" ref="E143:L143" si="30">SUM(E136:E142)</f>
        <v>1400785</v>
      </c>
      <c r="F143" s="148">
        <f t="shared" si="30"/>
        <v>3131640</v>
      </c>
      <c r="G143" s="148">
        <f t="shared" si="30"/>
        <v>1534884</v>
      </c>
      <c r="H143" s="148">
        <f t="shared" si="30"/>
        <v>1596756</v>
      </c>
      <c r="I143" s="148">
        <f t="shared" si="30"/>
        <v>1329100</v>
      </c>
      <c r="J143" s="123">
        <f t="shared" si="30"/>
        <v>1400785</v>
      </c>
      <c r="K143" s="40">
        <f t="shared" si="30"/>
        <v>317830</v>
      </c>
      <c r="L143" s="41">
        <f t="shared" si="30"/>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2">
      <c r="A144" s="59" t="s">
        <v>76</v>
      </c>
      <c r="B144" s="108" t="s">
        <v>227</v>
      </c>
      <c r="C144" s="72" t="str">
        <f>CONCATENATE(A144," - ",B144)</f>
        <v>NI – Health and Social Care Trusts - Belfast Health and Social Care Trust</v>
      </c>
      <c r="D144" s="61">
        <f t="shared" ref="D144:E148" si="31">I144</f>
        <v>151453.47400360389</v>
      </c>
      <c r="E144" s="61">
        <f t="shared" si="31"/>
        <v>161685.98345437899</v>
      </c>
      <c r="F144" s="552">
        <f>G144+H144</f>
        <v>364103.61922965694</v>
      </c>
      <c r="G144" s="552">
        <f>SUM(M144:CY144)</f>
        <v>177508.17393508262</v>
      </c>
      <c r="H144" s="552">
        <f>SUM(CZ144:GL144)</f>
        <v>186595.44529457431</v>
      </c>
      <c r="I144" s="697">
        <f t="shared" si="15"/>
        <v>151453.47400360389</v>
      </c>
      <c r="J144" s="53">
        <f t="shared" si="16"/>
        <v>161685.98345437899</v>
      </c>
      <c r="K144" s="553">
        <f>SUM(M144:AD144)</f>
        <v>38954.196552201036</v>
      </c>
      <c r="L144" s="61">
        <f>SUM(CZ144:DQ144)</f>
        <v>37048.788099800979</v>
      </c>
      <c r="M144" s="553">
        <v>2017.8952120383037</v>
      </c>
      <c r="N144" s="553">
        <v>2031.4154300095463</v>
      </c>
      <c r="O144" s="553">
        <v>2025.5722779004586</v>
      </c>
      <c r="P144" s="553">
        <v>2036.6363244919048</v>
      </c>
      <c r="Q144" s="553">
        <v>2174.8657606103957</v>
      </c>
      <c r="R144" s="553">
        <v>2139.1275684252282</v>
      </c>
      <c r="S144" s="553">
        <v>2269.8788621098379</v>
      </c>
      <c r="T144" s="553">
        <v>2199.8731034482757</v>
      </c>
      <c r="U144" s="553">
        <v>2214.1918960244648</v>
      </c>
      <c r="V144" s="553">
        <v>2323.0202012443356</v>
      </c>
      <c r="W144" s="553">
        <v>2319.2258355916892</v>
      </c>
      <c r="X144" s="553">
        <v>2302.9974595842955</v>
      </c>
      <c r="Y144" s="553">
        <v>2256.5049293083684</v>
      </c>
      <c r="Z144" s="553">
        <v>2212.0418107754977</v>
      </c>
      <c r="AA144" s="553">
        <v>2229.1199141767324</v>
      </c>
      <c r="AB144" s="553">
        <v>2134.8894582108355</v>
      </c>
      <c r="AC144" s="553">
        <v>2012.6591474539725</v>
      </c>
      <c r="AD144" s="553">
        <v>2054.2813607968933</v>
      </c>
      <c r="AE144" s="553">
        <v>2265.0450211864404</v>
      </c>
      <c r="AF144" s="553">
        <v>2804.7232134687529</v>
      </c>
      <c r="AG144" s="553">
        <v>2878.6458486407055</v>
      </c>
      <c r="AH144" s="553">
        <v>2648.2416475163518</v>
      </c>
      <c r="AI144" s="553">
        <v>2812.8031562871206</v>
      </c>
      <c r="AJ144" s="553">
        <v>2819.1729711141679</v>
      </c>
      <c r="AK144" s="553">
        <v>2731.7522704339053</v>
      </c>
      <c r="AL144" s="553">
        <v>2754.8174718956493</v>
      </c>
      <c r="AM144" s="553">
        <v>2792.2450211225105</v>
      </c>
      <c r="AN144" s="553">
        <v>2709.9772329246935</v>
      </c>
      <c r="AO144" s="553">
        <v>2693.0545391183132</v>
      </c>
      <c r="AP144" s="553">
        <v>2739.741847362131</v>
      </c>
      <c r="AQ144" s="553">
        <v>2738.9105892047796</v>
      </c>
      <c r="AR144" s="553">
        <v>2711.0666008067833</v>
      </c>
      <c r="AS144" s="553">
        <v>2782.8070289619263</v>
      </c>
      <c r="AT144" s="553">
        <v>2691.3420944220152</v>
      </c>
      <c r="AU144" s="553">
        <v>2575.2371291098634</v>
      </c>
      <c r="AV144" s="553">
        <v>2616.3572226656024</v>
      </c>
      <c r="AW144" s="553">
        <v>2585.9089460686691</v>
      </c>
      <c r="AX144" s="553">
        <v>2533.264568094025</v>
      </c>
      <c r="AY144" s="553">
        <v>2413.1614349775782</v>
      </c>
      <c r="AZ144" s="553">
        <v>2431.4496314496314</v>
      </c>
      <c r="BA144" s="553">
        <v>2293.8903732491299</v>
      </c>
      <c r="BB144" s="553">
        <v>2344.819097470061</v>
      </c>
      <c r="BC144" s="553">
        <v>2403.7633319021038</v>
      </c>
      <c r="BD144" s="553">
        <v>2239.8626248466794</v>
      </c>
      <c r="BE144" s="553">
        <v>2047.4737312365976</v>
      </c>
      <c r="BF144" s="553">
        <v>2052.8353243075835</v>
      </c>
      <c r="BG144" s="553">
        <v>1984.3233076189651</v>
      </c>
      <c r="BH144" s="553">
        <v>1967.3126347206103</v>
      </c>
      <c r="BI144" s="553">
        <v>1977.5348837209303</v>
      </c>
      <c r="BJ144" s="553">
        <v>2084.857469993683</v>
      </c>
      <c r="BK144" s="553">
        <v>2131.2999446158715</v>
      </c>
      <c r="BL144" s="553">
        <v>2143.6819436775263</v>
      </c>
      <c r="BM144" s="553">
        <v>2073.8563380281689</v>
      </c>
      <c r="BN144" s="553">
        <v>2300.7910402197972</v>
      </c>
      <c r="BO144" s="553">
        <v>2326.6164287385909</v>
      </c>
      <c r="BP144" s="553">
        <v>2307.9060786106033</v>
      </c>
      <c r="BQ144" s="553">
        <v>2344.6145362640732</v>
      </c>
      <c r="BR144" s="553">
        <v>2368.012116504854</v>
      </c>
      <c r="BS144" s="553">
        <v>2252.978437722139</v>
      </c>
      <c r="BT144" s="553">
        <v>2241.3179516972359</v>
      </c>
      <c r="BU144" s="553">
        <v>2297.6054466954502</v>
      </c>
      <c r="BV144" s="553">
        <v>2198.0522088353414</v>
      </c>
      <c r="BW144" s="553">
        <v>2021.5031326614003</v>
      </c>
      <c r="BX144" s="553">
        <v>2002.5265144540601</v>
      </c>
      <c r="BY144" s="553">
        <v>1890.3538506703198</v>
      </c>
      <c r="BZ144" s="553">
        <v>1822.7951142631994</v>
      </c>
      <c r="CA144" s="553">
        <v>1687.8206664564279</v>
      </c>
      <c r="CB144" s="553">
        <v>1588.8602704443015</v>
      </c>
      <c r="CC144" s="553">
        <v>1552.3684032476319</v>
      </c>
      <c r="CD144" s="553">
        <v>1527.1244533743056</v>
      </c>
      <c r="CE144" s="553">
        <v>1273.9034871433603</v>
      </c>
      <c r="CF144" s="553">
        <v>1290.2680573978055</v>
      </c>
      <c r="CG144" s="553">
        <v>1292.323121170439</v>
      </c>
      <c r="CH144" s="553">
        <v>1203.3575933400607</v>
      </c>
      <c r="CI144" s="553">
        <v>1137.5975561687032</v>
      </c>
      <c r="CJ144" s="553">
        <v>1181.2559576345984</v>
      </c>
      <c r="CK144" s="553">
        <v>1033.272138554217</v>
      </c>
      <c r="CL144" s="553">
        <v>966.99722735674675</v>
      </c>
      <c r="CM144" s="553">
        <v>986.02355350742448</v>
      </c>
      <c r="CN144" s="553">
        <v>974.00968523002427</v>
      </c>
      <c r="CO144" s="553">
        <v>796.9</v>
      </c>
      <c r="CP144" s="553">
        <v>696.19117288466236</v>
      </c>
      <c r="CQ144" s="553">
        <v>621.99595857539782</v>
      </c>
      <c r="CR144" s="553">
        <v>600.77992957746471</v>
      </c>
      <c r="CS144" s="553">
        <v>583.85111740635818</v>
      </c>
      <c r="CT144" s="553">
        <v>522.79582712369597</v>
      </c>
      <c r="CU144" s="553">
        <v>452.41860465116281</v>
      </c>
      <c r="CV144" s="553">
        <v>372.84571129707109</v>
      </c>
      <c r="CW144" s="553">
        <v>312.34061135371184</v>
      </c>
      <c r="CX144" s="553">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2">
      <c r="A145" s="59" t="s">
        <v>76</v>
      </c>
      <c r="B145" s="109" t="s">
        <v>228</v>
      </c>
      <c r="C145" s="30" t="str">
        <f>CONCATENATE(A145," - ",B145)</f>
        <v>NI – Health and Social Care Trusts - Northern Health and Social Care Trust</v>
      </c>
      <c r="D145" s="51">
        <f t="shared" si="31"/>
        <v>200712.94621131546</v>
      </c>
      <c r="E145" s="51">
        <f t="shared" si="31"/>
        <v>210357.44403615201</v>
      </c>
      <c r="F145" s="52">
        <f>G145+H145</f>
        <v>481382.17904342338</v>
      </c>
      <c r="G145" s="52">
        <f>SUM(M145:CY145)</f>
        <v>236709.43766448114</v>
      </c>
      <c r="H145" s="52">
        <f>SUM(CZ145:GL145)</f>
        <v>244672.74137894227</v>
      </c>
      <c r="I145" s="697">
        <f t="shared" si="15"/>
        <v>200712.94621131546</v>
      </c>
      <c r="J145" s="53">
        <f t="shared" si="16"/>
        <v>210357.44403615201</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2">
      <c r="A146" s="59" t="s">
        <v>76</v>
      </c>
      <c r="B146" s="109" t="s">
        <v>229</v>
      </c>
      <c r="C146" s="30" t="str">
        <f>CONCATENATE(A146," - ",B146)</f>
        <v>NI – Health and Social Care Trusts - South Eastern Health and Social Care Trust</v>
      </c>
      <c r="D146" s="51">
        <f t="shared" si="31"/>
        <v>153138.26192149875</v>
      </c>
      <c r="E146" s="51">
        <f t="shared" si="31"/>
        <v>162974.18702365531</v>
      </c>
      <c r="F146" s="52">
        <f>G146+H146</f>
        <v>369789.18700736761</v>
      </c>
      <c r="G146" s="52">
        <f>SUM(M146:CY146)</f>
        <v>180780.24560799409</v>
      </c>
      <c r="H146" s="52">
        <f>SUM(CZ146:GL146)</f>
        <v>189008.94139937355</v>
      </c>
      <c r="I146" s="697">
        <f t="shared" si="15"/>
        <v>153138.26192149875</v>
      </c>
      <c r="J146" s="53">
        <f t="shared" si="16"/>
        <v>162974.18702365531</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2">
      <c r="A147" s="59" t="s">
        <v>76</v>
      </c>
      <c r="B147" s="109" t="s">
        <v>230</v>
      </c>
      <c r="C147" s="30" t="str">
        <f>CONCATENATE(A147," - ",B147)</f>
        <v>NI – Health and Social Care Trusts - Southern Health and Social Care Trust</v>
      </c>
      <c r="D147" s="51">
        <f t="shared" si="31"/>
        <v>161645.60244653741</v>
      </c>
      <c r="E147" s="51">
        <f t="shared" si="31"/>
        <v>165213.12926851152</v>
      </c>
      <c r="F147" s="52">
        <f>G147+H147</f>
        <v>392401.41553556663</v>
      </c>
      <c r="G147" s="52">
        <f>SUM(M147:CY147)</f>
        <v>195257.24005223456</v>
      </c>
      <c r="H147" s="52">
        <f>SUM(CZ147:GL147)</f>
        <v>197144.17548333207</v>
      </c>
      <c r="I147" s="697">
        <f t="shared" si="15"/>
        <v>161645.60244653741</v>
      </c>
      <c r="J147" s="53">
        <f t="shared" si="16"/>
        <v>165213.12926851152</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2">
      <c r="A148" s="63" t="s">
        <v>76</v>
      </c>
      <c r="B148" s="107" t="s">
        <v>231</v>
      </c>
      <c r="C148" s="44" t="str">
        <f>CONCATENATE(A148," - ",B148)</f>
        <v>NI – Health and Social Care Trusts - Western Health and Social Care Trust</v>
      </c>
      <c r="D148" s="57">
        <f t="shared" si="31"/>
        <v>125748.71541704447</v>
      </c>
      <c r="E148" s="57">
        <f t="shared" si="31"/>
        <v>130011.25621730217</v>
      </c>
      <c r="F148" s="48">
        <f>G148+H148</f>
        <v>302866.59918398538</v>
      </c>
      <c r="G148" s="48">
        <f>SUM(M148:CY148)</f>
        <v>149691.90274020744</v>
      </c>
      <c r="H148" s="48">
        <f>SUM(CZ148:GL148)</f>
        <v>153174.69644377791</v>
      </c>
      <c r="I148" s="697">
        <f t="shared" si="15"/>
        <v>125748.71541704447</v>
      </c>
      <c r="J148" s="53">
        <f t="shared" si="16"/>
        <v>130011.25621730217</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25" customFormat="1" ht="15" x14ac:dyDescent="0.25">
      <c r="A149" s="126"/>
      <c r="B149" s="127"/>
      <c r="C149" s="126"/>
      <c r="D149" s="41">
        <f>SUM(D144:D148)</f>
        <v>792699</v>
      </c>
      <c r="E149" s="41">
        <f t="shared" ref="E149:L149" si="32">SUM(E144:E148)</f>
        <v>830242</v>
      </c>
      <c r="F149" s="41">
        <f t="shared" si="32"/>
        <v>1910543</v>
      </c>
      <c r="G149" s="41">
        <f t="shared" si="32"/>
        <v>939947</v>
      </c>
      <c r="H149" s="41">
        <f t="shared" si="32"/>
        <v>970596.00000000012</v>
      </c>
      <c r="I149" s="699">
        <f t="shared" si="32"/>
        <v>792699</v>
      </c>
      <c r="J149" s="41">
        <f t="shared" si="32"/>
        <v>830242</v>
      </c>
      <c r="K149" s="41">
        <f t="shared" si="32"/>
        <v>223649.99999999997</v>
      </c>
      <c r="L149" s="41">
        <f t="shared" si="32"/>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2">
      <c r="A150" s="73" t="s">
        <v>71</v>
      </c>
      <c r="B150" s="110" t="s">
        <v>232</v>
      </c>
      <c r="C150" s="72" t="str">
        <f>CONCATENATE(A150," - ",B150)</f>
        <v>NHSE regions - East of England</v>
      </c>
      <c r="D150" s="61">
        <f t="shared" ref="D150:E156" si="33">I150</f>
        <v>2682211</v>
      </c>
      <c r="E150" s="61">
        <f t="shared" si="33"/>
        <v>2824860</v>
      </c>
      <c r="F150" s="552">
        <f t="shared" ref="F150:F156" si="34">G150+H150</f>
        <v>6398497</v>
      </c>
      <c r="G150" s="552">
        <f t="shared" ref="G150:G156" si="35">SUM(M150:CY150)</f>
        <v>3138914</v>
      </c>
      <c r="H150" s="552">
        <f t="shared" ref="H150:H156" si="36">SUM(CZ150:GL150)</f>
        <v>3259583</v>
      </c>
      <c r="I150" s="697">
        <f t="shared" si="15"/>
        <v>2682211</v>
      </c>
      <c r="J150" s="53">
        <f t="shared" si="16"/>
        <v>2824860</v>
      </c>
      <c r="K150" s="553">
        <f t="shared" ref="K150:K156" si="37">SUM(M150:AD150)</f>
        <v>691157</v>
      </c>
      <c r="L150" s="61">
        <f t="shared" ref="L150:L156" si="38">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2">
      <c r="A151" s="64" t="s">
        <v>71</v>
      </c>
      <c r="B151" s="110" t="s">
        <v>233</v>
      </c>
      <c r="C151" s="30" t="str">
        <f>CONCATENATE(A151," - ",B151)</f>
        <v>NHSE regions - London</v>
      </c>
      <c r="D151" s="51">
        <f t="shared" si="33"/>
        <v>3656937</v>
      </c>
      <c r="E151" s="51">
        <f t="shared" si="33"/>
        <v>3943695</v>
      </c>
      <c r="F151" s="52">
        <f t="shared" si="34"/>
        <v>8866180</v>
      </c>
      <c r="G151" s="52">
        <f t="shared" si="35"/>
        <v>4302616</v>
      </c>
      <c r="H151" s="52">
        <f t="shared" si="36"/>
        <v>4563564</v>
      </c>
      <c r="I151" s="697">
        <f t="shared" si="15"/>
        <v>3656937</v>
      </c>
      <c r="J151" s="53">
        <f t="shared" si="16"/>
        <v>3943695</v>
      </c>
      <c r="K151" s="50">
        <f t="shared" si="37"/>
        <v>968394</v>
      </c>
      <c r="L151" s="51">
        <f t="shared" si="38"/>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2">
      <c r="A152" s="64" t="s">
        <v>71</v>
      </c>
      <c r="B152" s="110" t="s">
        <v>234</v>
      </c>
      <c r="C152" s="30" t="str">
        <f t="shared" ref="C152:C199" si="39">CONCATENATE(A152," - ",B152)</f>
        <v>NHSE regions - Midlands</v>
      </c>
      <c r="D152" s="51">
        <f t="shared" si="33"/>
        <v>4621902</v>
      </c>
      <c r="E152" s="51">
        <f t="shared" si="33"/>
        <v>4816645</v>
      </c>
      <c r="F152" s="52">
        <f t="shared" si="34"/>
        <v>10956592</v>
      </c>
      <c r="G152" s="52">
        <f t="shared" si="35"/>
        <v>5398034</v>
      </c>
      <c r="H152" s="52">
        <f t="shared" si="36"/>
        <v>5558558</v>
      </c>
      <c r="I152" s="697">
        <f t="shared" si="15"/>
        <v>4621902</v>
      </c>
      <c r="J152" s="53">
        <f t="shared" si="16"/>
        <v>4816645</v>
      </c>
      <c r="K152" s="50">
        <f t="shared" si="37"/>
        <v>1184516</v>
      </c>
      <c r="L152" s="51">
        <f t="shared" si="38"/>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2">
      <c r="A153" s="64" t="s">
        <v>71</v>
      </c>
      <c r="B153" s="110" t="s">
        <v>235</v>
      </c>
      <c r="C153" s="30" t="str">
        <f t="shared" si="39"/>
        <v>NHSE regions - North East and Yorkshire</v>
      </c>
      <c r="D153" s="51">
        <f t="shared" si="33"/>
        <v>3470424</v>
      </c>
      <c r="E153" s="51">
        <f t="shared" si="33"/>
        <v>3647041</v>
      </c>
      <c r="F153" s="52">
        <f t="shared" si="34"/>
        <v>8224302</v>
      </c>
      <c r="G153" s="52">
        <f t="shared" si="35"/>
        <v>4037235</v>
      </c>
      <c r="H153" s="52">
        <f t="shared" si="36"/>
        <v>4187067</v>
      </c>
      <c r="I153" s="697">
        <f t="shared" si="15"/>
        <v>3470424</v>
      </c>
      <c r="J153" s="53">
        <f t="shared" si="16"/>
        <v>3647041</v>
      </c>
      <c r="K153" s="50">
        <f t="shared" si="37"/>
        <v>865159</v>
      </c>
      <c r="L153" s="51">
        <f t="shared" si="38"/>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2">
      <c r="A154" s="64" t="s">
        <v>71</v>
      </c>
      <c r="B154" s="110" t="s">
        <v>236</v>
      </c>
      <c r="C154" s="30" t="str">
        <f t="shared" si="39"/>
        <v>NHSE regions - North West</v>
      </c>
      <c r="D154" s="51">
        <f t="shared" si="33"/>
        <v>3161323</v>
      </c>
      <c r="E154" s="51">
        <f t="shared" si="33"/>
        <v>3314411</v>
      </c>
      <c r="F154" s="52">
        <f t="shared" si="34"/>
        <v>7516113</v>
      </c>
      <c r="G154" s="52">
        <f t="shared" si="35"/>
        <v>3693400</v>
      </c>
      <c r="H154" s="52">
        <f t="shared" si="36"/>
        <v>3822713</v>
      </c>
      <c r="I154" s="697">
        <f t="shared" si="15"/>
        <v>3161323</v>
      </c>
      <c r="J154" s="53">
        <f t="shared" si="16"/>
        <v>3314411</v>
      </c>
      <c r="K154" s="50">
        <f t="shared" si="37"/>
        <v>811074</v>
      </c>
      <c r="L154" s="51">
        <f t="shared" si="38"/>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2">
      <c r="A155" s="64" t="s">
        <v>71</v>
      </c>
      <c r="B155" s="110" t="s">
        <v>237</v>
      </c>
      <c r="C155" s="30" t="str">
        <f t="shared" si="39"/>
        <v>NHSE regions - South East</v>
      </c>
      <c r="D155" s="51">
        <f t="shared" si="33"/>
        <v>3931937</v>
      </c>
      <c r="E155" s="51">
        <f t="shared" si="33"/>
        <v>4164468</v>
      </c>
      <c r="F155" s="52">
        <f t="shared" si="34"/>
        <v>9379833</v>
      </c>
      <c r="G155" s="52">
        <f t="shared" si="35"/>
        <v>4590013</v>
      </c>
      <c r="H155" s="52">
        <f t="shared" si="36"/>
        <v>4789820</v>
      </c>
      <c r="I155" s="697">
        <f t="shared" si="15"/>
        <v>3931937</v>
      </c>
      <c r="J155" s="53">
        <f t="shared" si="16"/>
        <v>4164468</v>
      </c>
      <c r="K155" s="50">
        <f t="shared" si="37"/>
        <v>1006799</v>
      </c>
      <c r="L155" s="51">
        <f t="shared" si="38"/>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
      <c r="A156" s="153" t="s">
        <v>71</v>
      </c>
      <c r="B156" s="110" t="s">
        <v>238</v>
      </c>
      <c r="C156" s="30" t="str">
        <f t="shared" si="39"/>
        <v>NHSE regions - South West</v>
      </c>
      <c r="D156" s="51">
        <f t="shared" si="33"/>
        <v>2457570</v>
      </c>
      <c r="E156" s="51">
        <f t="shared" si="33"/>
        <v>2594552</v>
      </c>
      <c r="F156" s="52">
        <f t="shared" si="34"/>
        <v>5764881</v>
      </c>
      <c r="G156" s="52">
        <f t="shared" si="35"/>
        <v>2823078</v>
      </c>
      <c r="H156" s="52">
        <f t="shared" si="36"/>
        <v>2941803</v>
      </c>
      <c r="I156" s="697">
        <f t="shared" si="15"/>
        <v>2457570</v>
      </c>
      <c r="J156" s="53">
        <f t="shared" si="16"/>
        <v>2594552</v>
      </c>
      <c r="K156" s="50">
        <f t="shared" si="37"/>
        <v>560789</v>
      </c>
      <c r="L156" s="51">
        <f t="shared" si="38"/>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25" customFormat="1" ht="15" x14ac:dyDescent="0.25">
      <c r="A157" s="128"/>
      <c r="B157" s="129"/>
      <c r="C157" s="121"/>
      <c r="D157" s="130">
        <f>SUM(D150:D156)</f>
        <v>23982304</v>
      </c>
      <c r="E157" s="130">
        <f>SUM(E150:E156)</f>
        <v>25305672</v>
      </c>
      <c r="F157" s="130">
        <f>SUM(F150:F156)</f>
        <v>57106398</v>
      </c>
      <c r="G157" s="130">
        <f t="shared" ref="G157:L157" si="40">SUM(G150:G156)</f>
        <v>27983290</v>
      </c>
      <c r="H157" s="130">
        <f t="shared" si="40"/>
        <v>29123108</v>
      </c>
      <c r="I157" s="148">
        <f t="shared" si="40"/>
        <v>23982304</v>
      </c>
      <c r="J157" s="123">
        <f t="shared" si="40"/>
        <v>25305672</v>
      </c>
      <c r="K157" s="130">
        <f t="shared" si="40"/>
        <v>6087888</v>
      </c>
      <c r="L157" s="130">
        <f t="shared" si="40"/>
        <v>5799018</v>
      </c>
      <c r="M157" s="130"/>
      <c r="N157" s="551"/>
      <c r="O157" s="551"/>
      <c r="P157" s="551"/>
      <c r="Q157" s="551"/>
      <c r="R157" s="551"/>
      <c r="S157" s="551"/>
      <c r="T157" s="551"/>
      <c r="U157" s="551"/>
      <c r="V157" s="551"/>
      <c r="W157" s="551"/>
      <c r="X157" s="551"/>
      <c r="Y157" s="551"/>
      <c r="Z157" s="551"/>
      <c r="AA157" s="551"/>
      <c r="AB157" s="551"/>
      <c r="AC157" s="551"/>
      <c r="AD157" s="551"/>
      <c r="AE157" s="551"/>
      <c r="AF157" s="551"/>
      <c r="AG157" s="551"/>
      <c r="AH157" s="551"/>
      <c r="AI157" s="551"/>
      <c r="AJ157" s="551"/>
      <c r="AK157" s="551"/>
      <c r="AL157" s="551"/>
      <c r="AM157" s="551"/>
      <c r="AN157" s="551"/>
      <c r="AO157" s="551"/>
      <c r="AP157" s="551"/>
      <c r="AQ157" s="551"/>
      <c r="AR157" s="551"/>
      <c r="AS157" s="551"/>
      <c r="AT157" s="551"/>
      <c r="AU157" s="551"/>
      <c r="AV157" s="551"/>
      <c r="AW157" s="551"/>
      <c r="AX157" s="551"/>
      <c r="AY157" s="551"/>
      <c r="AZ157" s="551"/>
      <c r="BA157" s="551"/>
      <c r="BB157" s="551"/>
      <c r="BC157" s="551"/>
      <c r="BD157" s="551"/>
      <c r="BE157" s="551"/>
      <c r="BF157" s="551"/>
      <c r="BG157" s="551"/>
      <c r="BH157" s="551"/>
      <c r="BI157" s="551"/>
      <c r="BJ157" s="551"/>
      <c r="BK157" s="551"/>
      <c r="BL157" s="551"/>
      <c r="BM157" s="551"/>
      <c r="BN157" s="551"/>
      <c r="BO157" s="551"/>
      <c r="BP157" s="551"/>
      <c r="BQ157" s="551"/>
      <c r="BR157" s="551"/>
      <c r="BS157" s="551"/>
      <c r="BT157" s="551"/>
      <c r="BU157" s="551"/>
      <c r="BV157" s="551"/>
      <c r="BW157" s="551"/>
      <c r="BX157" s="551"/>
      <c r="BY157" s="551"/>
      <c r="BZ157" s="551"/>
      <c r="CA157" s="551"/>
      <c r="CB157" s="551"/>
      <c r="CC157" s="551"/>
      <c r="CD157" s="551"/>
      <c r="CE157" s="551"/>
      <c r="CF157" s="551"/>
      <c r="CG157" s="551"/>
      <c r="CH157" s="551"/>
      <c r="CI157" s="551"/>
      <c r="CJ157" s="551"/>
      <c r="CK157" s="551"/>
      <c r="CL157" s="551"/>
      <c r="CM157" s="551"/>
      <c r="CN157" s="551"/>
      <c r="CO157" s="551"/>
      <c r="CP157" s="551"/>
      <c r="CQ157" s="551"/>
      <c r="CR157" s="551"/>
      <c r="CS157" s="551"/>
      <c r="CT157" s="551"/>
      <c r="CU157" s="551"/>
      <c r="CV157" s="551"/>
      <c r="CW157" s="551"/>
      <c r="CX157" s="551"/>
      <c r="CY157" s="77"/>
      <c r="CZ157" s="130"/>
      <c r="DA157" s="551"/>
      <c r="DB157" s="551"/>
      <c r="DC157" s="551"/>
      <c r="DD157" s="551"/>
      <c r="DE157" s="551"/>
      <c r="DF157" s="551"/>
      <c r="DG157" s="551"/>
      <c r="DH157" s="551"/>
      <c r="DI157" s="551"/>
      <c r="DJ157" s="551"/>
      <c r="DK157" s="551"/>
      <c r="DL157" s="551"/>
      <c r="DM157" s="551"/>
      <c r="DN157" s="551"/>
      <c r="DO157" s="551"/>
      <c r="DP157" s="551"/>
      <c r="DQ157" s="551"/>
      <c r="DR157" s="551"/>
      <c r="DS157" s="551"/>
      <c r="DT157" s="551"/>
      <c r="DU157" s="551"/>
      <c r="DV157" s="551"/>
      <c r="DW157" s="551"/>
      <c r="DX157" s="551"/>
      <c r="DY157" s="551"/>
      <c r="DZ157" s="551"/>
      <c r="EA157" s="551"/>
      <c r="EB157" s="551"/>
      <c r="EC157" s="551"/>
      <c r="ED157" s="551"/>
      <c r="EE157" s="551"/>
      <c r="EF157" s="551"/>
      <c r="EG157" s="551"/>
      <c r="EH157" s="551"/>
      <c r="EI157" s="551"/>
      <c r="EJ157" s="551"/>
      <c r="EK157" s="551"/>
      <c r="EL157" s="551"/>
      <c r="EM157" s="551"/>
      <c r="EN157" s="551"/>
      <c r="EO157" s="551"/>
      <c r="EP157" s="551"/>
      <c r="EQ157" s="551"/>
      <c r="ER157" s="551"/>
      <c r="ES157" s="551"/>
      <c r="ET157" s="551"/>
      <c r="EU157" s="551"/>
      <c r="EV157" s="551"/>
      <c r="EW157" s="551"/>
      <c r="EX157" s="551"/>
      <c r="EY157" s="551"/>
      <c r="EZ157" s="551"/>
      <c r="FA157" s="551"/>
      <c r="FB157" s="551"/>
      <c r="FC157" s="551"/>
      <c r="FD157" s="551"/>
      <c r="FE157" s="551"/>
      <c r="FF157" s="551"/>
      <c r="FG157" s="551"/>
      <c r="FH157" s="551"/>
      <c r="FI157" s="551"/>
      <c r="FJ157" s="551"/>
      <c r="FK157" s="551"/>
      <c r="FL157" s="551"/>
      <c r="FM157" s="551"/>
      <c r="FN157" s="551"/>
      <c r="FO157" s="551"/>
      <c r="FP157" s="551"/>
      <c r="FQ157" s="551"/>
      <c r="FR157" s="551"/>
      <c r="FS157" s="551"/>
      <c r="FT157" s="551"/>
      <c r="FU157" s="551"/>
      <c r="FV157" s="551"/>
      <c r="FW157" s="551"/>
      <c r="FX157" s="551"/>
      <c r="FY157" s="551"/>
      <c r="FZ157" s="551"/>
      <c r="GA157" s="551"/>
      <c r="GB157" s="551"/>
      <c r="GC157" s="551"/>
      <c r="GD157" s="551"/>
      <c r="GE157" s="551"/>
      <c r="GF157" s="551"/>
      <c r="GG157" s="551"/>
      <c r="GH157" s="551"/>
      <c r="GI157" s="551"/>
      <c r="GJ157" s="551"/>
      <c r="GK157" s="551"/>
      <c r="GL157" s="77"/>
    </row>
    <row r="158" spans="1:194" s="1" customFormat="1" x14ac:dyDescent="0.2">
      <c r="A158" s="116" t="s">
        <v>63</v>
      </c>
      <c r="B158" s="111" t="s">
        <v>239</v>
      </c>
      <c r="C158" s="554" t="str">
        <f t="shared" si="39"/>
        <v>England ICB - NHS Bath and North East Somerset, Swindon and Wiltshire Integrated Care Board</v>
      </c>
      <c r="D158" s="82">
        <f t="shared" ref="D158:E163" si="41">I158</f>
        <v>406174</v>
      </c>
      <c r="E158" s="82">
        <f t="shared" si="41"/>
        <v>421290</v>
      </c>
      <c r="F158" s="117">
        <f t="shared" ref="F158:F163" si="42">G158+H158</f>
        <v>953852</v>
      </c>
      <c r="G158" s="552">
        <f t="shared" ref="G158:G163" si="43">SUM(M158:CY158)</f>
        <v>470982</v>
      </c>
      <c r="H158" s="552">
        <f t="shared" ref="H158:H163" si="44">SUM(CZ158:GL158)</f>
        <v>482870</v>
      </c>
      <c r="I158" s="697">
        <f t="shared" ref="I158:I221" si="45">SUM(Y158:CY158)</f>
        <v>406174</v>
      </c>
      <c r="J158" s="53">
        <f t="shared" ref="J158:J221" si="46">SUM(DL158:GL158)</f>
        <v>421290</v>
      </c>
      <c r="K158" s="553">
        <f t="shared" ref="K158:K163" si="47">SUM(M158:AD158)</f>
        <v>98790</v>
      </c>
      <c r="L158" s="61">
        <f t="shared" ref="L158:L163" si="48">SUM(CZ158:DQ158)</f>
        <v>94278</v>
      </c>
      <c r="M158" s="114">
        <v>4647</v>
      </c>
      <c r="N158" s="553">
        <v>4706</v>
      </c>
      <c r="O158" s="553">
        <v>4907</v>
      </c>
      <c r="P158" s="553">
        <v>5108</v>
      </c>
      <c r="Q158" s="553">
        <v>5293</v>
      </c>
      <c r="R158" s="553">
        <v>5287</v>
      </c>
      <c r="S158" s="553">
        <v>5628</v>
      </c>
      <c r="T158" s="553">
        <v>5623</v>
      </c>
      <c r="U158" s="553">
        <v>5617</v>
      </c>
      <c r="V158" s="553">
        <v>5799</v>
      </c>
      <c r="W158" s="553">
        <v>6160</v>
      </c>
      <c r="X158" s="553">
        <v>6033</v>
      </c>
      <c r="Y158" s="553">
        <v>5955</v>
      </c>
      <c r="Z158" s="553">
        <v>5803</v>
      </c>
      <c r="AA158" s="553">
        <v>5710</v>
      </c>
      <c r="AB158" s="553">
        <v>5605</v>
      </c>
      <c r="AC158" s="553">
        <v>5496</v>
      </c>
      <c r="AD158" s="553">
        <v>5413</v>
      </c>
      <c r="AE158" s="553">
        <v>5967</v>
      </c>
      <c r="AF158" s="553">
        <v>6678</v>
      </c>
      <c r="AG158" s="553">
        <v>6216</v>
      </c>
      <c r="AH158" s="553">
        <v>5569</v>
      </c>
      <c r="AI158" s="553">
        <v>5932</v>
      </c>
      <c r="AJ158" s="553">
        <v>5961</v>
      </c>
      <c r="AK158" s="553">
        <v>5644</v>
      </c>
      <c r="AL158" s="553">
        <v>5569</v>
      </c>
      <c r="AM158" s="553">
        <v>5603</v>
      </c>
      <c r="AN158" s="553">
        <v>5436</v>
      </c>
      <c r="AO158" s="553">
        <v>5723</v>
      </c>
      <c r="AP158" s="553">
        <v>5509</v>
      </c>
      <c r="AQ158" s="553">
        <v>5906</v>
      </c>
      <c r="AR158" s="553">
        <v>5926</v>
      </c>
      <c r="AS158" s="553">
        <v>5999</v>
      </c>
      <c r="AT158" s="553">
        <v>5968</v>
      </c>
      <c r="AU158" s="553">
        <v>6124</v>
      </c>
      <c r="AV158" s="553">
        <v>6089</v>
      </c>
      <c r="AW158" s="553">
        <v>6037</v>
      </c>
      <c r="AX158" s="553">
        <v>5950</v>
      </c>
      <c r="AY158" s="553">
        <v>6029</v>
      </c>
      <c r="AZ158" s="553">
        <v>5880</v>
      </c>
      <c r="BA158" s="553">
        <v>5821</v>
      </c>
      <c r="BB158" s="553">
        <v>5960</v>
      </c>
      <c r="BC158" s="553">
        <v>6033</v>
      </c>
      <c r="BD158" s="553">
        <v>5922</v>
      </c>
      <c r="BE158" s="553">
        <v>5375</v>
      </c>
      <c r="BF158" s="553">
        <v>5274</v>
      </c>
      <c r="BG158" s="553">
        <v>5437</v>
      </c>
      <c r="BH158" s="553">
        <v>5820</v>
      </c>
      <c r="BI158" s="553">
        <v>5866</v>
      </c>
      <c r="BJ158" s="553">
        <v>6432</v>
      </c>
      <c r="BK158" s="553">
        <v>6631</v>
      </c>
      <c r="BL158" s="553">
        <v>6700</v>
      </c>
      <c r="BM158" s="553">
        <v>6536</v>
      </c>
      <c r="BN158" s="553">
        <v>6527</v>
      </c>
      <c r="BO158" s="553">
        <v>6586</v>
      </c>
      <c r="BP158" s="553">
        <v>6746</v>
      </c>
      <c r="BQ158" s="553">
        <v>6723</v>
      </c>
      <c r="BR158" s="553">
        <v>6887</v>
      </c>
      <c r="BS158" s="553">
        <v>6661</v>
      </c>
      <c r="BT158" s="553">
        <v>6550</v>
      </c>
      <c r="BU158" s="553">
        <v>6440</v>
      </c>
      <c r="BV158" s="553">
        <v>6192</v>
      </c>
      <c r="BW158" s="553">
        <v>5977</v>
      </c>
      <c r="BX158" s="553">
        <v>5691</v>
      </c>
      <c r="BY158" s="553">
        <v>5371</v>
      </c>
      <c r="BZ158" s="553">
        <v>5135</v>
      </c>
      <c r="CA158" s="553">
        <v>4863</v>
      </c>
      <c r="CB158" s="553">
        <v>4730</v>
      </c>
      <c r="CC158" s="553">
        <v>4797</v>
      </c>
      <c r="CD158" s="553">
        <v>4544</v>
      </c>
      <c r="CE158" s="553">
        <v>4485</v>
      </c>
      <c r="CF158" s="553">
        <v>4422</v>
      </c>
      <c r="CG158" s="553">
        <v>4421</v>
      </c>
      <c r="CH158" s="553">
        <v>4529</v>
      </c>
      <c r="CI158" s="553">
        <v>4861</v>
      </c>
      <c r="CJ158" s="553">
        <v>5197</v>
      </c>
      <c r="CK158" s="553">
        <v>3865</v>
      </c>
      <c r="CL158" s="553">
        <v>3773</v>
      </c>
      <c r="CM158" s="553">
        <v>3497</v>
      </c>
      <c r="CN158" s="553">
        <v>3141</v>
      </c>
      <c r="CO158" s="553">
        <v>2804</v>
      </c>
      <c r="CP158" s="553">
        <v>2380</v>
      </c>
      <c r="CQ158" s="553">
        <v>2335</v>
      </c>
      <c r="CR158" s="553">
        <v>2209</v>
      </c>
      <c r="CS158" s="553">
        <v>2008</v>
      </c>
      <c r="CT158" s="553">
        <v>1804</v>
      </c>
      <c r="CU158" s="553">
        <v>1625</v>
      </c>
      <c r="CV158" s="553">
        <v>1368</v>
      </c>
      <c r="CW158" s="553">
        <v>1144</v>
      </c>
      <c r="CX158" s="553">
        <v>1023</v>
      </c>
      <c r="CY158" s="61">
        <v>3359</v>
      </c>
      <c r="CZ158" s="114">
        <v>4395</v>
      </c>
      <c r="DA158" s="553">
        <v>4569</v>
      </c>
      <c r="DB158" s="553">
        <v>4724</v>
      </c>
      <c r="DC158" s="553">
        <v>4830</v>
      </c>
      <c r="DD158" s="553">
        <v>5033</v>
      </c>
      <c r="DE158" s="553">
        <v>5193</v>
      </c>
      <c r="DF158" s="553">
        <v>5362</v>
      </c>
      <c r="DG158" s="553">
        <v>5295</v>
      </c>
      <c r="DH158" s="553">
        <v>5344</v>
      </c>
      <c r="DI158" s="553">
        <v>5565</v>
      </c>
      <c r="DJ158" s="553">
        <v>5551</v>
      </c>
      <c r="DK158" s="553">
        <v>5719</v>
      </c>
      <c r="DL158" s="553">
        <v>5546</v>
      </c>
      <c r="DM158" s="553">
        <v>5549</v>
      </c>
      <c r="DN158" s="553">
        <v>5624</v>
      </c>
      <c r="DO158" s="553">
        <v>5574</v>
      </c>
      <c r="DP158" s="553">
        <v>5184</v>
      </c>
      <c r="DQ158" s="553">
        <v>5221</v>
      </c>
      <c r="DR158" s="553">
        <v>5415</v>
      </c>
      <c r="DS158" s="553">
        <v>5600</v>
      </c>
      <c r="DT158" s="553">
        <v>5189</v>
      </c>
      <c r="DU158" s="553">
        <v>4912</v>
      </c>
      <c r="DV158" s="553">
        <v>5426</v>
      </c>
      <c r="DW158" s="553">
        <v>5137</v>
      </c>
      <c r="DX158" s="553">
        <v>5128</v>
      </c>
      <c r="DY158" s="553">
        <v>5294</v>
      </c>
      <c r="DZ158" s="553">
        <v>5013</v>
      </c>
      <c r="EA158" s="553">
        <v>5302</v>
      </c>
      <c r="EB158" s="553">
        <v>5698</v>
      </c>
      <c r="EC158" s="553">
        <v>5815</v>
      </c>
      <c r="ED158" s="553">
        <v>5939</v>
      </c>
      <c r="EE158" s="553">
        <v>6272</v>
      </c>
      <c r="EF158" s="553">
        <v>6263</v>
      </c>
      <c r="EG158" s="553">
        <v>6313</v>
      </c>
      <c r="EH158" s="553">
        <v>6318</v>
      </c>
      <c r="EI158" s="553">
        <v>6535</v>
      </c>
      <c r="EJ158" s="553">
        <v>6131</v>
      </c>
      <c r="EK158" s="553">
        <v>6244</v>
      </c>
      <c r="EL158" s="553">
        <v>6165</v>
      </c>
      <c r="EM158" s="553">
        <v>5942</v>
      </c>
      <c r="EN158" s="553">
        <v>6211</v>
      </c>
      <c r="EO158" s="553">
        <v>6218</v>
      </c>
      <c r="EP158" s="553">
        <v>6104</v>
      </c>
      <c r="EQ158" s="553">
        <v>5799</v>
      </c>
      <c r="ER158" s="553">
        <v>5574</v>
      </c>
      <c r="ES158" s="553">
        <v>5586</v>
      </c>
      <c r="ET158" s="553">
        <v>5770</v>
      </c>
      <c r="EU158" s="553">
        <v>5831</v>
      </c>
      <c r="EV158" s="553">
        <v>6251</v>
      </c>
      <c r="EW158" s="553">
        <v>6563</v>
      </c>
      <c r="EX158" s="553">
        <v>6923</v>
      </c>
      <c r="EY158" s="553">
        <v>6736</v>
      </c>
      <c r="EZ158" s="553">
        <v>6661</v>
      </c>
      <c r="FA158" s="553">
        <v>6860</v>
      </c>
      <c r="FB158" s="553">
        <v>6795</v>
      </c>
      <c r="FC158" s="553">
        <v>7093</v>
      </c>
      <c r="FD158" s="553">
        <v>7056</v>
      </c>
      <c r="FE158" s="553">
        <v>6890</v>
      </c>
      <c r="FF158" s="553">
        <v>6926</v>
      </c>
      <c r="FG158" s="553">
        <v>6551</v>
      </c>
      <c r="FH158" s="553">
        <v>6513</v>
      </c>
      <c r="FI158" s="553">
        <v>6413</v>
      </c>
      <c r="FJ158" s="553">
        <v>5897</v>
      </c>
      <c r="FK158" s="553">
        <v>5838</v>
      </c>
      <c r="FL158" s="553">
        <v>5643</v>
      </c>
      <c r="FM158" s="553">
        <v>5384</v>
      </c>
      <c r="FN158" s="553">
        <v>5189</v>
      </c>
      <c r="FO158" s="553">
        <v>5034</v>
      </c>
      <c r="FP158" s="553">
        <v>5088</v>
      </c>
      <c r="FQ158" s="553">
        <v>5112</v>
      </c>
      <c r="FR158" s="553">
        <v>4845</v>
      </c>
      <c r="FS158" s="553">
        <v>4831</v>
      </c>
      <c r="FT158" s="553">
        <v>4917</v>
      </c>
      <c r="FU158" s="553">
        <v>5074</v>
      </c>
      <c r="FV158" s="553">
        <v>5409</v>
      </c>
      <c r="FW158" s="553">
        <v>5546</v>
      </c>
      <c r="FX158" s="553">
        <v>4375</v>
      </c>
      <c r="FY158" s="553">
        <v>4296</v>
      </c>
      <c r="FZ158" s="553">
        <v>4189</v>
      </c>
      <c r="GA158" s="553">
        <v>3718</v>
      </c>
      <c r="GB158" s="553">
        <v>3306</v>
      </c>
      <c r="GC158" s="553">
        <v>2846</v>
      </c>
      <c r="GD158" s="553">
        <v>2931</v>
      </c>
      <c r="GE158" s="553">
        <v>2828</v>
      </c>
      <c r="GF158" s="553">
        <v>2632</v>
      </c>
      <c r="GG158" s="553">
        <v>2327</v>
      </c>
      <c r="GH158" s="553">
        <v>2137</v>
      </c>
      <c r="GI158" s="553">
        <v>1982</v>
      </c>
      <c r="GJ158" s="553">
        <v>1693</v>
      </c>
      <c r="GK158" s="553">
        <v>1476</v>
      </c>
      <c r="GL158" s="61">
        <v>6674</v>
      </c>
    </row>
    <row r="159" spans="1:194" s="1" customFormat="1" x14ac:dyDescent="0.2">
      <c r="A159" s="118" t="s">
        <v>63</v>
      </c>
      <c r="B159" s="112" t="s">
        <v>240</v>
      </c>
      <c r="C159" s="149" t="str">
        <f t="shared" si="39"/>
        <v>England ICB - NHS Bedfordshire, Luton and Milton Keynes Integrated Care Board</v>
      </c>
      <c r="D159" s="83">
        <f t="shared" si="41"/>
        <v>421029</v>
      </c>
      <c r="E159" s="83">
        <f t="shared" si="41"/>
        <v>434025</v>
      </c>
      <c r="F159" s="113">
        <f t="shared" si="42"/>
        <v>1015380</v>
      </c>
      <c r="G159" s="52">
        <f t="shared" si="43"/>
        <v>503181</v>
      </c>
      <c r="H159" s="52">
        <f t="shared" si="44"/>
        <v>512199</v>
      </c>
      <c r="I159" s="697">
        <f t="shared" si="45"/>
        <v>421029</v>
      </c>
      <c r="J159" s="53">
        <f t="shared" si="46"/>
        <v>434025</v>
      </c>
      <c r="K159" s="50">
        <f t="shared" si="47"/>
        <v>123163</v>
      </c>
      <c r="L159" s="51">
        <f t="shared" si="48"/>
        <v>116851</v>
      </c>
      <c r="M159" s="115">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15">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
      <c r="A160" s="118" t="s">
        <v>63</v>
      </c>
      <c r="B160" s="112" t="s">
        <v>241</v>
      </c>
      <c r="C160" s="149" t="str">
        <f t="shared" si="39"/>
        <v>England ICB - NHS Birmingham and Solihull Integrated Care Board</v>
      </c>
      <c r="D160" s="83">
        <f t="shared" si="41"/>
        <v>562576</v>
      </c>
      <c r="E160" s="83">
        <f t="shared" si="41"/>
        <v>592282</v>
      </c>
      <c r="F160" s="113">
        <f t="shared" si="42"/>
        <v>1375281</v>
      </c>
      <c r="G160" s="52">
        <f t="shared" si="43"/>
        <v>674927</v>
      </c>
      <c r="H160" s="52">
        <f t="shared" si="44"/>
        <v>700354</v>
      </c>
      <c r="I160" s="697">
        <f t="shared" si="45"/>
        <v>562576</v>
      </c>
      <c r="J160" s="53">
        <f t="shared" si="46"/>
        <v>592282</v>
      </c>
      <c r="K160" s="50">
        <f t="shared" si="47"/>
        <v>171555</v>
      </c>
      <c r="L160" s="51">
        <f t="shared" si="48"/>
        <v>164204</v>
      </c>
      <c r="M160" s="115">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15">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
      <c r="A161" s="118" t="s">
        <v>63</v>
      </c>
      <c r="B161" s="112" t="s">
        <v>242</v>
      </c>
      <c r="C161" s="149" t="str">
        <f t="shared" si="39"/>
        <v>England ICB - NHS Black Country Integrated Care Board</v>
      </c>
      <c r="D161" s="83">
        <f t="shared" si="41"/>
        <v>503669</v>
      </c>
      <c r="E161" s="83">
        <f t="shared" si="41"/>
        <v>528144</v>
      </c>
      <c r="F161" s="113">
        <f t="shared" si="42"/>
        <v>1222935</v>
      </c>
      <c r="G161" s="52">
        <f t="shared" si="43"/>
        <v>601713</v>
      </c>
      <c r="H161" s="52">
        <f t="shared" si="44"/>
        <v>621222</v>
      </c>
      <c r="I161" s="697">
        <f t="shared" si="45"/>
        <v>503669</v>
      </c>
      <c r="J161" s="53">
        <f t="shared" si="46"/>
        <v>528144</v>
      </c>
      <c r="K161" s="50">
        <f t="shared" si="47"/>
        <v>147819</v>
      </c>
      <c r="L161" s="51">
        <f t="shared" si="48"/>
        <v>139910</v>
      </c>
      <c r="M161" s="115">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15">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
      <c r="A162" s="118" t="s">
        <v>63</v>
      </c>
      <c r="B162" s="112" t="s">
        <v>243</v>
      </c>
      <c r="C162" s="149" t="str">
        <f t="shared" si="39"/>
        <v>England ICB - NHS Bristol, North Somerset and South Gloucestershire Integrated Care Board</v>
      </c>
      <c r="D162" s="83">
        <f t="shared" si="41"/>
        <v>423876</v>
      </c>
      <c r="E162" s="83">
        <f t="shared" si="41"/>
        <v>438642</v>
      </c>
      <c r="F162" s="113">
        <f t="shared" si="42"/>
        <v>992934</v>
      </c>
      <c r="G162" s="52">
        <f t="shared" si="43"/>
        <v>490777</v>
      </c>
      <c r="H162" s="52">
        <f t="shared" si="44"/>
        <v>502157</v>
      </c>
      <c r="I162" s="697">
        <f t="shared" si="45"/>
        <v>423876</v>
      </c>
      <c r="J162" s="53">
        <f t="shared" si="46"/>
        <v>438642</v>
      </c>
      <c r="K162" s="50">
        <f t="shared" si="47"/>
        <v>99995</v>
      </c>
      <c r="L162" s="51">
        <f t="shared" si="48"/>
        <v>95118</v>
      </c>
      <c r="M162" s="115">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15">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
      <c r="A163" s="118" t="s">
        <v>63</v>
      </c>
      <c r="B163" s="112" t="s">
        <v>244</v>
      </c>
      <c r="C163" s="149" t="str">
        <f t="shared" si="39"/>
        <v>England ICB - NHS Buckinghamshire, Oxfordshire and Berkshire West Integrated Care Board</v>
      </c>
      <c r="D163" s="83">
        <f t="shared" si="41"/>
        <v>758994</v>
      </c>
      <c r="E163" s="83">
        <f t="shared" si="41"/>
        <v>791846</v>
      </c>
      <c r="F163" s="113">
        <f t="shared" si="42"/>
        <v>1802735</v>
      </c>
      <c r="G163" s="52">
        <f t="shared" si="43"/>
        <v>888395</v>
      </c>
      <c r="H163" s="52">
        <f t="shared" si="44"/>
        <v>914340</v>
      </c>
      <c r="I163" s="697">
        <f t="shared" si="45"/>
        <v>758994</v>
      </c>
      <c r="J163" s="53">
        <f t="shared" si="46"/>
        <v>791846</v>
      </c>
      <c r="K163" s="50">
        <f t="shared" si="47"/>
        <v>198146</v>
      </c>
      <c r="L163" s="51">
        <f t="shared" si="48"/>
        <v>187898</v>
      </c>
      <c r="M163" s="115">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15">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
      <c r="A164" s="118" t="s">
        <v>63</v>
      </c>
      <c r="B164" s="112" t="s">
        <v>245</v>
      </c>
      <c r="C164" s="149" t="str">
        <f t="shared" si="39"/>
        <v>England ICB - NHS Cambridgeshire and Peterborough Integrated Care Board</v>
      </c>
      <c r="D164" s="83">
        <f t="shared" ref="D164:D188" si="49">I164</f>
        <v>391394</v>
      </c>
      <c r="E164" s="83">
        <f t="shared" ref="E164:E188" si="50">J164</f>
        <v>406010</v>
      </c>
      <c r="F164" s="113">
        <f t="shared" ref="F164:F188" si="51">G164+H164</f>
        <v>927342</v>
      </c>
      <c r="G164" s="52">
        <f t="shared" ref="G164:G188" si="52">SUM(M164:CY164)</f>
        <v>457923</v>
      </c>
      <c r="H164" s="52">
        <f t="shared" ref="H164:H188" si="53">SUM(CZ164:GL164)</f>
        <v>469419</v>
      </c>
      <c r="I164" s="697">
        <f t="shared" si="45"/>
        <v>391394</v>
      </c>
      <c r="J164" s="53">
        <f t="shared" si="46"/>
        <v>406010</v>
      </c>
      <c r="K164" s="50">
        <f t="shared" ref="K164:K188" si="54">SUM(M164:AD164)</f>
        <v>100356</v>
      </c>
      <c r="L164" s="51">
        <f t="shared" ref="L164:L188" si="55">SUM(CZ164:DQ164)</f>
        <v>95295</v>
      </c>
      <c r="M164" s="115">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15">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
      <c r="A165" s="118" t="s">
        <v>63</v>
      </c>
      <c r="B165" s="112" t="s">
        <v>246</v>
      </c>
      <c r="C165" s="149" t="str">
        <f t="shared" si="39"/>
        <v>England ICB - NHS Cheshire and Merseyside Integrated Care Board</v>
      </c>
      <c r="D165" s="83">
        <f t="shared" si="49"/>
        <v>1073680</v>
      </c>
      <c r="E165" s="83">
        <f t="shared" si="50"/>
        <v>1142706</v>
      </c>
      <c r="F165" s="113">
        <f t="shared" si="51"/>
        <v>2550846</v>
      </c>
      <c r="G165" s="52">
        <f t="shared" si="52"/>
        <v>1245283</v>
      </c>
      <c r="H165" s="52">
        <f t="shared" si="53"/>
        <v>1305563</v>
      </c>
      <c r="I165" s="697">
        <f t="shared" si="45"/>
        <v>1073680</v>
      </c>
      <c r="J165" s="53">
        <f t="shared" si="46"/>
        <v>1142706</v>
      </c>
      <c r="K165" s="50">
        <f t="shared" si="54"/>
        <v>260431</v>
      </c>
      <c r="L165" s="51">
        <f t="shared" si="55"/>
        <v>246562</v>
      </c>
      <c r="M165" s="115">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15">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
      <c r="A166" s="118" t="s">
        <v>63</v>
      </c>
      <c r="B166" s="112" t="s">
        <v>247</v>
      </c>
      <c r="C166" s="149" t="str">
        <f t="shared" si="39"/>
        <v>England ICB - NHS Cornwall and the Isles of Scilly Integrated Care Board</v>
      </c>
      <c r="D166" s="83">
        <f t="shared" si="49"/>
        <v>245288</v>
      </c>
      <c r="E166" s="83">
        <f t="shared" si="50"/>
        <v>263949</v>
      </c>
      <c r="F166" s="113">
        <f t="shared" si="51"/>
        <v>577694</v>
      </c>
      <c r="G166" s="52">
        <f t="shared" si="52"/>
        <v>280361</v>
      </c>
      <c r="H166" s="52">
        <f t="shared" si="53"/>
        <v>297333</v>
      </c>
      <c r="I166" s="697">
        <f t="shared" si="45"/>
        <v>245288</v>
      </c>
      <c r="J166" s="53">
        <f t="shared" si="46"/>
        <v>263949</v>
      </c>
      <c r="K166" s="50">
        <f t="shared" si="54"/>
        <v>54268</v>
      </c>
      <c r="L166" s="51">
        <f t="shared" si="55"/>
        <v>51491</v>
      </c>
      <c r="M166" s="115">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15">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
      <c r="A167" s="118" t="s">
        <v>63</v>
      </c>
      <c r="B167" s="112" t="s">
        <v>248</v>
      </c>
      <c r="C167" s="149" t="str">
        <f t="shared" si="39"/>
        <v>England ICB - NHS Coventry and Warwickshire Integrated Care Board</v>
      </c>
      <c r="D167" s="83">
        <f t="shared" si="49"/>
        <v>409447</v>
      </c>
      <c r="E167" s="83">
        <f t="shared" si="50"/>
        <v>420049</v>
      </c>
      <c r="F167" s="113">
        <f t="shared" si="51"/>
        <v>963204</v>
      </c>
      <c r="G167" s="52">
        <f t="shared" si="52"/>
        <v>477693</v>
      </c>
      <c r="H167" s="52">
        <f t="shared" si="53"/>
        <v>485511</v>
      </c>
      <c r="I167" s="697">
        <f t="shared" si="45"/>
        <v>409447</v>
      </c>
      <c r="J167" s="53">
        <f t="shared" si="46"/>
        <v>420049</v>
      </c>
      <c r="K167" s="50">
        <f t="shared" si="54"/>
        <v>102916</v>
      </c>
      <c r="L167" s="51">
        <f t="shared" si="55"/>
        <v>98534</v>
      </c>
      <c r="M167" s="115">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15">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
      <c r="A168" s="118" t="s">
        <v>63</v>
      </c>
      <c r="B168" s="112" t="s">
        <v>249</v>
      </c>
      <c r="C168" s="149" t="str">
        <f t="shared" si="39"/>
        <v>England ICB - NHS Derby and Derbyshire Integrated Care Board</v>
      </c>
      <c r="D168" s="83">
        <f t="shared" si="49"/>
        <v>454419</v>
      </c>
      <c r="E168" s="83">
        <f t="shared" si="50"/>
        <v>473723</v>
      </c>
      <c r="F168" s="113">
        <f t="shared" si="51"/>
        <v>1066954</v>
      </c>
      <c r="G168" s="52">
        <f t="shared" si="52"/>
        <v>524926</v>
      </c>
      <c r="H168" s="52">
        <f t="shared" si="53"/>
        <v>542028</v>
      </c>
      <c r="I168" s="697">
        <f t="shared" si="45"/>
        <v>454419</v>
      </c>
      <c r="J168" s="53">
        <f t="shared" si="46"/>
        <v>473723</v>
      </c>
      <c r="K168" s="50">
        <f t="shared" si="54"/>
        <v>108322</v>
      </c>
      <c r="L168" s="51">
        <f t="shared" si="55"/>
        <v>104205</v>
      </c>
      <c r="M168" s="115">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15">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
      <c r="A169" s="118" t="s">
        <v>63</v>
      </c>
      <c r="B169" s="112" t="s">
        <v>250</v>
      </c>
      <c r="C169" s="149" t="str">
        <f t="shared" si="39"/>
        <v>England ICB - NHS Devon Integrated Care Board</v>
      </c>
      <c r="D169" s="83">
        <f t="shared" si="49"/>
        <v>526473</v>
      </c>
      <c r="E169" s="83">
        <f t="shared" si="50"/>
        <v>561435</v>
      </c>
      <c r="F169" s="113">
        <f t="shared" si="51"/>
        <v>1232660</v>
      </c>
      <c r="G169" s="52">
        <f t="shared" si="52"/>
        <v>600962</v>
      </c>
      <c r="H169" s="52">
        <f t="shared" si="53"/>
        <v>631698</v>
      </c>
      <c r="I169" s="697">
        <f t="shared" si="45"/>
        <v>526473</v>
      </c>
      <c r="J169" s="53">
        <f t="shared" si="46"/>
        <v>561435</v>
      </c>
      <c r="K169" s="50">
        <f t="shared" si="54"/>
        <v>114913</v>
      </c>
      <c r="L169" s="51">
        <f t="shared" si="55"/>
        <v>108823</v>
      </c>
      <c r="M169" s="115">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15">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
      <c r="A170" s="118" t="s">
        <v>63</v>
      </c>
      <c r="B170" s="112" t="s">
        <v>251</v>
      </c>
      <c r="C170" s="149" t="str">
        <f t="shared" si="39"/>
        <v>England ICB - NHS Dorset Integrated Care Board</v>
      </c>
      <c r="D170" s="83">
        <f t="shared" si="49"/>
        <v>336457</v>
      </c>
      <c r="E170" s="83">
        <f t="shared" si="50"/>
        <v>359304</v>
      </c>
      <c r="F170" s="113">
        <f t="shared" si="51"/>
        <v>785172</v>
      </c>
      <c r="G170" s="52">
        <f t="shared" si="52"/>
        <v>382244</v>
      </c>
      <c r="H170" s="52">
        <f t="shared" si="53"/>
        <v>402928</v>
      </c>
      <c r="I170" s="697">
        <f t="shared" si="45"/>
        <v>336457</v>
      </c>
      <c r="J170" s="53">
        <f t="shared" si="46"/>
        <v>359304</v>
      </c>
      <c r="K170" s="50">
        <f t="shared" si="54"/>
        <v>71711</v>
      </c>
      <c r="L170" s="51">
        <f t="shared" si="55"/>
        <v>68247</v>
      </c>
      <c r="M170" s="115">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15">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
      <c r="A171" s="118" t="s">
        <v>63</v>
      </c>
      <c r="B171" s="112" t="s">
        <v>252</v>
      </c>
      <c r="C171" s="149" t="str">
        <f t="shared" si="39"/>
        <v>England ICB - NHS Frimley Integrated Care Board</v>
      </c>
      <c r="D171" s="83">
        <f t="shared" si="49"/>
        <v>323471</v>
      </c>
      <c r="E171" s="83">
        <f t="shared" si="50"/>
        <v>335273</v>
      </c>
      <c r="F171" s="113">
        <f t="shared" si="51"/>
        <v>773481</v>
      </c>
      <c r="G171" s="52">
        <f t="shared" si="52"/>
        <v>382291</v>
      </c>
      <c r="H171" s="52">
        <f t="shared" si="53"/>
        <v>391190</v>
      </c>
      <c r="I171" s="697">
        <f t="shared" si="45"/>
        <v>323471</v>
      </c>
      <c r="J171" s="53">
        <f t="shared" si="46"/>
        <v>335273</v>
      </c>
      <c r="K171" s="50">
        <f t="shared" si="54"/>
        <v>90835</v>
      </c>
      <c r="L171" s="51">
        <f t="shared" si="55"/>
        <v>85583</v>
      </c>
      <c r="M171" s="115">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15">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
      <c r="A172" s="118" t="s">
        <v>63</v>
      </c>
      <c r="B172" s="112" t="s">
        <v>253</v>
      </c>
      <c r="C172" s="149" t="str">
        <f t="shared" si="39"/>
        <v>England ICB - NHS Gloucestershire Integrated Care Board</v>
      </c>
      <c r="D172" s="83">
        <f t="shared" si="49"/>
        <v>275930</v>
      </c>
      <c r="E172" s="83">
        <f t="shared" si="50"/>
        <v>292588</v>
      </c>
      <c r="F172" s="113">
        <f t="shared" si="51"/>
        <v>652409</v>
      </c>
      <c r="G172" s="52">
        <f t="shared" si="52"/>
        <v>318898</v>
      </c>
      <c r="H172" s="52">
        <f t="shared" si="53"/>
        <v>333511</v>
      </c>
      <c r="I172" s="697">
        <f t="shared" si="45"/>
        <v>275930</v>
      </c>
      <c r="J172" s="53">
        <f t="shared" si="46"/>
        <v>292588</v>
      </c>
      <c r="K172" s="50">
        <f t="shared" si="54"/>
        <v>65468</v>
      </c>
      <c r="L172" s="51">
        <f t="shared" si="55"/>
        <v>63286</v>
      </c>
      <c r="M172" s="115">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15">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
      <c r="A173" s="118" t="s">
        <v>63</v>
      </c>
      <c r="B173" s="112" t="s">
        <v>254</v>
      </c>
      <c r="C173" s="149" t="str">
        <f t="shared" si="39"/>
        <v>England ICB - NHS Greater Manchester Integrated Care Board</v>
      </c>
      <c r="D173" s="83">
        <f t="shared" si="49"/>
        <v>1212516</v>
      </c>
      <c r="E173" s="83">
        <f t="shared" si="50"/>
        <v>1260429</v>
      </c>
      <c r="F173" s="113">
        <f t="shared" si="51"/>
        <v>2911744</v>
      </c>
      <c r="G173" s="52">
        <f t="shared" si="52"/>
        <v>1436730</v>
      </c>
      <c r="H173" s="52">
        <f t="shared" si="53"/>
        <v>1475014</v>
      </c>
      <c r="I173" s="697">
        <f t="shared" si="45"/>
        <v>1212516</v>
      </c>
      <c r="J173" s="53">
        <f t="shared" si="46"/>
        <v>1260429</v>
      </c>
      <c r="K173" s="50">
        <f t="shared" si="54"/>
        <v>339740</v>
      </c>
      <c r="L173" s="51">
        <f t="shared" si="55"/>
        <v>323202</v>
      </c>
      <c r="M173" s="115">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15">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
      <c r="A174" s="118" t="s">
        <v>63</v>
      </c>
      <c r="B174" s="112" t="s">
        <v>255</v>
      </c>
      <c r="C174" s="149" t="str">
        <f t="shared" si="39"/>
        <v>England ICB - NHS Hampshire and Isle of Wight Integrated Care Board</v>
      </c>
      <c r="D174" s="83">
        <f t="shared" si="49"/>
        <v>781487</v>
      </c>
      <c r="E174" s="83">
        <f t="shared" si="50"/>
        <v>822695</v>
      </c>
      <c r="F174" s="113">
        <f t="shared" si="51"/>
        <v>1842052</v>
      </c>
      <c r="G174" s="52">
        <f t="shared" si="52"/>
        <v>903321</v>
      </c>
      <c r="H174" s="52">
        <f t="shared" si="53"/>
        <v>938731</v>
      </c>
      <c r="I174" s="697">
        <f t="shared" si="45"/>
        <v>781487</v>
      </c>
      <c r="J174" s="53">
        <f t="shared" si="46"/>
        <v>822695</v>
      </c>
      <c r="K174" s="50">
        <f t="shared" si="54"/>
        <v>185217</v>
      </c>
      <c r="L174" s="51">
        <f t="shared" si="55"/>
        <v>176190</v>
      </c>
      <c r="M174" s="115">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15">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
      <c r="A175" s="118" t="s">
        <v>63</v>
      </c>
      <c r="B175" s="112" t="s">
        <v>256</v>
      </c>
      <c r="C175" s="149" t="str">
        <f t="shared" si="39"/>
        <v>England ICB - NHS Herefordshire and Worcestershire Integrated Care Board</v>
      </c>
      <c r="D175" s="83">
        <f t="shared" si="49"/>
        <v>339746</v>
      </c>
      <c r="E175" s="83">
        <f t="shared" si="50"/>
        <v>359217</v>
      </c>
      <c r="F175" s="113">
        <f t="shared" si="51"/>
        <v>797935</v>
      </c>
      <c r="G175" s="52">
        <f t="shared" si="52"/>
        <v>390507</v>
      </c>
      <c r="H175" s="52">
        <f t="shared" si="53"/>
        <v>407428</v>
      </c>
      <c r="I175" s="697">
        <f t="shared" si="45"/>
        <v>339746</v>
      </c>
      <c r="J175" s="53">
        <f t="shared" si="46"/>
        <v>359217</v>
      </c>
      <c r="K175" s="50">
        <f t="shared" si="54"/>
        <v>78736</v>
      </c>
      <c r="L175" s="51">
        <f t="shared" si="55"/>
        <v>74229</v>
      </c>
      <c r="M175" s="115">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15">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
      <c r="A176" s="118" t="s">
        <v>63</v>
      </c>
      <c r="B176" s="112" t="s">
        <v>257</v>
      </c>
      <c r="C176" s="149" t="str">
        <f t="shared" si="39"/>
        <v>England ICB - NHS Hertfordshire and West Essex Integrated Care Board</v>
      </c>
      <c r="D176" s="83">
        <f t="shared" si="49"/>
        <v>620907</v>
      </c>
      <c r="E176" s="83">
        <f t="shared" si="50"/>
        <v>662489</v>
      </c>
      <c r="F176" s="113">
        <f t="shared" si="51"/>
        <v>1506036</v>
      </c>
      <c r="G176" s="52">
        <f t="shared" si="52"/>
        <v>734819</v>
      </c>
      <c r="H176" s="52">
        <f t="shared" si="53"/>
        <v>771217</v>
      </c>
      <c r="I176" s="697">
        <f t="shared" si="45"/>
        <v>620907</v>
      </c>
      <c r="J176" s="53">
        <f t="shared" si="46"/>
        <v>662489</v>
      </c>
      <c r="K176" s="50">
        <f t="shared" si="54"/>
        <v>172939</v>
      </c>
      <c r="L176" s="51">
        <f t="shared" si="55"/>
        <v>164868</v>
      </c>
      <c r="M176" s="115">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15">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
      <c r="A177" s="118" t="s">
        <v>63</v>
      </c>
      <c r="B177" s="112" t="s">
        <v>258</v>
      </c>
      <c r="C177" s="149" t="str">
        <f t="shared" si="39"/>
        <v>England ICB - NHS Humber and North Yorkshire Integrated Care Board</v>
      </c>
      <c r="D177" s="83">
        <f t="shared" si="49"/>
        <v>732313</v>
      </c>
      <c r="E177" s="83">
        <f t="shared" si="50"/>
        <v>768761</v>
      </c>
      <c r="F177" s="113">
        <f t="shared" si="51"/>
        <v>1713205</v>
      </c>
      <c r="G177" s="52">
        <f t="shared" si="52"/>
        <v>841169</v>
      </c>
      <c r="H177" s="52">
        <f t="shared" si="53"/>
        <v>872036</v>
      </c>
      <c r="I177" s="697">
        <f t="shared" si="45"/>
        <v>732313</v>
      </c>
      <c r="J177" s="53">
        <f t="shared" si="46"/>
        <v>768761</v>
      </c>
      <c r="K177" s="50">
        <f t="shared" si="54"/>
        <v>168710</v>
      </c>
      <c r="L177" s="51">
        <f t="shared" si="55"/>
        <v>159739</v>
      </c>
      <c r="M177" s="115">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15">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
      <c r="A178" s="118" t="s">
        <v>63</v>
      </c>
      <c r="B178" s="112" t="s">
        <v>259</v>
      </c>
      <c r="C178" s="149" t="str">
        <f t="shared" si="39"/>
        <v>England ICB - NHS Kent and Medway Integrated Care Board</v>
      </c>
      <c r="D178" s="83">
        <f t="shared" si="49"/>
        <v>776852</v>
      </c>
      <c r="E178" s="83">
        <f t="shared" si="50"/>
        <v>830618</v>
      </c>
      <c r="F178" s="113">
        <f t="shared" si="51"/>
        <v>1875893</v>
      </c>
      <c r="G178" s="52">
        <f t="shared" si="52"/>
        <v>914637</v>
      </c>
      <c r="H178" s="52">
        <f t="shared" si="53"/>
        <v>961256</v>
      </c>
      <c r="I178" s="697">
        <f t="shared" si="45"/>
        <v>776852</v>
      </c>
      <c r="J178" s="53">
        <f t="shared" si="46"/>
        <v>830618</v>
      </c>
      <c r="K178" s="50">
        <f t="shared" si="54"/>
        <v>209246</v>
      </c>
      <c r="L178" s="51">
        <f t="shared" si="55"/>
        <v>198454</v>
      </c>
      <c r="M178" s="115">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15">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
      <c r="A179" s="118" t="s">
        <v>63</v>
      </c>
      <c r="B179" s="112" t="s">
        <v>260</v>
      </c>
      <c r="C179" s="149" t="str">
        <f t="shared" si="39"/>
        <v>England ICB - NHS Lancashire and South Cumbria Integrated Care Board</v>
      </c>
      <c r="D179" s="83">
        <f t="shared" si="49"/>
        <v>738568</v>
      </c>
      <c r="E179" s="83">
        <f t="shared" si="50"/>
        <v>769289</v>
      </c>
      <c r="F179" s="113">
        <f t="shared" si="51"/>
        <v>1737241</v>
      </c>
      <c r="G179" s="52">
        <f t="shared" si="52"/>
        <v>855662</v>
      </c>
      <c r="H179" s="52">
        <f t="shared" si="53"/>
        <v>881579</v>
      </c>
      <c r="I179" s="697">
        <f t="shared" si="45"/>
        <v>738568</v>
      </c>
      <c r="J179" s="53">
        <f t="shared" si="46"/>
        <v>769289</v>
      </c>
      <c r="K179" s="50">
        <f t="shared" si="54"/>
        <v>181090</v>
      </c>
      <c r="L179" s="51">
        <f t="shared" si="55"/>
        <v>172950</v>
      </c>
      <c r="M179" s="115">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15">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
      <c r="A180" s="118" t="s">
        <v>63</v>
      </c>
      <c r="B180" s="112" t="s">
        <v>261</v>
      </c>
      <c r="C180" s="149" t="str">
        <f t="shared" si="39"/>
        <v>England ICB - NHS Leicester, Leicestershire and Rutland Integrated Care Board</v>
      </c>
      <c r="D180" s="83">
        <f t="shared" si="49"/>
        <v>484149</v>
      </c>
      <c r="E180" s="83">
        <f t="shared" si="50"/>
        <v>497122</v>
      </c>
      <c r="F180" s="113">
        <f t="shared" si="51"/>
        <v>1136705</v>
      </c>
      <c r="G180" s="52">
        <f t="shared" si="52"/>
        <v>563981</v>
      </c>
      <c r="H180" s="52">
        <f t="shared" si="53"/>
        <v>572724</v>
      </c>
      <c r="I180" s="697">
        <f t="shared" si="45"/>
        <v>484149</v>
      </c>
      <c r="J180" s="53">
        <f t="shared" si="46"/>
        <v>497122</v>
      </c>
      <c r="K180" s="50">
        <f t="shared" si="54"/>
        <v>123171</v>
      </c>
      <c r="L180" s="51">
        <f t="shared" si="55"/>
        <v>115537</v>
      </c>
      <c r="M180" s="115">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15">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
      <c r="A181" s="118" t="s">
        <v>63</v>
      </c>
      <c r="B181" s="112" t="s">
        <v>262</v>
      </c>
      <c r="C181" s="149" t="str">
        <f t="shared" si="39"/>
        <v>England ICB - NHS Lincolnshire Integrated Care Board</v>
      </c>
      <c r="D181" s="83">
        <f t="shared" si="49"/>
        <v>331395</v>
      </c>
      <c r="E181" s="83">
        <f t="shared" si="50"/>
        <v>349319</v>
      </c>
      <c r="F181" s="113">
        <f t="shared" si="51"/>
        <v>775524</v>
      </c>
      <c r="G181" s="52">
        <f t="shared" si="52"/>
        <v>380037</v>
      </c>
      <c r="H181" s="52">
        <f t="shared" si="53"/>
        <v>395487</v>
      </c>
      <c r="I181" s="697">
        <f t="shared" si="45"/>
        <v>331395</v>
      </c>
      <c r="J181" s="53">
        <f t="shared" si="46"/>
        <v>349319</v>
      </c>
      <c r="K181" s="50">
        <f t="shared" si="54"/>
        <v>74660</v>
      </c>
      <c r="L181" s="51">
        <f t="shared" si="55"/>
        <v>71352</v>
      </c>
      <c r="M181" s="115">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15">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
      <c r="A182" s="118" t="s">
        <v>63</v>
      </c>
      <c r="B182" s="112" t="s">
        <v>263</v>
      </c>
      <c r="C182" s="149" t="str">
        <f t="shared" si="39"/>
        <v>England ICB - NHS Mid and South Essex Integrated Care Board</v>
      </c>
      <c r="D182" s="83">
        <f t="shared" si="49"/>
        <v>500771</v>
      </c>
      <c r="E182" s="83">
        <f t="shared" si="50"/>
        <v>534852</v>
      </c>
      <c r="F182" s="113">
        <f t="shared" si="51"/>
        <v>1209480</v>
      </c>
      <c r="G182" s="52">
        <f t="shared" si="52"/>
        <v>589912</v>
      </c>
      <c r="H182" s="52">
        <f t="shared" si="53"/>
        <v>619568</v>
      </c>
      <c r="I182" s="697">
        <f t="shared" si="45"/>
        <v>500771</v>
      </c>
      <c r="J182" s="53">
        <f t="shared" si="46"/>
        <v>534852</v>
      </c>
      <c r="K182" s="50">
        <f t="shared" si="54"/>
        <v>134343</v>
      </c>
      <c r="L182" s="51">
        <f t="shared" si="55"/>
        <v>127659</v>
      </c>
      <c r="M182" s="115">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15">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
      <c r="A183" s="118" t="s">
        <v>63</v>
      </c>
      <c r="B183" s="112" t="s">
        <v>264</v>
      </c>
      <c r="C183" s="149" t="str">
        <f t="shared" si="39"/>
        <v>England ICB - NHS Norfolk and Waveney Integrated Care Board</v>
      </c>
      <c r="D183" s="83">
        <f t="shared" si="49"/>
        <v>446976</v>
      </c>
      <c r="E183" s="83">
        <f t="shared" si="50"/>
        <v>470774</v>
      </c>
      <c r="F183" s="113">
        <f t="shared" si="51"/>
        <v>1041932</v>
      </c>
      <c r="G183" s="52">
        <f t="shared" si="52"/>
        <v>510572</v>
      </c>
      <c r="H183" s="52">
        <f t="shared" si="53"/>
        <v>531360</v>
      </c>
      <c r="I183" s="697">
        <f t="shared" si="45"/>
        <v>446976</v>
      </c>
      <c r="J183" s="53">
        <f t="shared" si="46"/>
        <v>470774</v>
      </c>
      <c r="K183" s="50">
        <f t="shared" si="54"/>
        <v>97520</v>
      </c>
      <c r="L183" s="51">
        <f t="shared" si="55"/>
        <v>92577</v>
      </c>
      <c r="M183" s="115">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15">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
      <c r="A184" s="118" t="s">
        <v>63</v>
      </c>
      <c r="B184" s="112" t="s">
        <v>265</v>
      </c>
      <c r="C184" s="149" t="str">
        <f t="shared" si="39"/>
        <v>England ICB - NHS North Central London Integrated Care Board</v>
      </c>
      <c r="D184" s="83">
        <f t="shared" si="49"/>
        <v>577242</v>
      </c>
      <c r="E184" s="83">
        <f t="shared" si="50"/>
        <v>643050</v>
      </c>
      <c r="F184" s="113">
        <f t="shared" si="51"/>
        <v>1416558</v>
      </c>
      <c r="G184" s="52">
        <f t="shared" si="52"/>
        <v>677387</v>
      </c>
      <c r="H184" s="52">
        <f t="shared" si="53"/>
        <v>739171</v>
      </c>
      <c r="I184" s="697">
        <f t="shared" si="45"/>
        <v>577242</v>
      </c>
      <c r="J184" s="53">
        <f t="shared" si="46"/>
        <v>643050</v>
      </c>
      <c r="K184" s="50">
        <f t="shared" si="54"/>
        <v>152005</v>
      </c>
      <c r="L184" s="51">
        <f t="shared" si="55"/>
        <v>146000</v>
      </c>
      <c r="M184" s="115">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15">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
      <c r="A185" s="118" t="s">
        <v>63</v>
      </c>
      <c r="B185" s="112" t="s">
        <v>266</v>
      </c>
      <c r="C185" s="149" t="str">
        <f t="shared" si="39"/>
        <v>England ICB - NHS North East and North Cumbria Integrated Care Board</v>
      </c>
      <c r="D185" s="83">
        <f t="shared" si="49"/>
        <v>1274795</v>
      </c>
      <c r="E185" s="83">
        <f t="shared" si="50"/>
        <v>1344819</v>
      </c>
      <c r="F185" s="113">
        <f t="shared" si="51"/>
        <v>3005519</v>
      </c>
      <c r="G185" s="52">
        <f t="shared" si="52"/>
        <v>1472907</v>
      </c>
      <c r="H185" s="52">
        <f t="shared" si="53"/>
        <v>1532612</v>
      </c>
      <c r="I185" s="697">
        <f t="shared" si="45"/>
        <v>1274795</v>
      </c>
      <c r="J185" s="53">
        <f t="shared" si="46"/>
        <v>1344819</v>
      </c>
      <c r="K185" s="50">
        <f t="shared" si="54"/>
        <v>302986</v>
      </c>
      <c r="L185" s="51">
        <f t="shared" si="55"/>
        <v>287512</v>
      </c>
      <c r="M185" s="115">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15">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
      <c r="A186" s="118" t="s">
        <v>63</v>
      </c>
      <c r="B186" s="112" t="s">
        <v>267</v>
      </c>
      <c r="C186" s="149" t="str">
        <f t="shared" si="39"/>
        <v>England ICB - NHS North East London Integrated Care Board</v>
      </c>
      <c r="D186" s="83">
        <f t="shared" si="49"/>
        <v>838169</v>
      </c>
      <c r="E186" s="83">
        <f t="shared" si="50"/>
        <v>874748</v>
      </c>
      <c r="F186" s="113">
        <f t="shared" si="51"/>
        <v>2028265</v>
      </c>
      <c r="G186" s="52">
        <f t="shared" si="52"/>
        <v>998819</v>
      </c>
      <c r="H186" s="52">
        <f t="shared" si="53"/>
        <v>1029446</v>
      </c>
      <c r="I186" s="697">
        <f t="shared" si="45"/>
        <v>838169</v>
      </c>
      <c r="J186" s="53">
        <f t="shared" si="46"/>
        <v>874748</v>
      </c>
      <c r="K186" s="50">
        <f t="shared" si="54"/>
        <v>237875</v>
      </c>
      <c r="L186" s="51">
        <f t="shared" si="55"/>
        <v>229218</v>
      </c>
      <c r="M186" s="115">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15">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
      <c r="A187" s="118" t="s">
        <v>63</v>
      </c>
      <c r="B187" s="112" t="s">
        <v>268</v>
      </c>
      <c r="C187" s="149" t="str">
        <f t="shared" si="39"/>
        <v>England ICB - NHS North West London Integrated Care Board</v>
      </c>
      <c r="D187" s="83">
        <f>I187</f>
        <v>887606</v>
      </c>
      <c r="E187" s="83">
        <f>J187</f>
        <v>939566</v>
      </c>
      <c r="F187" s="113">
        <f>G187+H187</f>
        <v>2116269</v>
      </c>
      <c r="G187" s="52">
        <f>SUM(M187:CY187)</f>
        <v>1035418</v>
      </c>
      <c r="H187" s="52">
        <f>SUM(CZ187:GL187)</f>
        <v>1080851</v>
      </c>
      <c r="I187" s="697">
        <f t="shared" si="45"/>
        <v>887606</v>
      </c>
      <c r="J187" s="53">
        <f t="shared" si="46"/>
        <v>939566</v>
      </c>
      <c r="K187" s="50">
        <f>SUM(M187:AD187)</f>
        <v>223719</v>
      </c>
      <c r="L187" s="51">
        <f>SUM(CZ187:DQ187)</f>
        <v>212928</v>
      </c>
      <c r="M187" s="115">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15">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
      <c r="A188" s="118" t="s">
        <v>63</v>
      </c>
      <c r="B188" s="112" t="s">
        <v>269</v>
      </c>
      <c r="C188" s="149" t="str">
        <f t="shared" si="39"/>
        <v>England ICB - NHS Northamptonshire Integrated Care Board</v>
      </c>
      <c r="D188" s="83">
        <f t="shared" si="49"/>
        <v>332977</v>
      </c>
      <c r="E188" s="83">
        <f t="shared" si="50"/>
        <v>345534</v>
      </c>
      <c r="F188" s="113">
        <f t="shared" si="51"/>
        <v>792421</v>
      </c>
      <c r="G188" s="52">
        <f t="shared" si="52"/>
        <v>391147</v>
      </c>
      <c r="H188" s="52">
        <f t="shared" si="53"/>
        <v>401274</v>
      </c>
      <c r="I188" s="697">
        <f t="shared" si="45"/>
        <v>332977</v>
      </c>
      <c r="J188" s="53">
        <f t="shared" si="46"/>
        <v>345534</v>
      </c>
      <c r="K188" s="50">
        <f t="shared" si="54"/>
        <v>88599</v>
      </c>
      <c r="L188" s="51">
        <f t="shared" si="55"/>
        <v>85015</v>
      </c>
      <c r="M188" s="115">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15">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
      <c r="A189" s="118" t="s">
        <v>63</v>
      </c>
      <c r="B189" s="112" t="s">
        <v>270</v>
      </c>
      <c r="C189" s="149" t="str">
        <f t="shared" si="39"/>
        <v>England ICB - NHS Nottingham and Nottinghamshire Integrated Care Board</v>
      </c>
      <c r="D189" s="83">
        <f t="shared" ref="D189:E193" si="56">I189</f>
        <v>492442</v>
      </c>
      <c r="E189" s="83">
        <f t="shared" si="56"/>
        <v>516482</v>
      </c>
      <c r="F189" s="113">
        <f>G189+H189</f>
        <v>1163335</v>
      </c>
      <c r="G189" s="52">
        <f>SUM(M189:CY189)</f>
        <v>571457</v>
      </c>
      <c r="H189" s="52">
        <f>SUM(CZ189:GL189)</f>
        <v>591878</v>
      </c>
      <c r="I189" s="697">
        <f t="shared" si="45"/>
        <v>492442</v>
      </c>
      <c r="J189" s="53">
        <f t="shared" si="46"/>
        <v>516482</v>
      </c>
      <c r="K189" s="50">
        <f>SUM(M189:AD189)</f>
        <v>119490</v>
      </c>
      <c r="L189" s="51">
        <f>SUM(CZ189:DQ189)</f>
        <v>113731</v>
      </c>
      <c r="M189" s="115">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15">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
      <c r="A190" s="118" t="s">
        <v>63</v>
      </c>
      <c r="B190" s="112" t="s">
        <v>271</v>
      </c>
      <c r="C190" s="149" t="str">
        <f t="shared" si="39"/>
        <v>England ICB - NHS Shropshire, Telford and Wrekin Integrated Care Board</v>
      </c>
      <c r="D190" s="83">
        <f t="shared" si="56"/>
        <v>220848</v>
      </c>
      <c r="E190" s="83">
        <f t="shared" si="56"/>
        <v>230115</v>
      </c>
      <c r="F190" s="113">
        <f>G190+H190</f>
        <v>516049</v>
      </c>
      <c r="G190" s="52">
        <f>SUM(M190:CY190)</f>
        <v>254197</v>
      </c>
      <c r="H190" s="52">
        <f>SUM(CZ190:GL190)</f>
        <v>261852</v>
      </c>
      <c r="I190" s="697">
        <f t="shared" si="45"/>
        <v>220848</v>
      </c>
      <c r="J190" s="53">
        <f t="shared" si="46"/>
        <v>230115</v>
      </c>
      <c r="K190" s="50">
        <f>SUM(M190:AD190)</f>
        <v>51864</v>
      </c>
      <c r="L190" s="51">
        <f>SUM(CZ190:DQ190)</f>
        <v>49260</v>
      </c>
      <c r="M190" s="115">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15">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
      <c r="A191" s="118" t="s">
        <v>63</v>
      </c>
      <c r="B191" s="112" t="s">
        <v>272</v>
      </c>
      <c r="C191" s="149" t="str">
        <f t="shared" si="39"/>
        <v>England ICB - NHS Somerset Integrated Care Board</v>
      </c>
      <c r="D191" s="83">
        <f t="shared" si="56"/>
        <v>246047</v>
      </c>
      <c r="E191" s="83">
        <f t="shared" si="56"/>
        <v>260122</v>
      </c>
      <c r="F191" s="113">
        <f>G191+H191</f>
        <v>576852</v>
      </c>
      <c r="G191" s="52">
        <f>SUM(M191:CY191)</f>
        <v>282176</v>
      </c>
      <c r="H191" s="52">
        <f>SUM(CZ191:GL191)</f>
        <v>294676</v>
      </c>
      <c r="I191" s="697">
        <f t="shared" si="45"/>
        <v>246047</v>
      </c>
      <c r="J191" s="53">
        <f t="shared" si="46"/>
        <v>260122</v>
      </c>
      <c r="K191" s="50">
        <f>SUM(M191:AD191)</f>
        <v>56523</v>
      </c>
      <c r="L191" s="51">
        <f>SUM(CZ191:DQ191)</f>
        <v>53989</v>
      </c>
      <c r="M191" s="115">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15">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
      <c r="A192" s="118" t="s">
        <v>63</v>
      </c>
      <c r="B192" s="112" t="s">
        <v>273</v>
      </c>
      <c r="C192" s="149" t="str">
        <f t="shared" si="39"/>
        <v>England ICB - NHS South East London Integrated Care Board</v>
      </c>
      <c r="D192" s="83">
        <f t="shared" si="56"/>
        <v>739901</v>
      </c>
      <c r="E192" s="83">
        <f t="shared" si="56"/>
        <v>809292</v>
      </c>
      <c r="F192" s="113">
        <f>G192+H192</f>
        <v>1795871</v>
      </c>
      <c r="G192" s="52">
        <f>SUM(M192:CY192)</f>
        <v>865549</v>
      </c>
      <c r="H192" s="52">
        <f>SUM(CZ192:GL192)</f>
        <v>930322</v>
      </c>
      <c r="I192" s="697">
        <f t="shared" si="45"/>
        <v>739901</v>
      </c>
      <c r="J192" s="53">
        <f t="shared" si="46"/>
        <v>809292</v>
      </c>
      <c r="K192" s="50">
        <f>SUM(M192:AD192)</f>
        <v>188145</v>
      </c>
      <c r="L192" s="51">
        <f>SUM(CZ192:DQ192)</f>
        <v>180944</v>
      </c>
      <c r="M192" s="115">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15">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
      <c r="A193" s="118" t="s">
        <v>63</v>
      </c>
      <c r="B193" s="112" t="s">
        <v>274</v>
      </c>
      <c r="C193" s="149" t="str">
        <f t="shared" si="39"/>
        <v>England ICB - NHS South West London Integrated Care Board</v>
      </c>
      <c r="D193" s="83">
        <f t="shared" si="56"/>
        <v>614019</v>
      </c>
      <c r="E193" s="83">
        <f t="shared" si="56"/>
        <v>677039</v>
      </c>
      <c r="F193" s="113">
        <f>G193+H193</f>
        <v>1509217</v>
      </c>
      <c r="G193" s="52">
        <f>SUM(M193:CY193)</f>
        <v>725443</v>
      </c>
      <c r="H193" s="52">
        <f>SUM(CZ193:GL193)</f>
        <v>783774</v>
      </c>
      <c r="I193" s="697">
        <f t="shared" si="45"/>
        <v>614019</v>
      </c>
      <c r="J193" s="53">
        <f t="shared" si="46"/>
        <v>677039</v>
      </c>
      <c r="K193" s="50">
        <f>SUM(M193:AD193)</f>
        <v>166650</v>
      </c>
      <c r="L193" s="51">
        <f>SUM(CZ193:DQ193)</f>
        <v>159378</v>
      </c>
      <c r="M193" s="115">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15">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
      <c r="A194" s="118" t="s">
        <v>63</v>
      </c>
      <c r="B194" s="112" t="s">
        <v>275</v>
      </c>
      <c r="C194" s="149" t="str">
        <f t="shared" si="39"/>
        <v>England ICB - NHS South Yorkshire Integrated Care Board</v>
      </c>
      <c r="D194" s="83">
        <f t="shared" ref="D194:D199" si="57">I194</f>
        <v>590604</v>
      </c>
      <c r="E194" s="83">
        <f t="shared" ref="E194:E199" si="58">J194</f>
        <v>611581</v>
      </c>
      <c r="F194" s="113">
        <f t="shared" ref="F194:F199" si="59">G194+H194</f>
        <v>1392105</v>
      </c>
      <c r="G194" s="52">
        <f t="shared" ref="G194:G199" si="60">SUM(M194:CY194)</f>
        <v>687732</v>
      </c>
      <c r="H194" s="52">
        <f t="shared" ref="H194:H199" si="61">SUM(CZ194:GL194)</f>
        <v>704373</v>
      </c>
      <c r="I194" s="697">
        <f t="shared" si="45"/>
        <v>590604</v>
      </c>
      <c r="J194" s="53">
        <f t="shared" si="46"/>
        <v>611581</v>
      </c>
      <c r="K194" s="50">
        <f t="shared" ref="K194:K199" si="62">SUM(M194:AD194)</f>
        <v>146773</v>
      </c>
      <c r="L194" s="51">
        <f t="shared" ref="L194:L199" si="63">SUM(CZ194:DQ194)</f>
        <v>139975</v>
      </c>
      <c r="M194" s="115">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15">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
      <c r="A195" s="118" t="s">
        <v>63</v>
      </c>
      <c r="B195" s="112" t="s">
        <v>276</v>
      </c>
      <c r="C195" s="149" t="str">
        <f t="shared" si="39"/>
        <v>England ICB - NHS Staffordshire and Stoke-on-Trent Integrated Care Board</v>
      </c>
      <c r="D195" s="83">
        <f t="shared" si="57"/>
        <v>490234</v>
      </c>
      <c r="E195" s="83">
        <f t="shared" si="58"/>
        <v>504658</v>
      </c>
      <c r="F195" s="113">
        <f t="shared" si="59"/>
        <v>1146249</v>
      </c>
      <c r="G195" s="52">
        <f t="shared" si="60"/>
        <v>567449</v>
      </c>
      <c r="H195" s="52">
        <f t="shared" si="61"/>
        <v>578800</v>
      </c>
      <c r="I195" s="697">
        <f t="shared" si="45"/>
        <v>490234</v>
      </c>
      <c r="J195" s="53">
        <f t="shared" si="46"/>
        <v>504658</v>
      </c>
      <c r="K195" s="50">
        <f t="shared" si="62"/>
        <v>117384</v>
      </c>
      <c r="L195" s="51">
        <f t="shared" si="63"/>
        <v>112574</v>
      </c>
      <c r="M195" s="115">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15">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
      <c r="A196" s="118" t="s">
        <v>63</v>
      </c>
      <c r="B196" s="112" t="s">
        <v>277</v>
      </c>
      <c r="C196" s="149" t="str">
        <f t="shared" si="39"/>
        <v>England ICB - NHS Suffolk and North East Essex Integrated Care Board</v>
      </c>
      <c r="D196" s="83">
        <f t="shared" si="57"/>
        <v>424499</v>
      </c>
      <c r="E196" s="83">
        <f t="shared" si="58"/>
        <v>445117</v>
      </c>
      <c r="F196" s="113">
        <f t="shared" si="59"/>
        <v>997767</v>
      </c>
      <c r="G196" s="52">
        <f t="shared" si="60"/>
        <v>490262</v>
      </c>
      <c r="H196" s="52">
        <f t="shared" si="61"/>
        <v>507505</v>
      </c>
      <c r="I196" s="697">
        <f t="shared" si="45"/>
        <v>424499</v>
      </c>
      <c r="J196" s="53">
        <f t="shared" si="46"/>
        <v>445117</v>
      </c>
      <c r="K196" s="50">
        <f t="shared" si="62"/>
        <v>100012</v>
      </c>
      <c r="L196" s="51">
        <f t="shared" si="63"/>
        <v>95169</v>
      </c>
      <c r="M196" s="115">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15">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
      <c r="A197" s="118" t="s">
        <v>63</v>
      </c>
      <c r="B197" s="112" t="s">
        <v>278</v>
      </c>
      <c r="C197" s="149" t="str">
        <f t="shared" si="39"/>
        <v>England ICB - NHS Surrey Heartlands Integrated Care Board</v>
      </c>
      <c r="D197" s="83">
        <f t="shared" si="57"/>
        <v>439728</v>
      </c>
      <c r="E197" s="83">
        <f t="shared" si="58"/>
        <v>468582</v>
      </c>
      <c r="F197" s="113">
        <f t="shared" si="59"/>
        <v>1058519</v>
      </c>
      <c r="G197" s="52">
        <f t="shared" si="60"/>
        <v>516579</v>
      </c>
      <c r="H197" s="52">
        <f t="shared" si="61"/>
        <v>541940</v>
      </c>
      <c r="I197" s="697">
        <f t="shared" si="45"/>
        <v>439728</v>
      </c>
      <c r="J197" s="53">
        <f t="shared" si="46"/>
        <v>468582</v>
      </c>
      <c r="K197" s="50">
        <f t="shared" si="62"/>
        <v>117646</v>
      </c>
      <c r="L197" s="51">
        <f t="shared" si="63"/>
        <v>112791</v>
      </c>
      <c r="M197" s="115">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15">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
      <c r="A198" s="118" t="s">
        <v>63</v>
      </c>
      <c r="B198" s="112" t="s">
        <v>279</v>
      </c>
      <c r="C198" s="149" t="str">
        <f t="shared" si="39"/>
        <v>England ICB - NHS Sussex Integrated Care Board</v>
      </c>
      <c r="D198" s="83">
        <f t="shared" si="57"/>
        <v>725365</v>
      </c>
      <c r="E198" s="83">
        <f t="shared" si="58"/>
        <v>784269</v>
      </c>
      <c r="F198" s="113">
        <f t="shared" si="59"/>
        <v>1721021</v>
      </c>
      <c r="G198" s="52">
        <f t="shared" si="60"/>
        <v>833713</v>
      </c>
      <c r="H198" s="52">
        <f t="shared" si="61"/>
        <v>887308</v>
      </c>
      <c r="I198" s="697">
        <f t="shared" si="45"/>
        <v>725365</v>
      </c>
      <c r="J198" s="53">
        <f t="shared" si="46"/>
        <v>784269</v>
      </c>
      <c r="K198" s="50">
        <f t="shared" si="62"/>
        <v>167654</v>
      </c>
      <c r="L198" s="51">
        <f t="shared" si="63"/>
        <v>159132</v>
      </c>
      <c r="M198" s="115">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15">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
      <c r="A199" s="118" t="s">
        <v>63</v>
      </c>
      <c r="B199" s="112" t="s">
        <v>280</v>
      </c>
      <c r="C199" s="149" t="str">
        <f t="shared" si="39"/>
        <v>England ICB - NHS West Yorkshire Integrated Care Board</v>
      </c>
      <c r="D199" s="83">
        <f t="shared" si="57"/>
        <v>1009271</v>
      </c>
      <c r="E199" s="83">
        <f t="shared" si="58"/>
        <v>1063867</v>
      </c>
      <c r="F199" s="113">
        <f t="shared" si="59"/>
        <v>2429755</v>
      </c>
      <c r="G199" s="52">
        <f t="shared" si="60"/>
        <v>1191152</v>
      </c>
      <c r="H199" s="52">
        <f t="shared" si="61"/>
        <v>1238603</v>
      </c>
      <c r="I199" s="697">
        <f t="shared" si="45"/>
        <v>1009271</v>
      </c>
      <c r="J199" s="53">
        <f t="shared" si="46"/>
        <v>1063867</v>
      </c>
      <c r="K199" s="50">
        <f t="shared" si="62"/>
        <v>276503</v>
      </c>
      <c r="L199" s="51">
        <f t="shared" si="63"/>
        <v>264360</v>
      </c>
      <c r="M199" s="115">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15">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25" customFormat="1" ht="15" x14ac:dyDescent="0.25">
      <c r="A200" s="121"/>
      <c r="B200" s="150"/>
      <c r="C200" s="131"/>
      <c r="D200" s="147">
        <f t="shared" ref="D200:L200" si="64">SUM(D158:D199)</f>
        <v>23982304</v>
      </c>
      <c r="E200" s="147">
        <f t="shared" si="64"/>
        <v>25305672</v>
      </c>
      <c r="F200" s="147">
        <f t="shared" si="64"/>
        <v>57106398</v>
      </c>
      <c r="G200" s="147">
        <f t="shared" si="64"/>
        <v>27983290</v>
      </c>
      <c r="H200" s="147">
        <f t="shared" si="64"/>
        <v>29123108</v>
      </c>
      <c r="I200" s="148">
        <f t="shared" si="64"/>
        <v>23982304</v>
      </c>
      <c r="J200" s="124">
        <f t="shared" si="64"/>
        <v>25305672</v>
      </c>
      <c r="K200" s="147">
        <f t="shared" si="64"/>
        <v>6087888</v>
      </c>
      <c r="L200" s="147">
        <f t="shared" si="64"/>
        <v>5799018</v>
      </c>
      <c r="M200" s="147"/>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4"/>
      <c r="AV200" s="124"/>
      <c r="AW200" s="124"/>
      <c r="AX200" s="124"/>
      <c r="AY200" s="124"/>
      <c r="AZ200" s="124"/>
      <c r="BA200" s="124"/>
      <c r="BB200" s="124"/>
      <c r="BC200" s="124"/>
      <c r="BD200" s="124"/>
      <c r="BE200" s="124"/>
      <c r="BF200" s="124"/>
      <c r="BG200" s="124"/>
      <c r="BH200" s="124"/>
      <c r="BI200" s="124"/>
      <c r="BJ200" s="124"/>
      <c r="BK200" s="124"/>
      <c r="BL200" s="124"/>
      <c r="BM200" s="124"/>
      <c r="BN200" s="124"/>
      <c r="BO200" s="124"/>
      <c r="BP200" s="124"/>
      <c r="BQ200" s="124"/>
      <c r="BR200" s="124"/>
      <c r="BS200" s="124"/>
      <c r="BT200" s="124"/>
      <c r="BU200" s="124"/>
      <c r="BV200" s="124"/>
      <c r="BW200" s="124"/>
      <c r="BX200" s="124"/>
      <c r="BY200" s="124"/>
      <c r="BZ200" s="124"/>
      <c r="CA200" s="124"/>
      <c r="CB200" s="124"/>
      <c r="CC200" s="124"/>
      <c r="CD200" s="124"/>
      <c r="CE200" s="124"/>
      <c r="CF200" s="124"/>
      <c r="CG200" s="124"/>
      <c r="CH200" s="124"/>
      <c r="CI200" s="124"/>
      <c r="CJ200" s="124"/>
      <c r="CK200" s="124"/>
      <c r="CL200" s="124"/>
      <c r="CM200" s="124"/>
      <c r="CN200" s="124"/>
      <c r="CO200" s="124"/>
      <c r="CP200" s="124"/>
      <c r="CQ200" s="124"/>
      <c r="CR200" s="124"/>
      <c r="CS200" s="124"/>
      <c r="CT200" s="124"/>
      <c r="CU200" s="124"/>
      <c r="CV200" s="124"/>
      <c r="CW200" s="124"/>
      <c r="CX200" s="124"/>
      <c r="CY200" s="123"/>
      <c r="CZ200" s="148"/>
      <c r="DA200" s="124"/>
      <c r="DB200" s="124"/>
      <c r="DC200" s="124"/>
      <c r="DD200" s="124"/>
      <c r="DE200" s="124"/>
      <c r="DF200" s="124"/>
      <c r="DG200" s="124"/>
      <c r="DH200" s="124"/>
      <c r="DI200" s="124"/>
      <c r="DJ200" s="124"/>
      <c r="DK200" s="124"/>
      <c r="DL200" s="124"/>
      <c r="DM200" s="124"/>
      <c r="DN200" s="124"/>
      <c r="DO200" s="124"/>
      <c r="DP200" s="124"/>
      <c r="DQ200" s="124"/>
      <c r="DR200" s="124"/>
      <c r="DS200" s="124"/>
      <c r="DT200" s="124"/>
      <c r="DU200" s="124"/>
      <c r="DV200" s="124"/>
      <c r="DW200" s="124"/>
      <c r="DX200" s="124"/>
      <c r="DY200" s="124"/>
      <c r="DZ200" s="124"/>
      <c r="EA200" s="124"/>
      <c r="EB200" s="124"/>
      <c r="EC200" s="124"/>
      <c r="ED200" s="124"/>
      <c r="EE200" s="124"/>
      <c r="EF200" s="124"/>
      <c r="EG200" s="124"/>
      <c r="EH200" s="124"/>
      <c r="EI200" s="124"/>
      <c r="EJ200" s="124"/>
      <c r="EK200" s="124"/>
      <c r="EL200" s="124"/>
      <c r="EM200" s="124"/>
      <c r="EN200" s="124"/>
      <c r="EO200" s="124"/>
      <c r="EP200" s="124"/>
      <c r="EQ200" s="124"/>
      <c r="ER200" s="124"/>
      <c r="ES200" s="124"/>
      <c r="ET200" s="124"/>
      <c r="EU200" s="124"/>
      <c r="EV200" s="124"/>
      <c r="EW200" s="124"/>
      <c r="EX200" s="124"/>
      <c r="EY200" s="124"/>
      <c r="EZ200" s="124"/>
      <c r="FA200" s="124"/>
      <c r="FB200" s="124"/>
      <c r="FC200" s="124"/>
      <c r="FD200" s="124"/>
      <c r="FE200" s="124"/>
      <c r="FF200" s="124"/>
      <c r="FG200" s="124"/>
      <c r="FH200" s="124"/>
      <c r="FI200" s="124"/>
      <c r="FJ200" s="124"/>
      <c r="FK200" s="124"/>
      <c r="FL200" s="124"/>
      <c r="FM200" s="124"/>
      <c r="FN200" s="124"/>
      <c r="FO200" s="124"/>
      <c r="FP200" s="124"/>
      <c r="FQ200" s="124"/>
      <c r="FR200" s="124"/>
      <c r="FS200" s="124"/>
      <c r="FT200" s="124"/>
      <c r="FU200" s="124"/>
      <c r="FV200" s="124"/>
      <c r="FW200" s="124"/>
      <c r="FX200" s="124"/>
      <c r="FY200" s="124"/>
      <c r="FZ200" s="124"/>
      <c r="GA200" s="124"/>
      <c r="GB200" s="124"/>
      <c r="GC200" s="124"/>
      <c r="GD200" s="124"/>
      <c r="GE200" s="124"/>
      <c r="GF200" s="124"/>
      <c r="GG200" s="124"/>
      <c r="GH200" s="124"/>
      <c r="GI200" s="124"/>
      <c r="GJ200" s="124"/>
      <c r="GK200" s="124"/>
      <c r="GL200" s="123"/>
    </row>
    <row r="201" spans="1:194" s="1" customFormat="1" x14ac:dyDescent="0.2">
      <c r="A201" s="31" t="s">
        <v>92</v>
      </c>
      <c r="B201" s="1" t="s">
        <v>281</v>
      </c>
      <c r="C201" s="72" t="str">
        <f>CONCATENATE(A201," - ",B201)</f>
        <v>LA England - Adur</v>
      </c>
      <c r="D201" s="61">
        <f t="shared" ref="D201:D265" si="65">I201</f>
        <v>26828</v>
      </c>
      <c r="E201" s="61">
        <f t="shared" ref="E201:E265" si="66">J201</f>
        <v>29281</v>
      </c>
      <c r="F201" s="552">
        <f t="shared" ref="F201:F265" si="67">G201+H201</f>
        <v>64688</v>
      </c>
      <c r="G201" s="552">
        <f t="shared" ref="G201:G265" si="68">SUM(M201:CY201)</f>
        <v>31217</v>
      </c>
      <c r="H201" s="552">
        <f t="shared" ref="H201:H265" si="69">SUM(CZ201:GL201)</f>
        <v>33471</v>
      </c>
      <c r="I201" s="696">
        <f t="shared" si="45"/>
        <v>26828</v>
      </c>
      <c r="J201" s="53">
        <f t="shared" si="46"/>
        <v>29281</v>
      </c>
      <c r="K201" s="50">
        <f t="shared" ref="K201:K265" si="70">SUM(M201:AD201)</f>
        <v>6774</v>
      </c>
      <c r="L201" s="61">
        <f t="shared" ref="L201:L265" si="7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
      <c r="A202" s="31" t="s">
        <v>92</v>
      </c>
      <c r="B202" s="1" t="s">
        <v>282</v>
      </c>
      <c r="C202" s="30" t="str">
        <f>CONCATENATE(A202," - ",B202)</f>
        <v>LA England - Amber Valley</v>
      </c>
      <c r="D202" s="51">
        <f>I202</f>
        <v>54637</v>
      </c>
      <c r="E202" s="51">
        <f>J202</f>
        <v>56786</v>
      </c>
      <c r="F202" s="52">
        <f>G202+H202</f>
        <v>126944</v>
      </c>
      <c r="G202" s="52">
        <f>SUM(M202:CY202)</f>
        <v>62511</v>
      </c>
      <c r="H202" s="52">
        <f>SUM(CZ202:GL202)</f>
        <v>64433</v>
      </c>
      <c r="I202" s="697">
        <f t="shared" si="45"/>
        <v>54637</v>
      </c>
      <c r="J202" s="53">
        <f t="shared" si="46"/>
        <v>56786</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
      <c r="A203" s="31" t="s">
        <v>92</v>
      </c>
      <c r="B203" s="1" t="s">
        <v>283</v>
      </c>
      <c r="C203" s="30" t="str">
        <f>CONCATENATE(A203," - ",B203)</f>
        <v>LA England - Arun</v>
      </c>
      <c r="D203" s="51">
        <f t="shared" si="65"/>
        <v>70387</v>
      </c>
      <c r="E203" s="51">
        <f t="shared" si="66"/>
        <v>77230</v>
      </c>
      <c r="F203" s="52">
        <f t="shared" si="67"/>
        <v>166366</v>
      </c>
      <c r="G203" s="52">
        <f t="shared" si="68"/>
        <v>79966</v>
      </c>
      <c r="H203" s="52">
        <f t="shared" si="69"/>
        <v>86400</v>
      </c>
      <c r="I203" s="697">
        <f t="shared" si="45"/>
        <v>70387</v>
      </c>
      <c r="J203" s="53">
        <f t="shared" si="46"/>
        <v>77230</v>
      </c>
      <c r="K203" s="50">
        <f t="shared" si="70"/>
        <v>14768</v>
      </c>
      <c r="L203" s="51">
        <f t="shared" si="7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
      <c r="A204" s="31" t="s">
        <v>92</v>
      </c>
      <c r="B204" s="1" t="s">
        <v>284</v>
      </c>
      <c r="C204" s="30" t="str">
        <f t="shared" ref="C204:C267" si="72">CONCATENATE(A204," - ",B204)</f>
        <v>LA England - Ashfield</v>
      </c>
      <c r="D204" s="51">
        <f t="shared" si="65"/>
        <v>53117</v>
      </c>
      <c r="E204" s="51">
        <f t="shared" si="66"/>
        <v>56497</v>
      </c>
      <c r="F204" s="52">
        <f t="shared" si="67"/>
        <v>127179</v>
      </c>
      <c r="G204" s="52">
        <f t="shared" si="68"/>
        <v>62228</v>
      </c>
      <c r="H204" s="52">
        <f t="shared" si="69"/>
        <v>64951</v>
      </c>
      <c r="I204" s="697">
        <f t="shared" si="45"/>
        <v>53117</v>
      </c>
      <c r="J204" s="53">
        <f t="shared" si="46"/>
        <v>56497</v>
      </c>
      <c r="K204" s="50">
        <f t="shared" si="70"/>
        <v>13612</v>
      </c>
      <c r="L204" s="51">
        <f t="shared" si="7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
      <c r="A205" s="31" t="s">
        <v>92</v>
      </c>
      <c r="B205" s="1" t="s">
        <v>285</v>
      </c>
      <c r="C205" s="30" t="str">
        <f t="shared" si="72"/>
        <v>LA England - Ashford</v>
      </c>
      <c r="D205" s="51">
        <f t="shared" si="65"/>
        <v>55854</v>
      </c>
      <c r="E205" s="51">
        <f t="shared" si="66"/>
        <v>60077</v>
      </c>
      <c r="F205" s="52">
        <f t="shared" si="67"/>
        <v>135610</v>
      </c>
      <c r="G205" s="52">
        <f t="shared" si="68"/>
        <v>65965</v>
      </c>
      <c r="H205" s="52">
        <f t="shared" si="69"/>
        <v>69645</v>
      </c>
      <c r="I205" s="697">
        <f t="shared" si="45"/>
        <v>55854</v>
      </c>
      <c r="J205" s="53">
        <f t="shared" si="46"/>
        <v>60077</v>
      </c>
      <c r="K205" s="50">
        <f t="shared" si="70"/>
        <v>15245</v>
      </c>
      <c r="L205" s="51">
        <f t="shared" si="7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
      <c r="A206" s="31" t="s">
        <v>92</v>
      </c>
      <c r="B206" s="1" t="s">
        <v>286</v>
      </c>
      <c r="C206" s="30" t="str">
        <f t="shared" si="72"/>
        <v>LA England - Babergh</v>
      </c>
      <c r="D206" s="51">
        <f t="shared" si="65"/>
        <v>40167</v>
      </c>
      <c r="E206" s="51">
        <f t="shared" si="66"/>
        <v>43170</v>
      </c>
      <c r="F206" s="52">
        <f t="shared" si="67"/>
        <v>94277</v>
      </c>
      <c r="G206" s="52">
        <f t="shared" si="68"/>
        <v>45714</v>
      </c>
      <c r="H206" s="52">
        <f t="shared" si="69"/>
        <v>48563</v>
      </c>
      <c r="I206" s="697">
        <f t="shared" si="45"/>
        <v>40167</v>
      </c>
      <c r="J206" s="53">
        <f t="shared" si="46"/>
        <v>43170</v>
      </c>
      <c r="K206" s="50">
        <f t="shared" si="70"/>
        <v>8817</v>
      </c>
      <c r="L206" s="51">
        <f t="shared" si="7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
      <c r="A207" s="31" t="s">
        <v>92</v>
      </c>
      <c r="B207" s="1" t="s">
        <v>287</v>
      </c>
      <c r="C207" s="30" t="str">
        <f t="shared" si="72"/>
        <v>LA England - Barking and Dagenham</v>
      </c>
      <c r="D207" s="51">
        <f t="shared" si="65"/>
        <v>85466</v>
      </c>
      <c r="E207" s="51">
        <f t="shared" si="66"/>
        <v>91906</v>
      </c>
      <c r="F207" s="52">
        <f t="shared" si="67"/>
        <v>219992</v>
      </c>
      <c r="G207" s="52">
        <f t="shared" si="68"/>
        <v>107205</v>
      </c>
      <c r="H207" s="52">
        <f t="shared" si="69"/>
        <v>112787</v>
      </c>
      <c r="I207" s="697">
        <f t="shared" si="45"/>
        <v>85466</v>
      </c>
      <c r="J207" s="53">
        <f t="shared" si="46"/>
        <v>91906</v>
      </c>
      <c r="K207" s="50">
        <f t="shared" si="70"/>
        <v>32734</v>
      </c>
      <c r="L207" s="51">
        <f t="shared" si="7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
      <c r="A208" s="31" t="s">
        <v>92</v>
      </c>
      <c r="B208" s="1" t="s">
        <v>288</v>
      </c>
      <c r="C208" s="30" t="str">
        <f t="shared" si="72"/>
        <v>LA England - Barnet</v>
      </c>
      <c r="D208" s="51">
        <f t="shared" si="65"/>
        <v>157617</v>
      </c>
      <c r="E208" s="51">
        <f t="shared" si="66"/>
        <v>171535</v>
      </c>
      <c r="F208" s="52">
        <f t="shared" si="67"/>
        <v>389101</v>
      </c>
      <c r="G208" s="52">
        <f t="shared" si="68"/>
        <v>188543</v>
      </c>
      <c r="H208" s="52">
        <f t="shared" si="69"/>
        <v>200558</v>
      </c>
      <c r="I208" s="697">
        <f t="shared" si="45"/>
        <v>157617</v>
      </c>
      <c r="J208" s="53">
        <f t="shared" si="46"/>
        <v>171535</v>
      </c>
      <c r="K208" s="50">
        <f t="shared" si="70"/>
        <v>46616</v>
      </c>
      <c r="L208" s="51">
        <f t="shared" si="7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
      <c r="A209" s="31" t="s">
        <v>92</v>
      </c>
      <c r="B209" s="1" t="s">
        <v>289</v>
      </c>
      <c r="C209" s="30" t="str">
        <f t="shared" si="72"/>
        <v>LA England - Barnsley</v>
      </c>
      <c r="D209" s="51">
        <f t="shared" si="65"/>
        <v>104033</v>
      </c>
      <c r="E209" s="51">
        <f t="shared" si="66"/>
        <v>108738</v>
      </c>
      <c r="F209" s="52">
        <f t="shared" si="67"/>
        <v>246482</v>
      </c>
      <c r="G209" s="52">
        <f t="shared" si="68"/>
        <v>121223</v>
      </c>
      <c r="H209" s="52">
        <f t="shared" si="69"/>
        <v>125259</v>
      </c>
      <c r="I209" s="697">
        <f t="shared" si="45"/>
        <v>104033</v>
      </c>
      <c r="J209" s="53">
        <f t="shared" si="46"/>
        <v>108738</v>
      </c>
      <c r="K209" s="50">
        <f t="shared" si="70"/>
        <v>25907</v>
      </c>
      <c r="L209" s="51">
        <f t="shared" si="7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
      <c r="A210" s="31" t="s">
        <v>92</v>
      </c>
      <c r="B210" s="1" t="s">
        <v>290</v>
      </c>
      <c r="C210" s="30" t="str">
        <f t="shared" si="72"/>
        <v>LA England - Basildon</v>
      </c>
      <c r="D210" s="51">
        <f t="shared" si="65"/>
        <v>76547</v>
      </c>
      <c r="E210" s="51">
        <f t="shared" si="66"/>
        <v>82394</v>
      </c>
      <c r="F210" s="52">
        <f t="shared" si="67"/>
        <v>188848</v>
      </c>
      <c r="G210" s="52">
        <f t="shared" si="68"/>
        <v>91792</v>
      </c>
      <c r="H210" s="52">
        <f t="shared" si="69"/>
        <v>97056</v>
      </c>
      <c r="I210" s="697">
        <f t="shared" si="45"/>
        <v>76547</v>
      </c>
      <c r="J210" s="53">
        <f t="shared" si="46"/>
        <v>82394</v>
      </c>
      <c r="K210" s="50">
        <f t="shared" si="70"/>
        <v>22522</v>
      </c>
      <c r="L210" s="51">
        <f t="shared" si="7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
      <c r="A211" s="31" t="s">
        <v>92</v>
      </c>
      <c r="B211" s="1" t="s">
        <v>291</v>
      </c>
      <c r="C211" s="30" t="str">
        <f t="shared" si="72"/>
        <v>LA England - Basingstoke and Deane</v>
      </c>
      <c r="D211" s="51">
        <f t="shared" si="65"/>
        <v>79222</v>
      </c>
      <c r="E211" s="51">
        <f t="shared" si="66"/>
        <v>81685</v>
      </c>
      <c r="F211" s="52">
        <f t="shared" si="67"/>
        <v>187817</v>
      </c>
      <c r="G211" s="52">
        <f t="shared" si="68"/>
        <v>93056</v>
      </c>
      <c r="H211" s="52">
        <f t="shared" si="69"/>
        <v>94761</v>
      </c>
      <c r="I211" s="697">
        <f t="shared" si="45"/>
        <v>79222</v>
      </c>
      <c r="J211" s="53">
        <f t="shared" si="46"/>
        <v>81685</v>
      </c>
      <c r="K211" s="50">
        <f t="shared" si="70"/>
        <v>20427</v>
      </c>
      <c r="L211" s="51">
        <f t="shared" si="7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
      <c r="A212" s="31" t="s">
        <v>92</v>
      </c>
      <c r="B212" s="1" t="s">
        <v>292</v>
      </c>
      <c r="C212" s="30" t="str">
        <f t="shared" si="72"/>
        <v>LA England - Bassetlaw</v>
      </c>
      <c r="D212" s="51">
        <f t="shared" si="65"/>
        <v>51512</v>
      </c>
      <c r="E212" s="51">
        <f t="shared" si="66"/>
        <v>52980</v>
      </c>
      <c r="F212" s="52">
        <f t="shared" si="67"/>
        <v>120012</v>
      </c>
      <c r="G212" s="52">
        <f t="shared" si="68"/>
        <v>59485</v>
      </c>
      <c r="H212" s="52">
        <f t="shared" si="69"/>
        <v>60527</v>
      </c>
      <c r="I212" s="697">
        <f t="shared" si="45"/>
        <v>51512</v>
      </c>
      <c r="J212" s="53">
        <f t="shared" si="46"/>
        <v>52980</v>
      </c>
      <c r="K212" s="50">
        <f t="shared" si="70"/>
        <v>12097</v>
      </c>
      <c r="L212" s="51">
        <f t="shared" si="7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
      <c r="A213" s="31" t="s">
        <v>92</v>
      </c>
      <c r="B213" s="1" t="s">
        <v>293</v>
      </c>
      <c r="C213" s="30" t="str">
        <f t="shared" si="72"/>
        <v>LA England - Bath and North East Somerset</v>
      </c>
      <c r="D213" s="51">
        <f t="shared" si="65"/>
        <v>83509</v>
      </c>
      <c r="E213" s="51">
        <f t="shared" si="66"/>
        <v>88668</v>
      </c>
      <c r="F213" s="52">
        <f t="shared" si="67"/>
        <v>195618</v>
      </c>
      <c r="G213" s="52">
        <f t="shared" si="68"/>
        <v>95553</v>
      </c>
      <c r="H213" s="52">
        <f t="shared" si="69"/>
        <v>100065</v>
      </c>
      <c r="I213" s="697">
        <f t="shared" si="45"/>
        <v>83509</v>
      </c>
      <c r="J213" s="53">
        <f t="shared" si="46"/>
        <v>88668</v>
      </c>
      <c r="K213" s="50">
        <f t="shared" si="70"/>
        <v>18547</v>
      </c>
      <c r="L213" s="51">
        <f t="shared" si="7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
      <c r="A214" s="31" t="s">
        <v>92</v>
      </c>
      <c r="B214" s="1" t="s">
        <v>294</v>
      </c>
      <c r="C214" s="30" t="str">
        <f t="shared" si="72"/>
        <v>LA England - Bedford</v>
      </c>
      <c r="D214" s="51">
        <f t="shared" si="65"/>
        <v>77777</v>
      </c>
      <c r="E214" s="51">
        <f t="shared" si="66"/>
        <v>81638</v>
      </c>
      <c r="F214" s="52">
        <f t="shared" si="67"/>
        <v>187466</v>
      </c>
      <c r="G214" s="52">
        <f t="shared" si="68"/>
        <v>92103</v>
      </c>
      <c r="H214" s="52">
        <f t="shared" si="69"/>
        <v>95363</v>
      </c>
      <c r="I214" s="697">
        <f t="shared" si="45"/>
        <v>77777</v>
      </c>
      <c r="J214" s="53">
        <f t="shared" si="46"/>
        <v>81638</v>
      </c>
      <c r="K214" s="50">
        <f t="shared" si="70"/>
        <v>21736</v>
      </c>
      <c r="L214" s="51">
        <f t="shared" si="7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
      <c r="A215" s="31" t="s">
        <v>92</v>
      </c>
      <c r="B215" s="1" t="s">
        <v>295</v>
      </c>
      <c r="C215" s="30" t="str">
        <f t="shared" si="72"/>
        <v>LA England - Bexley</v>
      </c>
      <c r="D215" s="51">
        <f t="shared" si="65"/>
        <v>99961</v>
      </c>
      <c r="E215" s="51">
        <f t="shared" si="66"/>
        <v>109984</v>
      </c>
      <c r="F215" s="52">
        <f t="shared" si="67"/>
        <v>247835</v>
      </c>
      <c r="G215" s="52">
        <f t="shared" si="68"/>
        <v>119290</v>
      </c>
      <c r="H215" s="52">
        <f t="shared" si="69"/>
        <v>128545</v>
      </c>
      <c r="I215" s="697">
        <f t="shared" si="45"/>
        <v>99961</v>
      </c>
      <c r="J215" s="53">
        <f t="shared" si="46"/>
        <v>109984</v>
      </c>
      <c r="K215" s="50">
        <f t="shared" si="70"/>
        <v>29178</v>
      </c>
      <c r="L215" s="51">
        <f t="shared" si="7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
      <c r="A216" s="31" t="s">
        <v>92</v>
      </c>
      <c r="B216" s="1" t="s">
        <v>296</v>
      </c>
      <c r="C216" s="30" t="str">
        <f t="shared" si="72"/>
        <v>LA England - Birmingham</v>
      </c>
      <c r="D216" s="51">
        <f t="shared" si="65"/>
        <v>472854</v>
      </c>
      <c r="E216" s="51">
        <f t="shared" si="66"/>
        <v>495572</v>
      </c>
      <c r="F216" s="52">
        <f t="shared" si="67"/>
        <v>1157603</v>
      </c>
      <c r="G216" s="52">
        <f t="shared" si="68"/>
        <v>569108</v>
      </c>
      <c r="H216" s="52">
        <f t="shared" si="69"/>
        <v>588495</v>
      </c>
      <c r="I216" s="697">
        <f t="shared" si="45"/>
        <v>472854</v>
      </c>
      <c r="J216" s="53">
        <f t="shared" si="46"/>
        <v>495572</v>
      </c>
      <c r="K216" s="50">
        <f t="shared" si="70"/>
        <v>146862</v>
      </c>
      <c r="L216" s="51">
        <f t="shared" si="7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
      <c r="A217" s="31" t="s">
        <v>92</v>
      </c>
      <c r="B217" s="1" t="s">
        <v>297</v>
      </c>
      <c r="C217" s="30" t="str">
        <f t="shared" si="72"/>
        <v>LA England - Blaby</v>
      </c>
      <c r="D217" s="51">
        <f t="shared" si="65"/>
        <v>43579</v>
      </c>
      <c r="E217" s="51">
        <f t="shared" si="66"/>
        <v>46028</v>
      </c>
      <c r="F217" s="52">
        <f t="shared" si="67"/>
        <v>104182</v>
      </c>
      <c r="G217" s="52">
        <f t="shared" si="68"/>
        <v>51069</v>
      </c>
      <c r="H217" s="52">
        <f t="shared" si="69"/>
        <v>53113</v>
      </c>
      <c r="I217" s="697">
        <f t="shared" si="45"/>
        <v>43579</v>
      </c>
      <c r="J217" s="53">
        <f t="shared" si="46"/>
        <v>46028</v>
      </c>
      <c r="K217" s="50">
        <f t="shared" si="70"/>
        <v>11270</v>
      </c>
      <c r="L217" s="51">
        <f t="shared" si="7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
      <c r="A218" s="31" t="s">
        <v>92</v>
      </c>
      <c r="B218" s="1" t="s">
        <v>298</v>
      </c>
      <c r="C218" s="30" t="str">
        <f t="shared" si="72"/>
        <v>LA England - Blackburn with Darwen</v>
      </c>
      <c r="D218" s="51">
        <f t="shared" si="65"/>
        <v>64222</v>
      </c>
      <c r="E218" s="51">
        <f t="shared" si="66"/>
        <v>65690</v>
      </c>
      <c r="F218" s="52">
        <f t="shared" si="67"/>
        <v>155762</v>
      </c>
      <c r="G218" s="52">
        <f t="shared" si="68"/>
        <v>77331</v>
      </c>
      <c r="H218" s="52">
        <f t="shared" si="69"/>
        <v>78431</v>
      </c>
      <c r="I218" s="697">
        <f t="shared" si="45"/>
        <v>64222</v>
      </c>
      <c r="J218" s="53">
        <f t="shared" si="46"/>
        <v>65690</v>
      </c>
      <c r="K218" s="50">
        <f t="shared" si="70"/>
        <v>20273</v>
      </c>
      <c r="L218" s="51">
        <f t="shared" si="7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
      <c r="A219" s="31" t="s">
        <v>92</v>
      </c>
      <c r="B219" s="1" t="s">
        <v>299</v>
      </c>
      <c r="C219" s="30" t="str">
        <f t="shared" si="72"/>
        <v>LA England - Blackpool</v>
      </c>
      <c r="D219" s="51">
        <f t="shared" si="65"/>
        <v>60641</v>
      </c>
      <c r="E219" s="51">
        <f t="shared" si="66"/>
        <v>62397</v>
      </c>
      <c r="F219" s="52">
        <f t="shared" si="67"/>
        <v>141574</v>
      </c>
      <c r="G219" s="52">
        <f t="shared" si="68"/>
        <v>70014</v>
      </c>
      <c r="H219" s="52">
        <f t="shared" si="69"/>
        <v>71560</v>
      </c>
      <c r="I219" s="697">
        <f t="shared" si="45"/>
        <v>60641</v>
      </c>
      <c r="J219" s="53">
        <f t="shared" si="46"/>
        <v>62397</v>
      </c>
      <c r="K219" s="50">
        <f t="shared" si="70"/>
        <v>14452</v>
      </c>
      <c r="L219" s="51">
        <f t="shared" si="7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
      <c r="A220" s="31" t="s">
        <v>92</v>
      </c>
      <c r="B220" s="1" t="s">
        <v>300</v>
      </c>
      <c r="C220" s="30" t="str">
        <f t="shared" si="72"/>
        <v>LA England - Bolsover</v>
      </c>
      <c r="D220" s="51">
        <f t="shared" si="65"/>
        <v>34786</v>
      </c>
      <c r="E220" s="51">
        <f t="shared" si="66"/>
        <v>36307</v>
      </c>
      <c r="F220" s="52">
        <f t="shared" si="67"/>
        <v>81553</v>
      </c>
      <c r="G220" s="52">
        <f t="shared" si="68"/>
        <v>40122</v>
      </c>
      <c r="H220" s="52">
        <f t="shared" si="69"/>
        <v>41431</v>
      </c>
      <c r="I220" s="697">
        <f t="shared" si="45"/>
        <v>34786</v>
      </c>
      <c r="J220" s="53">
        <f t="shared" si="46"/>
        <v>36307</v>
      </c>
      <c r="K220" s="50">
        <f t="shared" si="70"/>
        <v>8058</v>
      </c>
      <c r="L220" s="51">
        <f t="shared" si="7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
      <c r="A221" s="31" t="s">
        <v>92</v>
      </c>
      <c r="B221" s="1" t="s">
        <v>301</v>
      </c>
      <c r="C221" s="30" t="str">
        <f t="shared" si="72"/>
        <v>LA England - Bolton</v>
      </c>
      <c r="D221" s="51">
        <f t="shared" si="65"/>
        <v>123561</v>
      </c>
      <c r="E221" s="51">
        <f t="shared" si="66"/>
        <v>127822</v>
      </c>
      <c r="F221" s="52">
        <f t="shared" si="67"/>
        <v>298903</v>
      </c>
      <c r="G221" s="52">
        <f t="shared" si="68"/>
        <v>147723</v>
      </c>
      <c r="H221" s="52">
        <f t="shared" si="69"/>
        <v>151180</v>
      </c>
      <c r="I221" s="697">
        <f t="shared" si="45"/>
        <v>123561</v>
      </c>
      <c r="J221" s="53">
        <f t="shared" si="46"/>
        <v>127822</v>
      </c>
      <c r="K221" s="50">
        <f t="shared" si="70"/>
        <v>37165</v>
      </c>
      <c r="L221" s="51">
        <f t="shared" si="7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
      <c r="A222" s="31" t="s">
        <v>92</v>
      </c>
      <c r="B222" s="1" t="s">
        <v>302</v>
      </c>
      <c r="C222" s="30" t="str">
        <f t="shared" si="72"/>
        <v>LA England - Boston</v>
      </c>
      <c r="D222" s="51">
        <f t="shared" si="65"/>
        <v>29765</v>
      </c>
      <c r="E222" s="51">
        <f t="shared" si="66"/>
        <v>31240</v>
      </c>
      <c r="F222" s="52">
        <f t="shared" si="67"/>
        <v>70806</v>
      </c>
      <c r="G222" s="52">
        <f t="shared" si="68"/>
        <v>34835</v>
      </c>
      <c r="H222" s="52">
        <f t="shared" si="69"/>
        <v>35971</v>
      </c>
      <c r="I222" s="697">
        <f t="shared" ref="I222:I285" si="73">SUM(Y222:CY222)</f>
        <v>29765</v>
      </c>
      <c r="J222" s="53">
        <f t="shared" ref="J222:J285" si="74">SUM(DL222:GL222)</f>
        <v>31240</v>
      </c>
      <c r="K222" s="50">
        <f t="shared" si="70"/>
        <v>7690</v>
      </c>
      <c r="L222" s="51">
        <f t="shared" si="7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
      <c r="A223" s="31" t="s">
        <v>92</v>
      </c>
      <c r="B223" s="1" t="s">
        <v>303</v>
      </c>
      <c r="C223" s="30" t="str">
        <f t="shared" si="72"/>
        <v>LA England - Bournemouth, Christchurch and Poole</v>
      </c>
      <c r="D223" s="51">
        <f t="shared" si="65"/>
        <v>171260</v>
      </c>
      <c r="E223" s="51">
        <f t="shared" si="66"/>
        <v>182110</v>
      </c>
      <c r="F223" s="52">
        <f t="shared" si="67"/>
        <v>401898</v>
      </c>
      <c r="G223" s="52">
        <f t="shared" si="68"/>
        <v>196127</v>
      </c>
      <c r="H223" s="52">
        <f t="shared" si="69"/>
        <v>205771</v>
      </c>
      <c r="I223" s="697">
        <f t="shared" si="73"/>
        <v>171260</v>
      </c>
      <c r="J223" s="53">
        <f t="shared" si="74"/>
        <v>182110</v>
      </c>
      <c r="K223" s="50">
        <f t="shared" si="70"/>
        <v>37886</v>
      </c>
      <c r="L223" s="51">
        <f t="shared" si="7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
      <c r="A224" s="31" t="s">
        <v>92</v>
      </c>
      <c r="B224" s="1" t="s">
        <v>304</v>
      </c>
      <c r="C224" s="30" t="str">
        <f t="shared" si="72"/>
        <v>LA England - Bracknell Forest</v>
      </c>
      <c r="D224" s="51">
        <f t="shared" si="65"/>
        <v>53173</v>
      </c>
      <c r="E224" s="51">
        <f t="shared" si="66"/>
        <v>55466</v>
      </c>
      <c r="F224" s="52">
        <f t="shared" si="67"/>
        <v>126881</v>
      </c>
      <c r="G224" s="52">
        <f t="shared" si="68"/>
        <v>62570</v>
      </c>
      <c r="H224" s="52">
        <f t="shared" si="69"/>
        <v>64311</v>
      </c>
      <c r="I224" s="697">
        <f t="shared" si="73"/>
        <v>53173</v>
      </c>
      <c r="J224" s="53">
        <f t="shared" si="74"/>
        <v>55466</v>
      </c>
      <c r="K224" s="50">
        <f t="shared" si="70"/>
        <v>14455</v>
      </c>
      <c r="L224" s="51">
        <f t="shared" si="7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
      <c r="A225" s="31" t="s">
        <v>92</v>
      </c>
      <c r="B225" s="1" t="s">
        <v>305</v>
      </c>
      <c r="C225" s="30" t="str">
        <f t="shared" si="72"/>
        <v>LA England - Bradford</v>
      </c>
      <c r="D225" s="51">
        <f t="shared" si="65"/>
        <v>224998</v>
      </c>
      <c r="E225" s="51">
        <f t="shared" si="66"/>
        <v>236097</v>
      </c>
      <c r="F225" s="52">
        <f t="shared" si="67"/>
        <v>552644</v>
      </c>
      <c r="G225" s="52">
        <f t="shared" si="68"/>
        <v>271181</v>
      </c>
      <c r="H225" s="52">
        <f t="shared" si="69"/>
        <v>281463</v>
      </c>
      <c r="I225" s="697">
        <f t="shared" si="73"/>
        <v>224998</v>
      </c>
      <c r="J225" s="53">
        <f t="shared" si="74"/>
        <v>236097</v>
      </c>
      <c r="K225" s="50">
        <f t="shared" si="70"/>
        <v>71509</v>
      </c>
      <c r="L225" s="51">
        <f t="shared" si="7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
      <c r="A226" s="31" t="s">
        <v>92</v>
      </c>
      <c r="B226" s="1" t="s">
        <v>306</v>
      </c>
      <c r="C226" s="30" t="str">
        <f t="shared" si="72"/>
        <v>LA England - Braintree</v>
      </c>
      <c r="D226" s="51">
        <f t="shared" si="65"/>
        <v>66068</v>
      </c>
      <c r="E226" s="51">
        <f t="shared" si="66"/>
        <v>70118</v>
      </c>
      <c r="F226" s="52">
        <f t="shared" si="67"/>
        <v>157681</v>
      </c>
      <c r="G226" s="52">
        <f t="shared" si="68"/>
        <v>77152</v>
      </c>
      <c r="H226" s="52">
        <f t="shared" si="69"/>
        <v>80529</v>
      </c>
      <c r="I226" s="697">
        <f t="shared" si="73"/>
        <v>66068</v>
      </c>
      <c r="J226" s="53">
        <f t="shared" si="74"/>
        <v>70118</v>
      </c>
      <c r="K226" s="50">
        <f t="shared" si="70"/>
        <v>16778</v>
      </c>
      <c r="L226" s="51">
        <f t="shared" si="7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
      <c r="A227" s="31" t="s">
        <v>92</v>
      </c>
      <c r="B227" s="1" t="s">
        <v>307</v>
      </c>
      <c r="C227" s="30" t="str">
        <f t="shared" si="72"/>
        <v>LA England - Breckland</v>
      </c>
      <c r="D227" s="51">
        <f t="shared" si="65"/>
        <v>62108</v>
      </c>
      <c r="E227" s="51">
        <f t="shared" si="66"/>
        <v>63794</v>
      </c>
      <c r="F227" s="52">
        <f t="shared" si="67"/>
        <v>143479</v>
      </c>
      <c r="G227" s="52">
        <f t="shared" si="68"/>
        <v>71134</v>
      </c>
      <c r="H227" s="52">
        <f t="shared" si="69"/>
        <v>72345</v>
      </c>
      <c r="I227" s="697">
        <f t="shared" si="73"/>
        <v>62108</v>
      </c>
      <c r="J227" s="53">
        <f t="shared" si="74"/>
        <v>63794</v>
      </c>
      <c r="K227" s="50">
        <f t="shared" si="70"/>
        <v>13814</v>
      </c>
      <c r="L227" s="51">
        <f t="shared" si="7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
      <c r="A228" s="31" t="s">
        <v>92</v>
      </c>
      <c r="B228" s="1" t="s">
        <v>308</v>
      </c>
      <c r="C228" s="30" t="str">
        <f t="shared" si="72"/>
        <v>LA England - Brent</v>
      </c>
      <c r="D228" s="51">
        <f t="shared" si="65"/>
        <v>142431</v>
      </c>
      <c r="E228" s="51">
        <f t="shared" si="66"/>
        <v>150651</v>
      </c>
      <c r="F228" s="52">
        <f t="shared" si="67"/>
        <v>341221</v>
      </c>
      <c r="G228" s="52">
        <f t="shared" si="68"/>
        <v>167159</v>
      </c>
      <c r="H228" s="52">
        <f t="shared" si="69"/>
        <v>174062</v>
      </c>
      <c r="I228" s="697">
        <f t="shared" si="73"/>
        <v>142431</v>
      </c>
      <c r="J228" s="53">
        <f t="shared" si="74"/>
        <v>150651</v>
      </c>
      <c r="K228" s="50">
        <f t="shared" si="70"/>
        <v>37597</v>
      </c>
      <c r="L228" s="51">
        <f t="shared" si="7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
      <c r="A229" s="31" t="s">
        <v>92</v>
      </c>
      <c r="B229" s="1" t="s">
        <v>309</v>
      </c>
      <c r="C229" s="30" t="str">
        <f t="shared" si="72"/>
        <v>LA England - Brentwood</v>
      </c>
      <c r="D229" s="51">
        <f t="shared" si="65"/>
        <v>31896</v>
      </c>
      <c r="E229" s="51">
        <f t="shared" si="66"/>
        <v>34548</v>
      </c>
      <c r="F229" s="52">
        <f t="shared" si="67"/>
        <v>77332</v>
      </c>
      <c r="G229" s="52">
        <f t="shared" si="68"/>
        <v>37566</v>
      </c>
      <c r="H229" s="52">
        <f t="shared" si="69"/>
        <v>39766</v>
      </c>
      <c r="I229" s="697">
        <f t="shared" si="73"/>
        <v>31896</v>
      </c>
      <c r="J229" s="53">
        <f t="shared" si="74"/>
        <v>34548</v>
      </c>
      <c r="K229" s="50">
        <f t="shared" si="70"/>
        <v>8432</v>
      </c>
      <c r="L229" s="51">
        <f t="shared" si="7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
      <c r="A230" s="31" t="s">
        <v>92</v>
      </c>
      <c r="B230" s="1" t="s">
        <v>310</v>
      </c>
      <c r="C230" s="30" t="str">
        <f t="shared" si="72"/>
        <v>LA England - Brighton and Hove</v>
      </c>
      <c r="D230" s="51">
        <f t="shared" si="65"/>
        <v>120795</v>
      </c>
      <c r="E230" s="51">
        <f t="shared" si="66"/>
        <v>127442</v>
      </c>
      <c r="F230" s="52">
        <f t="shared" si="67"/>
        <v>277965</v>
      </c>
      <c r="G230" s="52">
        <f t="shared" si="68"/>
        <v>136030</v>
      </c>
      <c r="H230" s="52">
        <f t="shared" si="69"/>
        <v>141935</v>
      </c>
      <c r="I230" s="697">
        <f t="shared" si="73"/>
        <v>120795</v>
      </c>
      <c r="J230" s="53">
        <f t="shared" si="74"/>
        <v>127442</v>
      </c>
      <c r="K230" s="50">
        <f t="shared" si="70"/>
        <v>23842</v>
      </c>
      <c r="L230" s="51">
        <f t="shared" si="7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
      <c r="A231" s="31" t="s">
        <v>92</v>
      </c>
      <c r="B231" s="1" t="s">
        <v>311</v>
      </c>
      <c r="C231" s="30" t="str">
        <f t="shared" si="72"/>
        <v>LA England - Bristol, City of</v>
      </c>
      <c r="D231" s="51">
        <f t="shared" si="65"/>
        <v>206464</v>
      </c>
      <c r="E231" s="51">
        <f t="shared" si="66"/>
        <v>210576</v>
      </c>
      <c r="F231" s="52">
        <f t="shared" si="67"/>
        <v>479024</v>
      </c>
      <c r="G231" s="52">
        <f t="shared" si="68"/>
        <v>238161</v>
      </c>
      <c r="H231" s="52">
        <f t="shared" si="69"/>
        <v>240863</v>
      </c>
      <c r="I231" s="697">
        <f t="shared" si="73"/>
        <v>206464</v>
      </c>
      <c r="J231" s="53">
        <f t="shared" si="74"/>
        <v>210576</v>
      </c>
      <c r="K231" s="50">
        <f t="shared" si="70"/>
        <v>46767</v>
      </c>
      <c r="L231" s="51">
        <f t="shared" si="7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
      <c r="A232" s="31" t="s">
        <v>92</v>
      </c>
      <c r="B232" s="1" t="s">
        <v>312</v>
      </c>
      <c r="C232" s="30" t="str">
        <f t="shared" si="72"/>
        <v>LA England - Broadland</v>
      </c>
      <c r="D232" s="51">
        <f t="shared" si="65"/>
        <v>57168</v>
      </c>
      <c r="E232" s="51">
        <f t="shared" si="66"/>
        <v>60913</v>
      </c>
      <c r="F232" s="52">
        <f t="shared" si="67"/>
        <v>133872</v>
      </c>
      <c r="G232" s="52">
        <f t="shared" si="68"/>
        <v>65230</v>
      </c>
      <c r="H232" s="52">
        <f t="shared" si="69"/>
        <v>68642</v>
      </c>
      <c r="I232" s="697">
        <f t="shared" si="73"/>
        <v>57168</v>
      </c>
      <c r="J232" s="53">
        <f t="shared" si="74"/>
        <v>60913</v>
      </c>
      <c r="K232" s="50">
        <f t="shared" si="70"/>
        <v>12531</v>
      </c>
      <c r="L232" s="51">
        <f t="shared" si="7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
      <c r="A233" s="31" t="s">
        <v>92</v>
      </c>
      <c r="B233" s="1" t="s">
        <v>313</v>
      </c>
      <c r="C233" s="30" t="str">
        <f t="shared" si="72"/>
        <v>LA England - Bromley</v>
      </c>
      <c r="D233" s="51">
        <f t="shared" si="65"/>
        <v>133280</v>
      </c>
      <c r="E233" s="51">
        <f t="shared" si="66"/>
        <v>148163</v>
      </c>
      <c r="F233" s="52">
        <f t="shared" si="67"/>
        <v>329578</v>
      </c>
      <c r="G233" s="52">
        <f t="shared" si="68"/>
        <v>157924</v>
      </c>
      <c r="H233" s="52">
        <f t="shared" si="69"/>
        <v>171654</v>
      </c>
      <c r="I233" s="697">
        <f t="shared" si="73"/>
        <v>133280</v>
      </c>
      <c r="J233" s="53">
        <f t="shared" si="74"/>
        <v>148163</v>
      </c>
      <c r="K233" s="50">
        <f t="shared" si="70"/>
        <v>37270</v>
      </c>
      <c r="L233" s="51">
        <f t="shared" si="7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
      <c r="A234" s="31" t="s">
        <v>92</v>
      </c>
      <c r="B234" s="1" t="s">
        <v>314</v>
      </c>
      <c r="C234" s="30" t="str">
        <f t="shared" si="72"/>
        <v>LA England - Bromsgrove</v>
      </c>
      <c r="D234" s="51">
        <f t="shared" si="65"/>
        <v>42058</v>
      </c>
      <c r="E234" s="51">
        <f t="shared" si="66"/>
        <v>44643</v>
      </c>
      <c r="F234" s="52">
        <f t="shared" si="67"/>
        <v>100076</v>
      </c>
      <c r="G234" s="52">
        <f t="shared" si="68"/>
        <v>48813</v>
      </c>
      <c r="H234" s="52">
        <f t="shared" si="69"/>
        <v>51263</v>
      </c>
      <c r="I234" s="697">
        <f t="shared" si="73"/>
        <v>42058</v>
      </c>
      <c r="J234" s="53">
        <f t="shared" si="74"/>
        <v>44643</v>
      </c>
      <c r="K234" s="50">
        <f t="shared" si="70"/>
        <v>10661</v>
      </c>
      <c r="L234" s="51">
        <f t="shared" si="7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
      <c r="A235" s="31" t="s">
        <v>92</v>
      </c>
      <c r="B235" s="1" t="s">
        <v>315</v>
      </c>
      <c r="C235" s="30" t="str">
        <f t="shared" si="72"/>
        <v>LA England - Broxbourne</v>
      </c>
      <c r="D235" s="51">
        <f t="shared" si="65"/>
        <v>40438</v>
      </c>
      <c r="E235" s="51">
        <f t="shared" si="66"/>
        <v>43872</v>
      </c>
      <c r="F235" s="52">
        <f t="shared" si="67"/>
        <v>99103</v>
      </c>
      <c r="G235" s="52">
        <f t="shared" si="68"/>
        <v>47849</v>
      </c>
      <c r="H235" s="52">
        <f t="shared" si="69"/>
        <v>51254</v>
      </c>
      <c r="I235" s="697">
        <f t="shared" si="73"/>
        <v>40438</v>
      </c>
      <c r="J235" s="53">
        <f t="shared" si="74"/>
        <v>43872</v>
      </c>
      <c r="K235" s="50">
        <f t="shared" si="70"/>
        <v>11259</v>
      </c>
      <c r="L235" s="51">
        <f t="shared" si="7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
      <c r="A236" s="31" t="s">
        <v>92</v>
      </c>
      <c r="B236" s="1" t="s">
        <v>316</v>
      </c>
      <c r="C236" s="30" t="str">
        <f t="shared" si="72"/>
        <v>LA England - Broxtowe</v>
      </c>
      <c r="D236" s="51">
        <f t="shared" si="65"/>
        <v>48035</v>
      </c>
      <c r="E236" s="51">
        <f t="shared" si="66"/>
        <v>50317</v>
      </c>
      <c r="F236" s="52">
        <f t="shared" si="67"/>
        <v>112113</v>
      </c>
      <c r="G236" s="52">
        <f t="shared" si="68"/>
        <v>55101</v>
      </c>
      <c r="H236" s="52">
        <f t="shared" si="69"/>
        <v>57012</v>
      </c>
      <c r="I236" s="697">
        <f t="shared" si="73"/>
        <v>48035</v>
      </c>
      <c r="J236" s="53">
        <f t="shared" si="74"/>
        <v>50317</v>
      </c>
      <c r="K236" s="50">
        <f t="shared" si="70"/>
        <v>10705</v>
      </c>
      <c r="L236" s="51">
        <f t="shared" si="7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
      <c r="A237" s="31" t="s">
        <v>92</v>
      </c>
      <c r="B237" s="1" t="s">
        <v>317</v>
      </c>
      <c r="C237" s="30" t="str">
        <f t="shared" si="72"/>
        <v>LA England - Buckinghamshire</v>
      </c>
      <c r="D237" s="51">
        <f t="shared" si="65"/>
        <v>232166</v>
      </c>
      <c r="E237" s="51">
        <f t="shared" si="66"/>
        <v>246208</v>
      </c>
      <c r="F237" s="52">
        <f t="shared" si="67"/>
        <v>560409</v>
      </c>
      <c r="G237" s="52">
        <f t="shared" si="68"/>
        <v>274097</v>
      </c>
      <c r="H237" s="52">
        <f t="shared" si="69"/>
        <v>286312</v>
      </c>
      <c r="I237" s="697">
        <f t="shared" si="73"/>
        <v>232166</v>
      </c>
      <c r="J237" s="53">
        <f t="shared" si="74"/>
        <v>246208</v>
      </c>
      <c r="K237" s="50">
        <f t="shared" si="70"/>
        <v>64305</v>
      </c>
      <c r="L237" s="51">
        <f t="shared" si="7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
      <c r="A238" s="31" t="s">
        <v>92</v>
      </c>
      <c r="B238" s="1" t="s">
        <v>318</v>
      </c>
      <c r="C238" s="30" t="str">
        <f t="shared" si="72"/>
        <v>LA England - Burnley</v>
      </c>
      <c r="D238" s="51">
        <f t="shared" si="65"/>
        <v>39867</v>
      </c>
      <c r="E238" s="51">
        <f t="shared" si="66"/>
        <v>41310</v>
      </c>
      <c r="F238" s="52">
        <f t="shared" si="67"/>
        <v>95553</v>
      </c>
      <c r="G238" s="52">
        <f t="shared" si="68"/>
        <v>47238</v>
      </c>
      <c r="H238" s="52">
        <f t="shared" si="69"/>
        <v>48315</v>
      </c>
      <c r="I238" s="697">
        <f t="shared" si="73"/>
        <v>39867</v>
      </c>
      <c r="J238" s="53">
        <f t="shared" si="74"/>
        <v>41310</v>
      </c>
      <c r="K238" s="50">
        <f t="shared" si="70"/>
        <v>11260</v>
      </c>
      <c r="L238" s="51">
        <f t="shared" si="7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
      <c r="A239" s="31" t="s">
        <v>92</v>
      </c>
      <c r="B239" s="1" t="s">
        <v>319</v>
      </c>
      <c r="C239" s="30" t="str">
        <f t="shared" si="72"/>
        <v>LA England - Bury</v>
      </c>
      <c r="D239" s="51">
        <f t="shared" si="65"/>
        <v>81000</v>
      </c>
      <c r="E239" s="51">
        <f t="shared" si="66"/>
        <v>85029</v>
      </c>
      <c r="F239" s="52">
        <f t="shared" si="67"/>
        <v>194606</v>
      </c>
      <c r="G239" s="52">
        <f t="shared" si="68"/>
        <v>95665</v>
      </c>
      <c r="H239" s="52">
        <f t="shared" si="69"/>
        <v>98941</v>
      </c>
      <c r="I239" s="697">
        <f t="shared" si="73"/>
        <v>81000</v>
      </c>
      <c r="J239" s="53">
        <f t="shared" si="74"/>
        <v>85029</v>
      </c>
      <c r="K239" s="50">
        <f t="shared" si="70"/>
        <v>22616</v>
      </c>
      <c r="L239" s="51">
        <f t="shared" si="7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
      <c r="A240" s="31" t="s">
        <v>92</v>
      </c>
      <c r="B240" s="1" t="s">
        <v>320</v>
      </c>
      <c r="C240" s="30" t="str">
        <f t="shared" si="72"/>
        <v>LA England - Calderdale</v>
      </c>
      <c r="D240" s="51">
        <f t="shared" si="65"/>
        <v>86580</v>
      </c>
      <c r="E240" s="51">
        <f t="shared" si="66"/>
        <v>91980</v>
      </c>
      <c r="F240" s="52">
        <f t="shared" si="67"/>
        <v>207699</v>
      </c>
      <c r="G240" s="52">
        <f t="shared" si="68"/>
        <v>101550</v>
      </c>
      <c r="H240" s="52">
        <f t="shared" si="69"/>
        <v>106149</v>
      </c>
      <c r="I240" s="697">
        <f t="shared" si="73"/>
        <v>86580</v>
      </c>
      <c r="J240" s="53">
        <f t="shared" si="74"/>
        <v>91980</v>
      </c>
      <c r="K240" s="50">
        <f t="shared" si="70"/>
        <v>23092</v>
      </c>
      <c r="L240" s="51">
        <f t="shared" si="7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
      <c r="A241" s="31" t="s">
        <v>92</v>
      </c>
      <c r="B241" s="1" t="s">
        <v>321</v>
      </c>
      <c r="C241" s="30" t="str">
        <f t="shared" si="72"/>
        <v>LA England - Cambridge</v>
      </c>
      <c r="D241" s="51">
        <f t="shared" si="65"/>
        <v>65613</v>
      </c>
      <c r="E241" s="51">
        <f t="shared" si="66"/>
        <v>65614</v>
      </c>
      <c r="F241" s="52">
        <f t="shared" si="67"/>
        <v>146995</v>
      </c>
      <c r="G241" s="52">
        <f t="shared" si="68"/>
        <v>73731</v>
      </c>
      <c r="H241" s="52">
        <f t="shared" si="69"/>
        <v>73264</v>
      </c>
      <c r="I241" s="697">
        <f t="shared" si="73"/>
        <v>65613</v>
      </c>
      <c r="J241" s="53">
        <f t="shared" si="74"/>
        <v>65614</v>
      </c>
      <c r="K241" s="50">
        <f t="shared" si="70"/>
        <v>12137</v>
      </c>
      <c r="L241" s="51">
        <f t="shared" si="7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
      <c r="A242" s="31" t="s">
        <v>92</v>
      </c>
      <c r="B242" s="1" t="s">
        <v>322</v>
      </c>
      <c r="C242" s="30" t="str">
        <f t="shared" si="72"/>
        <v>LA England - Camden</v>
      </c>
      <c r="D242" s="51">
        <f t="shared" si="65"/>
        <v>90183</v>
      </c>
      <c r="E242" s="51">
        <f t="shared" si="66"/>
        <v>104095</v>
      </c>
      <c r="F242" s="52">
        <f t="shared" si="67"/>
        <v>218049</v>
      </c>
      <c r="G242" s="52">
        <f t="shared" si="68"/>
        <v>102201</v>
      </c>
      <c r="H242" s="52">
        <f t="shared" si="69"/>
        <v>115848</v>
      </c>
      <c r="I242" s="697">
        <f t="shared" si="73"/>
        <v>90183</v>
      </c>
      <c r="J242" s="53">
        <f t="shared" si="74"/>
        <v>104095</v>
      </c>
      <c r="K242" s="50">
        <f t="shared" si="70"/>
        <v>18283</v>
      </c>
      <c r="L242" s="51">
        <f t="shared" si="7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
      <c r="A243" s="31" t="s">
        <v>92</v>
      </c>
      <c r="B243" s="1" t="s">
        <v>323</v>
      </c>
      <c r="C243" s="30" t="str">
        <f t="shared" si="72"/>
        <v>LA England - Cannock Chase</v>
      </c>
      <c r="D243" s="51">
        <f t="shared" si="65"/>
        <v>42847</v>
      </c>
      <c r="E243" s="51">
        <f t="shared" si="66"/>
        <v>44722</v>
      </c>
      <c r="F243" s="52">
        <f t="shared" si="67"/>
        <v>101140</v>
      </c>
      <c r="G243" s="52">
        <f t="shared" si="68"/>
        <v>49797</v>
      </c>
      <c r="H243" s="52">
        <f t="shared" si="69"/>
        <v>51343</v>
      </c>
      <c r="I243" s="697">
        <f t="shared" si="73"/>
        <v>42847</v>
      </c>
      <c r="J243" s="53">
        <f t="shared" si="74"/>
        <v>44722</v>
      </c>
      <c r="K243" s="50">
        <f t="shared" si="70"/>
        <v>10362</v>
      </c>
      <c r="L243" s="51">
        <f t="shared" si="7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
      <c r="A244" s="31" t="s">
        <v>92</v>
      </c>
      <c r="B244" s="1" t="s">
        <v>324</v>
      </c>
      <c r="C244" s="30" t="str">
        <f t="shared" si="72"/>
        <v>LA England - Canterbury</v>
      </c>
      <c r="D244" s="51">
        <f t="shared" si="65"/>
        <v>66559</v>
      </c>
      <c r="E244" s="51">
        <f t="shared" si="66"/>
        <v>72937</v>
      </c>
      <c r="F244" s="52">
        <f t="shared" si="67"/>
        <v>157550</v>
      </c>
      <c r="G244" s="52">
        <f t="shared" si="68"/>
        <v>75880</v>
      </c>
      <c r="H244" s="52">
        <f t="shared" si="69"/>
        <v>81670</v>
      </c>
      <c r="I244" s="697">
        <f t="shared" si="73"/>
        <v>66559</v>
      </c>
      <c r="J244" s="53">
        <f t="shared" si="74"/>
        <v>72937</v>
      </c>
      <c r="K244" s="50">
        <f t="shared" si="70"/>
        <v>14830</v>
      </c>
      <c r="L244" s="51">
        <f t="shared" si="7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
      <c r="A245" s="31" t="s">
        <v>92</v>
      </c>
      <c r="B245" s="1" t="s">
        <v>325</v>
      </c>
      <c r="C245" s="30" t="str">
        <f t="shared" si="72"/>
        <v>LA England - Castle Point</v>
      </c>
      <c r="D245" s="51">
        <f t="shared" si="65"/>
        <v>37709</v>
      </c>
      <c r="E245" s="51">
        <f t="shared" si="66"/>
        <v>40833</v>
      </c>
      <c r="F245" s="52">
        <f t="shared" si="67"/>
        <v>89731</v>
      </c>
      <c r="G245" s="52">
        <f t="shared" si="68"/>
        <v>43479</v>
      </c>
      <c r="H245" s="52">
        <f t="shared" si="69"/>
        <v>46252</v>
      </c>
      <c r="I245" s="697">
        <f t="shared" si="73"/>
        <v>37709</v>
      </c>
      <c r="J245" s="53">
        <f t="shared" si="74"/>
        <v>40833</v>
      </c>
      <c r="K245" s="50">
        <f t="shared" si="70"/>
        <v>8809</v>
      </c>
      <c r="L245" s="51">
        <f t="shared" si="7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
      <c r="A246" s="31" t="s">
        <v>92</v>
      </c>
      <c r="B246" s="1" t="s">
        <v>326</v>
      </c>
      <c r="C246" s="30" t="str">
        <f t="shared" si="72"/>
        <v>LA England - Central Bedfordshire</v>
      </c>
      <c r="D246" s="51">
        <f t="shared" si="65"/>
        <v>125435</v>
      </c>
      <c r="E246" s="51">
        <f t="shared" si="66"/>
        <v>131155</v>
      </c>
      <c r="F246" s="52">
        <f t="shared" si="67"/>
        <v>301501</v>
      </c>
      <c r="G246" s="52">
        <f t="shared" si="68"/>
        <v>148473</v>
      </c>
      <c r="H246" s="52">
        <f t="shared" si="69"/>
        <v>153028</v>
      </c>
      <c r="I246" s="697">
        <f t="shared" si="73"/>
        <v>125435</v>
      </c>
      <c r="J246" s="53">
        <f t="shared" si="74"/>
        <v>131155</v>
      </c>
      <c r="K246" s="50">
        <f t="shared" si="70"/>
        <v>33739</v>
      </c>
      <c r="L246" s="51">
        <f t="shared" si="7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
      <c r="A247" s="31" t="s">
        <v>92</v>
      </c>
      <c r="B247" s="1" t="s">
        <v>327</v>
      </c>
      <c r="C247" s="30" t="str">
        <f t="shared" si="72"/>
        <v>LA England - Charnwood</v>
      </c>
      <c r="D247" s="51">
        <f t="shared" si="65"/>
        <v>80816</v>
      </c>
      <c r="E247" s="51">
        <f t="shared" si="66"/>
        <v>80852</v>
      </c>
      <c r="F247" s="52">
        <f t="shared" si="67"/>
        <v>184748</v>
      </c>
      <c r="G247" s="52">
        <f t="shared" si="68"/>
        <v>92694</v>
      </c>
      <c r="H247" s="52">
        <f t="shared" si="69"/>
        <v>92054</v>
      </c>
      <c r="I247" s="697">
        <f t="shared" si="73"/>
        <v>80816</v>
      </c>
      <c r="J247" s="53">
        <f t="shared" si="74"/>
        <v>80852</v>
      </c>
      <c r="K247" s="50">
        <f t="shared" si="70"/>
        <v>18008</v>
      </c>
      <c r="L247" s="51">
        <f t="shared" si="7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
      <c r="A248" s="31" t="s">
        <v>92</v>
      </c>
      <c r="B248" s="1" t="s">
        <v>328</v>
      </c>
      <c r="C248" s="30" t="str">
        <f t="shared" si="72"/>
        <v>LA England - Chelmsford</v>
      </c>
      <c r="D248" s="51">
        <f t="shared" si="65"/>
        <v>76660</v>
      </c>
      <c r="E248" s="51">
        <f t="shared" si="66"/>
        <v>81133</v>
      </c>
      <c r="F248" s="52">
        <f t="shared" si="67"/>
        <v>183326</v>
      </c>
      <c r="G248" s="52">
        <f t="shared" si="68"/>
        <v>89765</v>
      </c>
      <c r="H248" s="52">
        <f t="shared" si="69"/>
        <v>93561</v>
      </c>
      <c r="I248" s="697">
        <f t="shared" si="73"/>
        <v>76660</v>
      </c>
      <c r="J248" s="53">
        <f t="shared" si="74"/>
        <v>81133</v>
      </c>
      <c r="K248" s="50">
        <f t="shared" si="70"/>
        <v>19889</v>
      </c>
      <c r="L248" s="51">
        <f t="shared" si="7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
      <c r="A249" s="31" t="s">
        <v>92</v>
      </c>
      <c r="B249" s="1" t="s">
        <v>329</v>
      </c>
      <c r="C249" s="30" t="str">
        <f t="shared" si="72"/>
        <v>LA England - Cheltenham</v>
      </c>
      <c r="D249" s="51">
        <f t="shared" si="65"/>
        <v>50841</v>
      </c>
      <c r="E249" s="51">
        <f t="shared" si="66"/>
        <v>53635</v>
      </c>
      <c r="F249" s="52">
        <f t="shared" si="67"/>
        <v>119434</v>
      </c>
      <c r="G249" s="52">
        <f t="shared" si="68"/>
        <v>58454</v>
      </c>
      <c r="H249" s="52">
        <f t="shared" si="69"/>
        <v>60980</v>
      </c>
      <c r="I249" s="697">
        <f t="shared" si="73"/>
        <v>50841</v>
      </c>
      <c r="J249" s="53">
        <f t="shared" si="74"/>
        <v>53635</v>
      </c>
      <c r="K249" s="50">
        <f t="shared" si="70"/>
        <v>11648</v>
      </c>
      <c r="L249" s="51">
        <f t="shared" si="7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
      <c r="A250" s="31" t="s">
        <v>92</v>
      </c>
      <c r="B250" s="1" t="s">
        <v>330</v>
      </c>
      <c r="C250" s="30" t="str">
        <f t="shared" si="72"/>
        <v>LA England - Cherwell</v>
      </c>
      <c r="D250" s="51">
        <f t="shared" si="65"/>
        <v>69389</v>
      </c>
      <c r="E250" s="51">
        <f t="shared" si="66"/>
        <v>71501</v>
      </c>
      <c r="F250" s="52">
        <f t="shared" si="67"/>
        <v>164155</v>
      </c>
      <c r="G250" s="52">
        <f t="shared" si="68"/>
        <v>81428</v>
      </c>
      <c r="H250" s="52">
        <f t="shared" si="69"/>
        <v>82727</v>
      </c>
      <c r="I250" s="697">
        <f t="shared" si="73"/>
        <v>69389</v>
      </c>
      <c r="J250" s="53">
        <f t="shared" si="74"/>
        <v>71501</v>
      </c>
      <c r="K250" s="50">
        <f t="shared" si="70"/>
        <v>18050</v>
      </c>
      <c r="L250" s="51">
        <f t="shared" si="7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
      <c r="A251" s="31" t="s">
        <v>92</v>
      </c>
      <c r="B251" s="1" t="s">
        <v>331</v>
      </c>
      <c r="C251" s="30" t="str">
        <f t="shared" si="72"/>
        <v>LA England - Cheshire East</v>
      </c>
      <c r="D251" s="51">
        <f t="shared" si="65"/>
        <v>172241</v>
      </c>
      <c r="E251" s="51">
        <f t="shared" si="66"/>
        <v>181796</v>
      </c>
      <c r="F251" s="52">
        <f t="shared" si="67"/>
        <v>406527</v>
      </c>
      <c r="G251" s="52">
        <f t="shared" si="68"/>
        <v>199222</v>
      </c>
      <c r="H251" s="52">
        <f t="shared" si="69"/>
        <v>207305</v>
      </c>
      <c r="I251" s="697">
        <f t="shared" si="73"/>
        <v>172241</v>
      </c>
      <c r="J251" s="53">
        <f t="shared" si="74"/>
        <v>181796</v>
      </c>
      <c r="K251" s="50">
        <f t="shared" si="70"/>
        <v>41323</v>
      </c>
      <c r="L251" s="51">
        <f t="shared" si="7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
      <c r="A252" s="31" t="s">
        <v>92</v>
      </c>
      <c r="B252" s="1" t="s">
        <v>332</v>
      </c>
      <c r="C252" s="30" t="str">
        <f t="shared" si="72"/>
        <v>LA England - Cheshire West and Chester</v>
      </c>
      <c r="D252" s="51">
        <f t="shared" si="65"/>
        <v>153300</v>
      </c>
      <c r="E252" s="51">
        <f t="shared" si="66"/>
        <v>162388</v>
      </c>
      <c r="F252" s="52">
        <f t="shared" si="67"/>
        <v>361694</v>
      </c>
      <c r="G252" s="52">
        <f t="shared" si="68"/>
        <v>176807</v>
      </c>
      <c r="H252" s="52">
        <f t="shared" si="69"/>
        <v>184887</v>
      </c>
      <c r="I252" s="697">
        <f t="shared" si="73"/>
        <v>153300</v>
      </c>
      <c r="J252" s="53">
        <f t="shared" si="74"/>
        <v>162388</v>
      </c>
      <c r="K252" s="50">
        <f t="shared" si="70"/>
        <v>36124</v>
      </c>
      <c r="L252" s="51">
        <f t="shared" si="7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
      <c r="A253" s="31" t="s">
        <v>92</v>
      </c>
      <c r="B253" s="1" t="s">
        <v>333</v>
      </c>
      <c r="C253" s="30" t="str">
        <f t="shared" si="72"/>
        <v>LA England - Chesterfield</v>
      </c>
      <c r="D253" s="51">
        <f t="shared" si="65"/>
        <v>44606</v>
      </c>
      <c r="E253" s="51">
        <f t="shared" si="66"/>
        <v>46603</v>
      </c>
      <c r="F253" s="52">
        <f t="shared" si="67"/>
        <v>104110</v>
      </c>
      <c r="G253" s="52">
        <f t="shared" si="68"/>
        <v>51153</v>
      </c>
      <c r="H253" s="52">
        <f t="shared" si="69"/>
        <v>52957</v>
      </c>
      <c r="I253" s="697">
        <f t="shared" si="73"/>
        <v>44606</v>
      </c>
      <c r="J253" s="53">
        <f t="shared" si="74"/>
        <v>46603</v>
      </c>
      <c r="K253" s="50">
        <f t="shared" si="70"/>
        <v>10005</v>
      </c>
      <c r="L253" s="51">
        <f t="shared" si="7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
      <c r="A254" s="31" t="s">
        <v>92</v>
      </c>
      <c r="B254" s="1" t="s">
        <v>334</v>
      </c>
      <c r="C254" s="30" t="str">
        <f t="shared" si="72"/>
        <v>LA England - Chichester</v>
      </c>
      <c r="D254" s="51">
        <f t="shared" si="65"/>
        <v>53092</v>
      </c>
      <c r="E254" s="51">
        <f t="shared" si="66"/>
        <v>58715</v>
      </c>
      <c r="F254" s="52">
        <f t="shared" si="67"/>
        <v>126103</v>
      </c>
      <c r="G254" s="52">
        <f t="shared" si="68"/>
        <v>60354</v>
      </c>
      <c r="H254" s="52">
        <f t="shared" si="69"/>
        <v>65749</v>
      </c>
      <c r="I254" s="697">
        <f t="shared" si="73"/>
        <v>53092</v>
      </c>
      <c r="J254" s="53">
        <f t="shared" si="74"/>
        <v>58715</v>
      </c>
      <c r="K254" s="50">
        <f t="shared" si="70"/>
        <v>11215</v>
      </c>
      <c r="L254" s="51">
        <f t="shared" si="7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
      <c r="A255" s="31" t="s">
        <v>92</v>
      </c>
      <c r="B255" s="1" t="s">
        <v>335</v>
      </c>
      <c r="C255" s="30" t="str">
        <f t="shared" si="72"/>
        <v>LA England - Chorley</v>
      </c>
      <c r="D255" s="51">
        <f t="shared" si="65"/>
        <v>51086</v>
      </c>
      <c r="E255" s="51">
        <f t="shared" si="66"/>
        <v>51847</v>
      </c>
      <c r="F255" s="52">
        <f t="shared" si="67"/>
        <v>118624</v>
      </c>
      <c r="G255" s="52">
        <f t="shared" si="68"/>
        <v>59153</v>
      </c>
      <c r="H255" s="52">
        <f t="shared" si="69"/>
        <v>59471</v>
      </c>
      <c r="I255" s="697">
        <f t="shared" si="73"/>
        <v>51086</v>
      </c>
      <c r="J255" s="53">
        <f t="shared" si="74"/>
        <v>51847</v>
      </c>
      <c r="K255" s="50">
        <f t="shared" si="70"/>
        <v>12253</v>
      </c>
      <c r="L255" s="51">
        <f t="shared" si="7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
      <c r="A256" s="31" t="s">
        <v>92</v>
      </c>
      <c r="B256" s="1" t="s">
        <v>336</v>
      </c>
      <c r="C256" s="30" t="str">
        <f t="shared" si="72"/>
        <v>LA England - City of London</v>
      </c>
      <c r="D256" s="51">
        <f t="shared" si="65"/>
        <v>5849</v>
      </c>
      <c r="E256" s="51">
        <f t="shared" si="66"/>
        <v>4581</v>
      </c>
      <c r="F256" s="52">
        <f t="shared" si="67"/>
        <v>10847</v>
      </c>
      <c r="G256" s="52">
        <f t="shared" si="68"/>
        <v>6061</v>
      </c>
      <c r="H256" s="52">
        <f t="shared" si="69"/>
        <v>4786</v>
      </c>
      <c r="I256" s="697">
        <f t="shared" si="73"/>
        <v>5849</v>
      </c>
      <c r="J256" s="53">
        <f t="shared" si="74"/>
        <v>4581</v>
      </c>
      <c r="K256" s="50">
        <f t="shared" si="70"/>
        <v>307</v>
      </c>
      <c r="L256" s="51">
        <f t="shared" si="7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
      <c r="A257" s="31" t="s">
        <v>92</v>
      </c>
      <c r="B257" s="1" t="s">
        <v>337</v>
      </c>
      <c r="C257" s="30" t="str">
        <f t="shared" si="72"/>
        <v>LA England - Colchester</v>
      </c>
      <c r="D257" s="51">
        <f t="shared" si="65"/>
        <v>81115</v>
      </c>
      <c r="E257" s="51">
        <f t="shared" si="66"/>
        <v>85651</v>
      </c>
      <c r="F257" s="52">
        <f t="shared" si="67"/>
        <v>194394</v>
      </c>
      <c r="G257" s="52">
        <f t="shared" si="68"/>
        <v>95293</v>
      </c>
      <c r="H257" s="52">
        <f t="shared" si="69"/>
        <v>99101</v>
      </c>
      <c r="I257" s="697">
        <f t="shared" si="73"/>
        <v>81115</v>
      </c>
      <c r="J257" s="53">
        <f t="shared" si="74"/>
        <v>85651</v>
      </c>
      <c r="K257" s="50">
        <f t="shared" si="70"/>
        <v>21182</v>
      </c>
      <c r="L257" s="51">
        <f t="shared" si="7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
      <c r="A258" s="31" t="s">
        <v>92</v>
      </c>
      <c r="B258" s="1" t="s">
        <v>338</v>
      </c>
      <c r="C258" s="30" t="str">
        <f t="shared" si="72"/>
        <v>LA England - Cornwall</v>
      </c>
      <c r="D258" s="51">
        <f t="shared" si="65"/>
        <v>244291</v>
      </c>
      <c r="E258" s="51">
        <f t="shared" si="66"/>
        <v>262913</v>
      </c>
      <c r="F258" s="52">
        <f t="shared" si="67"/>
        <v>575413</v>
      </c>
      <c r="G258" s="52">
        <f t="shared" si="68"/>
        <v>279238</v>
      </c>
      <c r="H258" s="52">
        <f t="shared" si="69"/>
        <v>296175</v>
      </c>
      <c r="I258" s="697">
        <f t="shared" si="73"/>
        <v>244291</v>
      </c>
      <c r="J258" s="53">
        <f t="shared" si="74"/>
        <v>262913</v>
      </c>
      <c r="K258" s="50">
        <f t="shared" si="70"/>
        <v>54079</v>
      </c>
      <c r="L258" s="51">
        <f t="shared" si="7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
      <c r="A259" s="31" t="s">
        <v>92</v>
      </c>
      <c r="B259" s="1" t="s">
        <v>339</v>
      </c>
      <c r="C259" s="30" t="str">
        <f t="shared" si="72"/>
        <v>LA England - Cotswold</v>
      </c>
      <c r="D259" s="51">
        <f t="shared" si="65"/>
        <v>38568</v>
      </c>
      <c r="E259" s="51">
        <f t="shared" si="66"/>
        <v>42147</v>
      </c>
      <c r="F259" s="52">
        <f t="shared" si="67"/>
        <v>91311</v>
      </c>
      <c r="G259" s="52">
        <f t="shared" si="68"/>
        <v>43939</v>
      </c>
      <c r="H259" s="52">
        <f t="shared" si="69"/>
        <v>47372</v>
      </c>
      <c r="I259" s="697">
        <f t="shared" si="73"/>
        <v>38568</v>
      </c>
      <c r="J259" s="53">
        <f t="shared" si="74"/>
        <v>42147</v>
      </c>
      <c r="K259" s="50">
        <f t="shared" si="70"/>
        <v>8301</v>
      </c>
      <c r="L259" s="51">
        <f t="shared" si="7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
      <c r="A260" s="31" t="s">
        <v>92</v>
      </c>
      <c r="B260" s="1" t="s">
        <v>340</v>
      </c>
      <c r="C260" s="30" t="str">
        <f t="shared" si="72"/>
        <v>LA England - County Durham</v>
      </c>
      <c r="D260" s="51">
        <f t="shared" si="65"/>
        <v>224558</v>
      </c>
      <c r="E260" s="51">
        <f t="shared" si="66"/>
        <v>239164</v>
      </c>
      <c r="F260" s="52">
        <f t="shared" si="67"/>
        <v>528127</v>
      </c>
      <c r="G260" s="52">
        <f t="shared" si="68"/>
        <v>257850</v>
      </c>
      <c r="H260" s="52">
        <f t="shared" si="69"/>
        <v>270277</v>
      </c>
      <c r="I260" s="697">
        <f t="shared" si="73"/>
        <v>224558</v>
      </c>
      <c r="J260" s="53">
        <f t="shared" si="74"/>
        <v>239164</v>
      </c>
      <c r="K260" s="50">
        <f t="shared" si="70"/>
        <v>51201</v>
      </c>
      <c r="L260" s="51">
        <f t="shared" si="7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
      <c r="A261" s="31" t="s">
        <v>92</v>
      </c>
      <c r="B261" s="1" t="s">
        <v>341</v>
      </c>
      <c r="C261" s="30" t="str">
        <f t="shared" si="72"/>
        <v>LA England - Coventry</v>
      </c>
      <c r="D261" s="51">
        <f t="shared" si="65"/>
        <v>151527</v>
      </c>
      <c r="E261" s="51">
        <f t="shared" si="66"/>
        <v>151240</v>
      </c>
      <c r="F261" s="52">
        <f t="shared" si="67"/>
        <v>355600</v>
      </c>
      <c r="G261" s="52">
        <f t="shared" si="68"/>
        <v>178537</v>
      </c>
      <c r="H261" s="52">
        <f t="shared" si="69"/>
        <v>177063</v>
      </c>
      <c r="I261" s="697">
        <f t="shared" si="73"/>
        <v>151527</v>
      </c>
      <c r="J261" s="53">
        <f t="shared" si="74"/>
        <v>151240</v>
      </c>
      <c r="K261" s="50">
        <f t="shared" si="70"/>
        <v>40466</v>
      </c>
      <c r="L261" s="51">
        <f t="shared" si="7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
      <c r="A262" s="31" t="s">
        <v>92</v>
      </c>
      <c r="B262" s="1" t="s">
        <v>342</v>
      </c>
      <c r="C262" s="30" t="str">
        <f t="shared" si="72"/>
        <v>LA England - Crawley</v>
      </c>
      <c r="D262" s="51">
        <f t="shared" si="65"/>
        <v>49616</v>
      </c>
      <c r="E262" s="51">
        <f t="shared" si="66"/>
        <v>50633</v>
      </c>
      <c r="F262" s="52">
        <f t="shared" si="67"/>
        <v>119509</v>
      </c>
      <c r="G262" s="52">
        <f t="shared" si="68"/>
        <v>59616</v>
      </c>
      <c r="H262" s="52">
        <f t="shared" si="69"/>
        <v>59893</v>
      </c>
      <c r="I262" s="697">
        <f t="shared" si="73"/>
        <v>49616</v>
      </c>
      <c r="J262" s="53">
        <f t="shared" si="74"/>
        <v>50633</v>
      </c>
      <c r="K262" s="50">
        <f t="shared" si="70"/>
        <v>14707</v>
      </c>
      <c r="L262" s="51">
        <f t="shared" si="7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
      <c r="A263" s="31" t="s">
        <v>92</v>
      </c>
      <c r="B263" s="1" t="s">
        <v>343</v>
      </c>
      <c r="C263" s="30" t="str">
        <f t="shared" si="72"/>
        <v>LA England - Croydon</v>
      </c>
      <c r="D263" s="51">
        <f t="shared" si="65"/>
        <v>158419</v>
      </c>
      <c r="E263" s="51">
        <f t="shared" si="66"/>
        <v>173986</v>
      </c>
      <c r="F263" s="52">
        <f t="shared" si="67"/>
        <v>392224</v>
      </c>
      <c r="G263" s="52">
        <f t="shared" si="68"/>
        <v>188728</v>
      </c>
      <c r="H263" s="52">
        <f t="shared" si="69"/>
        <v>203496</v>
      </c>
      <c r="I263" s="697">
        <f t="shared" si="73"/>
        <v>158419</v>
      </c>
      <c r="J263" s="53">
        <f t="shared" si="74"/>
        <v>173986</v>
      </c>
      <c r="K263" s="50">
        <f t="shared" si="70"/>
        <v>46025</v>
      </c>
      <c r="L263" s="51">
        <f t="shared" si="7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
      <c r="A264" s="31" t="s">
        <v>92</v>
      </c>
      <c r="B264" s="1" t="s">
        <v>344</v>
      </c>
      <c r="C264" s="30" t="str">
        <f t="shared" si="72"/>
        <v>LA England - Cumberland</v>
      </c>
      <c r="D264" s="51">
        <f t="shared" si="65"/>
        <v>118378</v>
      </c>
      <c r="E264" s="51">
        <f t="shared" si="66"/>
        <v>123511</v>
      </c>
      <c r="F264" s="52">
        <f t="shared" si="67"/>
        <v>275390</v>
      </c>
      <c r="G264" s="52">
        <f t="shared" si="68"/>
        <v>135396</v>
      </c>
      <c r="H264" s="52">
        <f t="shared" si="69"/>
        <v>139994</v>
      </c>
      <c r="I264" s="697">
        <f t="shared" si="73"/>
        <v>118378</v>
      </c>
      <c r="J264" s="53">
        <f t="shared" si="74"/>
        <v>123511</v>
      </c>
      <c r="K264" s="50">
        <f t="shared" si="70"/>
        <v>26311</v>
      </c>
      <c r="L264" s="51">
        <f t="shared" si="7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
      <c r="A265" s="31" t="s">
        <v>92</v>
      </c>
      <c r="B265" s="1" t="s">
        <v>345</v>
      </c>
      <c r="C265" s="30" t="str">
        <f t="shared" si="72"/>
        <v>LA England - Dacorum</v>
      </c>
      <c r="D265" s="51">
        <f t="shared" si="65"/>
        <v>64598</v>
      </c>
      <c r="E265" s="51">
        <f t="shared" si="66"/>
        <v>67953</v>
      </c>
      <c r="F265" s="52">
        <f t="shared" si="67"/>
        <v>156123</v>
      </c>
      <c r="G265" s="52">
        <f t="shared" si="68"/>
        <v>76670</v>
      </c>
      <c r="H265" s="52">
        <f t="shared" si="69"/>
        <v>79453</v>
      </c>
      <c r="I265" s="697">
        <f t="shared" si="73"/>
        <v>64598</v>
      </c>
      <c r="J265" s="53">
        <f t="shared" si="74"/>
        <v>67953</v>
      </c>
      <c r="K265" s="50">
        <f t="shared" si="70"/>
        <v>18077</v>
      </c>
      <c r="L265" s="51">
        <f t="shared" si="7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
      <c r="A266" s="31" t="s">
        <v>92</v>
      </c>
      <c r="B266" s="1" t="s">
        <v>346</v>
      </c>
      <c r="C266" s="30" t="str">
        <f t="shared" si="72"/>
        <v>LA England - Darlington</v>
      </c>
      <c r="D266" s="51">
        <f t="shared" ref="D266:D329" si="75">I266</f>
        <v>46238</v>
      </c>
      <c r="E266" s="51">
        <f t="shared" ref="E266:E329" si="76">J266</f>
        <v>48777</v>
      </c>
      <c r="F266" s="52">
        <f t="shared" ref="F266:F329" si="77">G266+H266</f>
        <v>109469</v>
      </c>
      <c r="G266" s="52">
        <f t="shared" ref="G266:G329" si="78">SUM(M266:CY266)</f>
        <v>53627</v>
      </c>
      <c r="H266" s="52">
        <f t="shared" ref="H266:H329" si="79">SUM(CZ266:GL266)</f>
        <v>55842</v>
      </c>
      <c r="I266" s="697">
        <f t="shared" si="73"/>
        <v>46238</v>
      </c>
      <c r="J266" s="53">
        <f t="shared" si="74"/>
        <v>48777</v>
      </c>
      <c r="K266" s="50">
        <f t="shared" ref="K266:K329" si="80">SUM(M266:AD266)</f>
        <v>11476</v>
      </c>
      <c r="L266" s="51">
        <f t="shared" ref="L266:L329" si="8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
      <c r="A267" s="31" t="s">
        <v>92</v>
      </c>
      <c r="B267" s="1" t="s">
        <v>347</v>
      </c>
      <c r="C267" s="30" t="str">
        <f t="shared" si="72"/>
        <v>LA England - Dartford</v>
      </c>
      <c r="D267" s="51">
        <f t="shared" si="75"/>
        <v>47504</v>
      </c>
      <c r="E267" s="51">
        <f t="shared" si="76"/>
        <v>50888</v>
      </c>
      <c r="F267" s="52">
        <f t="shared" si="77"/>
        <v>118820</v>
      </c>
      <c r="G267" s="52">
        <f t="shared" si="78"/>
        <v>58067</v>
      </c>
      <c r="H267" s="52">
        <f t="shared" si="79"/>
        <v>60753</v>
      </c>
      <c r="I267" s="697">
        <f t="shared" si="73"/>
        <v>47504</v>
      </c>
      <c r="J267" s="53">
        <f t="shared" si="74"/>
        <v>50888</v>
      </c>
      <c r="K267" s="50">
        <f t="shared" si="80"/>
        <v>15395</v>
      </c>
      <c r="L267" s="51">
        <f t="shared" si="8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
      <c r="A268" s="31" t="s">
        <v>92</v>
      </c>
      <c r="B268" s="1" t="s">
        <v>348</v>
      </c>
      <c r="C268" s="30" t="str">
        <f t="shared" ref="C268:C331" si="82">CONCATENATE(A268," - ",B268)</f>
        <v>LA England - Derby</v>
      </c>
      <c r="D268" s="51">
        <f t="shared" si="75"/>
        <v>110963</v>
      </c>
      <c r="E268" s="51">
        <f t="shared" si="76"/>
        <v>113329</v>
      </c>
      <c r="F268" s="52">
        <f t="shared" si="77"/>
        <v>263490</v>
      </c>
      <c r="G268" s="52">
        <f t="shared" si="78"/>
        <v>130912</v>
      </c>
      <c r="H268" s="52">
        <f t="shared" si="79"/>
        <v>132578</v>
      </c>
      <c r="I268" s="697">
        <f t="shared" si="73"/>
        <v>110963</v>
      </c>
      <c r="J268" s="53">
        <f t="shared" si="74"/>
        <v>113329</v>
      </c>
      <c r="K268" s="50">
        <f t="shared" si="80"/>
        <v>30389</v>
      </c>
      <c r="L268" s="51">
        <f t="shared" si="8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
      <c r="A269" s="31" t="s">
        <v>92</v>
      </c>
      <c r="B269" s="1" t="s">
        <v>349</v>
      </c>
      <c r="C269" s="30" t="str">
        <f t="shared" si="82"/>
        <v>LA England - Derbyshire Dales</v>
      </c>
      <c r="D269" s="51">
        <f t="shared" si="75"/>
        <v>31360</v>
      </c>
      <c r="E269" s="51">
        <f t="shared" si="76"/>
        <v>33047</v>
      </c>
      <c r="F269" s="52">
        <f t="shared" si="77"/>
        <v>71752</v>
      </c>
      <c r="G269" s="52">
        <f t="shared" si="78"/>
        <v>35013</v>
      </c>
      <c r="H269" s="52">
        <f t="shared" si="79"/>
        <v>36739</v>
      </c>
      <c r="I269" s="697">
        <f t="shared" si="73"/>
        <v>31360</v>
      </c>
      <c r="J269" s="53">
        <f t="shared" si="74"/>
        <v>33047</v>
      </c>
      <c r="K269" s="50">
        <f t="shared" si="80"/>
        <v>5983</v>
      </c>
      <c r="L269" s="51">
        <f t="shared" si="8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
      <c r="A270" s="31" t="s">
        <v>92</v>
      </c>
      <c r="B270" s="1" t="s">
        <v>350</v>
      </c>
      <c r="C270" s="30" t="str">
        <f t="shared" si="82"/>
        <v>LA England - Doncaster</v>
      </c>
      <c r="D270" s="51">
        <f t="shared" si="75"/>
        <v>132351</v>
      </c>
      <c r="E270" s="51">
        <f t="shared" si="76"/>
        <v>135648</v>
      </c>
      <c r="F270" s="52">
        <f t="shared" si="77"/>
        <v>311027</v>
      </c>
      <c r="G270" s="52">
        <f t="shared" si="78"/>
        <v>154552</v>
      </c>
      <c r="H270" s="52">
        <f t="shared" si="79"/>
        <v>156475</v>
      </c>
      <c r="I270" s="697">
        <f t="shared" si="73"/>
        <v>132351</v>
      </c>
      <c r="J270" s="53">
        <f t="shared" si="74"/>
        <v>135648</v>
      </c>
      <c r="K270" s="50">
        <f t="shared" si="80"/>
        <v>33440</v>
      </c>
      <c r="L270" s="51">
        <f t="shared" si="8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
      <c r="A271" s="31" t="s">
        <v>92</v>
      </c>
      <c r="B271" s="1" t="s">
        <v>351</v>
      </c>
      <c r="C271" s="30" t="str">
        <f t="shared" si="82"/>
        <v>LA England - Dorset</v>
      </c>
      <c r="D271" s="51">
        <f t="shared" si="75"/>
        <v>165197</v>
      </c>
      <c r="E271" s="51">
        <f t="shared" si="76"/>
        <v>177194</v>
      </c>
      <c r="F271" s="52">
        <f t="shared" si="77"/>
        <v>383274</v>
      </c>
      <c r="G271" s="52">
        <f t="shared" si="78"/>
        <v>186117</v>
      </c>
      <c r="H271" s="52">
        <f t="shared" si="79"/>
        <v>197157</v>
      </c>
      <c r="I271" s="697">
        <f t="shared" si="73"/>
        <v>165197</v>
      </c>
      <c r="J271" s="53">
        <f t="shared" si="74"/>
        <v>177194</v>
      </c>
      <c r="K271" s="50">
        <f t="shared" si="80"/>
        <v>33825</v>
      </c>
      <c r="L271" s="51">
        <f t="shared" si="8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
      <c r="A272" s="31" t="s">
        <v>92</v>
      </c>
      <c r="B272" s="1" t="s">
        <v>352</v>
      </c>
      <c r="C272" s="30" t="str">
        <f t="shared" si="82"/>
        <v>LA England - Dover</v>
      </c>
      <c r="D272" s="51">
        <f t="shared" si="75"/>
        <v>49595</v>
      </c>
      <c r="E272" s="51">
        <f t="shared" si="76"/>
        <v>52952</v>
      </c>
      <c r="F272" s="52">
        <f t="shared" si="77"/>
        <v>117473</v>
      </c>
      <c r="G272" s="52">
        <f t="shared" si="78"/>
        <v>57217</v>
      </c>
      <c r="H272" s="52">
        <f t="shared" si="79"/>
        <v>60256</v>
      </c>
      <c r="I272" s="697">
        <f t="shared" si="73"/>
        <v>49595</v>
      </c>
      <c r="J272" s="53">
        <f t="shared" si="74"/>
        <v>52952</v>
      </c>
      <c r="K272" s="50">
        <f t="shared" si="80"/>
        <v>11780</v>
      </c>
      <c r="L272" s="51">
        <f t="shared" si="8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
      <c r="A273" s="31" t="s">
        <v>92</v>
      </c>
      <c r="B273" s="1" t="s">
        <v>353</v>
      </c>
      <c r="C273" s="30" t="str">
        <f t="shared" si="82"/>
        <v>LA England - Dudley</v>
      </c>
      <c r="D273" s="51">
        <f t="shared" si="75"/>
        <v>136269</v>
      </c>
      <c r="E273" s="51">
        <f t="shared" si="76"/>
        <v>142690</v>
      </c>
      <c r="F273" s="52">
        <f t="shared" si="77"/>
        <v>324969</v>
      </c>
      <c r="G273" s="52">
        <f t="shared" si="78"/>
        <v>159772</v>
      </c>
      <c r="H273" s="52">
        <f t="shared" si="79"/>
        <v>165197</v>
      </c>
      <c r="I273" s="697">
        <f t="shared" si="73"/>
        <v>136269</v>
      </c>
      <c r="J273" s="53">
        <f t="shared" si="74"/>
        <v>142690</v>
      </c>
      <c r="K273" s="50">
        <f t="shared" si="80"/>
        <v>35310</v>
      </c>
      <c r="L273" s="51">
        <f t="shared" si="8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
      <c r="A274" s="31" t="s">
        <v>92</v>
      </c>
      <c r="B274" s="1" t="s">
        <v>354</v>
      </c>
      <c r="C274" s="30" t="str">
        <f t="shared" si="82"/>
        <v>LA England - Ealing</v>
      </c>
      <c r="D274" s="51">
        <f t="shared" si="75"/>
        <v>155789</v>
      </c>
      <c r="E274" s="51">
        <f t="shared" si="76"/>
        <v>161718</v>
      </c>
      <c r="F274" s="52">
        <f t="shared" si="77"/>
        <v>369937</v>
      </c>
      <c r="G274" s="52">
        <f t="shared" si="78"/>
        <v>182643</v>
      </c>
      <c r="H274" s="52">
        <f t="shared" si="79"/>
        <v>187294</v>
      </c>
      <c r="I274" s="697">
        <f t="shared" si="73"/>
        <v>155789</v>
      </c>
      <c r="J274" s="53">
        <f t="shared" si="74"/>
        <v>161718</v>
      </c>
      <c r="K274" s="50">
        <f t="shared" si="80"/>
        <v>41250</v>
      </c>
      <c r="L274" s="51">
        <f t="shared" si="8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
      <c r="A275" s="31" t="s">
        <v>92</v>
      </c>
      <c r="B275" s="1" t="s">
        <v>355</v>
      </c>
      <c r="C275" s="30" t="str">
        <f t="shared" si="82"/>
        <v>LA England - East Cambridgeshire</v>
      </c>
      <c r="D275" s="51">
        <f t="shared" si="75"/>
        <v>37724</v>
      </c>
      <c r="E275" s="51">
        <f t="shared" si="76"/>
        <v>39651</v>
      </c>
      <c r="F275" s="52">
        <f t="shared" si="77"/>
        <v>89394</v>
      </c>
      <c r="G275" s="52">
        <f t="shared" si="78"/>
        <v>43858</v>
      </c>
      <c r="H275" s="52">
        <f t="shared" si="79"/>
        <v>45536</v>
      </c>
      <c r="I275" s="697">
        <f t="shared" si="73"/>
        <v>37724</v>
      </c>
      <c r="J275" s="53">
        <f t="shared" si="74"/>
        <v>39651</v>
      </c>
      <c r="K275" s="50">
        <f t="shared" si="80"/>
        <v>9457</v>
      </c>
      <c r="L275" s="51">
        <f t="shared" si="8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
      <c r="A276" s="31" t="s">
        <v>92</v>
      </c>
      <c r="B276" s="1" t="s">
        <v>356</v>
      </c>
      <c r="C276" s="30" t="str">
        <f t="shared" si="82"/>
        <v>LA England - East Devon</v>
      </c>
      <c r="D276" s="51">
        <f t="shared" si="75"/>
        <v>65383</v>
      </c>
      <c r="E276" s="51">
        <f t="shared" si="76"/>
        <v>71343</v>
      </c>
      <c r="F276" s="52">
        <f t="shared" si="77"/>
        <v>154500</v>
      </c>
      <c r="G276" s="52">
        <f t="shared" si="78"/>
        <v>74554</v>
      </c>
      <c r="H276" s="52">
        <f t="shared" si="79"/>
        <v>79946</v>
      </c>
      <c r="I276" s="697">
        <f t="shared" si="73"/>
        <v>65383</v>
      </c>
      <c r="J276" s="53">
        <f t="shared" si="74"/>
        <v>71343</v>
      </c>
      <c r="K276" s="50">
        <f t="shared" si="80"/>
        <v>13985</v>
      </c>
      <c r="L276" s="51">
        <f t="shared" si="8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
      <c r="A277" s="31" t="s">
        <v>92</v>
      </c>
      <c r="B277" s="1" t="s">
        <v>357</v>
      </c>
      <c r="C277" s="30" t="str">
        <f t="shared" si="82"/>
        <v>LA England - East Hampshire</v>
      </c>
      <c r="D277" s="51">
        <f t="shared" si="75"/>
        <v>53638</v>
      </c>
      <c r="E277" s="51">
        <f t="shared" si="76"/>
        <v>57674</v>
      </c>
      <c r="F277" s="52">
        <f t="shared" si="77"/>
        <v>127319</v>
      </c>
      <c r="G277" s="52">
        <f t="shared" si="78"/>
        <v>61855</v>
      </c>
      <c r="H277" s="52">
        <f t="shared" si="79"/>
        <v>65464</v>
      </c>
      <c r="I277" s="697">
        <f t="shared" si="73"/>
        <v>53638</v>
      </c>
      <c r="J277" s="53">
        <f t="shared" si="74"/>
        <v>57674</v>
      </c>
      <c r="K277" s="50">
        <f t="shared" si="80"/>
        <v>12858</v>
      </c>
      <c r="L277" s="51">
        <f t="shared" si="8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
      <c r="A278" s="31" t="s">
        <v>92</v>
      </c>
      <c r="B278" s="1" t="s">
        <v>358</v>
      </c>
      <c r="C278" s="30" t="str">
        <f t="shared" si="82"/>
        <v>LA England - East Hertfordshire</v>
      </c>
      <c r="D278" s="51">
        <f t="shared" si="75"/>
        <v>63148</v>
      </c>
      <c r="E278" s="51">
        <f t="shared" si="76"/>
        <v>67293</v>
      </c>
      <c r="F278" s="52">
        <f t="shared" si="77"/>
        <v>151635</v>
      </c>
      <c r="G278" s="52">
        <f t="shared" si="78"/>
        <v>74063</v>
      </c>
      <c r="H278" s="52">
        <f t="shared" si="79"/>
        <v>77572</v>
      </c>
      <c r="I278" s="697">
        <f t="shared" si="73"/>
        <v>63148</v>
      </c>
      <c r="J278" s="53">
        <f t="shared" si="74"/>
        <v>67293</v>
      </c>
      <c r="K278" s="50">
        <f t="shared" si="80"/>
        <v>16921</v>
      </c>
      <c r="L278" s="51">
        <f t="shared" si="8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
      <c r="A279" s="31" t="s">
        <v>92</v>
      </c>
      <c r="B279" s="1" t="s">
        <v>359</v>
      </c>
      <c r="C279" s="30" t="str">
        <f t="shared" si="82"/>
        <v>LA England - East Lindsey</v>
      </c>
      <c r="D279" s="51">
        <f t="shared" si="75"/>
        <v>62970</v>
      </c>
      <c r="E279" s="51">
        <f t="shared" si="76"/>
        <v>66458</v>
      </c>
      <c r="F279" s="52">
        <f t="shared" si="77"/>
        <v>144415</v>
      </c>
      <c r="G279" s="52">
        <f t="shared" si="78"/>
        <v>70629</v>
      </c>
      <c r="H279" s="52">
        <f t="shared" si="79"/>
        <v>73786</v>
      </c>
      <c r="I279" s="697">
        <f t="shared" si="73"/>
        <v>62970</v>
      </c>
      <c r="J279" s="53">
        <f t="shared" si="74"/>
        <v>66458</v>
      </c>
      <c r="K279" s="50">
        <f t="shared" si="80"/>
        <v>12015</v>
      </c>
      <c r="L279" s="51">
        <f t="shared" si="8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
      <c r="A280" s="31" t="s">
        <v>92</v>
      </c>
      <c r="B280" s="1" t="s">
        <v>360</v>
      </c>
      <c r="C280" s="30" t="str">
        <f t="shared" si="82"/>
        <v>LA England - East Riding of Yorkshire</v>
      </c>
      <c r="D280" s="51">
        <f t="shared" si="75"/>
        <v>149043</v>
      </c>
      <c r="E280" s="51">
        <f t="shared" si="76"/>
        <v>157706</v>
      </c>
      <c r="F280" s="52">
        <f t="shared" si="77"/>
        <v>346309</v>
      </c>
      <c r="G280" s="52">
        <f t="shared" si="78"/>
        <v>169714</v>
      </c>
      <c r="H280" s="52">
        <f t="shared" si="79"/>
        <v>176595</v>
      </c>
      <c r="I280" s="697">
        <f t="shared" si="73"/>
        <v>149043</v>
      </c>
      <c r="J280" s="53">
        <f t="shared" si="74"/>
        <v>157706</v>
      </c>
      <c r="K280" s="50">
        <f t="shared" si="80"/>
        <v>32031</v>
      </c>
      <c r="L280" s="51">
        <f t="shared" si="8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
      <c r="A281" s="31" t="s">
        <v>92</v>
      </c>
      <c r="B281" s="1" t="s">
        <v>361</v>
      </c>
      <c r="C281" s="30" t="str">
        <f t="shared" si="82"/>
        <v>LA England - East Staffordshire</v>
      </c>
      <c r="D281" s="51">
        <f t="shared" si="75"/>
        <v>53683</v>
      </c>
      <c r="E281" s="51">
        <f t="shared" si="76"/>
        <v>54303</v>
      </c>
      <c r="F281" s="52">
        <f t="shared" si="77"/>
        <v>125760</v>
      </c>
      <c r="G281" s="52">
        <f t="shared" si="78"/>
        <v>62858</v>
      </c>
      <c r="H281" s="52">
        <f t="shared" si="79"/>
        <v>62902</v>
      </c>
      <c r="I281" s="697">
        <f t="shared" si="73"/>
        <v>53683</v>
      </c>
      <c r="J281" s="53">
        <f t="shared" si="74"/>
        <v>54303</v>
      </c>
      <c r="K281" s="50">
        <f t="shared" si="80"/>
        <v>13823</v>
      </c>
      <c r="L281" s="51">
        <f t="shared" si="8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
      <c r="A282" s="31" t="s">
        <v>92</v>
      </c>
      <c r="B282" s="1" t="s">
        <v>362</v>
      </c>
      <c r="C282" s="30" t="str">
        <f t="shared" si="82"/>
        <v>LA England - East Suffolk</v>
      </c>
      <c r="D282" s="51">
        <f t="shared" si="75"/>
        <v>106256</v>
      </c>
      <c r="E282" s="51">
        <f t="shared" si="76"/>
        <v>112749</v>
      </c>
      <c r="F282" s="52">
        <f t="shared" si="77"/>
        <v>247080</v>
      </c>
      <c r="G282" s="52">
        <f t="shared" si="78"/>
        <v>120575</v>
      </c>
      <c r="H282" s="52">
        <f t="shared" si="79"/>
        <v>126505</v>
      </c>
      <c r="I282" s="697">
        <f t="shared" si="73"/>
        <v>106256</v>
      </c>
      <c r="J282" s="53">
        <f t="shared" si="74"/>
        <v>112749</v>
      </c>
      <c r="K282" s="50">
        <f t="shared" si="80"/>
        <v>22626</v>
      </c>
      <c r="L282" s="51">
        <f t="shared" si="8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
      <c r="A283" s="31" t="s">
        <v>92</v>
      </c>
      <c r="B283" s="1" t="s">
        <v>363</v>
      </c>
      <c r="C283" s="30" t="str">
        <f t="shared" si="82"/>
        <v>LA England - Eastbourne</v>
      </c>
      <c r="D283" s="51">
        <f t="shared" si="75"/>
        <v>42625</v>
      </c>
      <c r="E283" s="51">
        <f t="shared" si="76"/>
        <v>47265</v>
      </c>
      <c r="F283" s="52">
        <f t="shared" si="77"/>
        <v>102247</v>
      </c>
      <c r="G283" s="52">
        <f t="shared" si="78"/>
        <v>48882</v>
      </c>
      <c r="H283" s="52">
        <f t="shared" si="79"/>
        <v>53365</v>
      </c>
      <c r="I283" s="697">
        <f t="shared" si="73"/>
        <v>42625</v>
      </c>
      <c r="J283" s="53">
        <f t="shared" si="74"/>
        <v>47265</v>
      </c>
      <c r="K283" s="50">
        <f t="shared" si="80"/>
        <v>10004</v>
      </c>
      <c r="L283" s="51">
        <f t="shared" si="8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
      <c r="A284" s="31" t="s">
        <v>92</v>
      </c>
      <c r="B284" s="1" t="s">
        <v>364</v>
      </c>
      <c r="C284" s="30" t="str">
        <f t="shared" si="82"/>
        <v>LA England - Eastleigh</v>
      </c>
      <c r="D284" s="51">
        <f t="shared" si="75"/>
        <v>57993</v>
      </c>
      <c r="E284" s="51">
        <f t="shared" si="76"/>
        <v>61292</v>
      </c>
      <c r="F284" s="52">
        <f t="shared" si="77"/>
        <v>138935</v>
      </c>
      <c r="G284" s="52">
        <f t="shared" si="78"/>
        <v>68002</v>
      </c>
      <c r="H284" s="52">
        <f t="shared" si="79"/>
        <v>70933</v>
      </c>
      <c r="I284" s="697">
        <f t="shared" si="73"/>
        <v>57993</v>
      </c>
      <c r="J284" s="53">
        <f t="shared" si="74"/>
        <v>61292</v>
      </c>
      <c r="K284" s="50">
        <f t="shared" si="80"/>
        <v>15146</v>
      </c>
      <c r="L284" s="51">
        <f t="shared" si="8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
      <c r="A285" s="31" t="s">
        <v>92</v>
      </c>
      <c r="B285" s="1" t="s">
        <v>365</v>
      </c>
      <c r="C285" s="30" t="str">
        <f t="shared" si="82"/>
        <v>LA England - Elmbridge</v>
      </c>
      <c r="D285" s="51">
        <f t="shared" si="75"/>
        <v>56521</v>
      </c>
      <c r="E285" s="51">
        <f t="shared" si="76"/>
        <v>61476</v>
      </c>
      <c r="F285" s="52">
        <f t="shared" si="77"/>
        <v>140024</v>
      </c>
      <c r="G285" s="52">
        <f t="shared" si="78"/>
        <v>67751</v>
      </c>
      <c r="H285" s="52">
        <f t="shared" si="79"/>
        <v>72273</v>
      </c>
      <c r="I285" s="697">
        <f t="shared" si="73"/>
        <v>56521</v>
      </c>
      <c r="J285" s="53">
        <f t="shared" si="74"/>
        <v>61476</v>
      </c>
      <c r="K285" s="50">
        <f t="shared" si="80"/>
        <v>17175</v>
      </c>
      <c r="L285" s="51">
        <f t="shared" si="8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
      <c r="A286" s="31" t="s">
        <v>92</v>
      </c>
      <c r="B286" s="1" t="s">
        <v>366</v>
      </c>
      <c r="C286" s="30" t="str">
        <f t="shared" si="82"/>
        <v>LA England - Enfield</v>
      </c>
      <c r="D286" s="51">
        <f t="shared" si="75"/>
        <v>129552</v>
      </c>
      <c r="E286" s="51">
        <f t="shared" si="76"/>
        <v>145375</v>
      </c>
      <c r="F286" s="52">
        <f t="shared" si="77"/>
        <v>327224</v>
      </c>
      <c r="G286" s="52">
        <f t="shared" si="78"/>
        <v>156122</v>
      </c>
      <c r="H286" s="52">
        <f t="shared" si="79"/>
        <v>171102</v>
      </c>
      <c r="I286" s="697">
        <f t="shared" ref="I286:I349" si="83">SUM(Y286:CY286)</f>
        <v>129552</v>
      </c>
      <c r="J286" s="53">
        <f t="shared" ref="J286:J349" si="84">SUM(DL286:GL286)</f>
        <v>145375</v>
      </c>
      <c r="K286" s="50">
        <f t="shared" si="80"/>
        <v>41384</v>
      </c>
      <c r="L286" s="51">
        <f t="shared" si="8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
      <c r="A287" s="31" t="s">
        <v>92</v>
      </c>
      <c r="B287" s="1" t="s">
        <v>367</v>
      </c>
      <c r="C287" s="30" t="str">
        <f t="shared" si="82"/>
        <v>LA England - Epping Forest</v>
      </c>
      <c r="D287" s="51">
        <f t="shared" si="75"/>
        <v>55796</v>
      </c>
      <c r="E287" s="51">
        <f t="shared" si="76"/>
        <v>60431</v>
      </c>
      <c r="F287" s="52">
        <f t="shared" si="77"/>
        <v>134989</v>
      </c>
      <c r="G287" s="52">
        <f t="shared" si="78"/>
        <v>65377</v>
      </c>
      <c r="H287" s="52">
        <f t="shared" si="79"/>
        <v>69612</v>
      </c>
      <c r="I287" s="697">
        <f t="shared" si="83"/>
        <v>55796</v>
      </c>
      <c r="J287" s="53">
        <f t="shared" si="84"/>
        <v>60431</v>
      </c>
      <c r="K287" s="50">
        <f t="shared" si="80"/>
        <v>14464</v>
      </c>
      <c r="L287" s="51">
        <f t="shared" si="8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
      <c r="A288" s="31" t="s">
        <v>92</v>
      </c>
      <c r="B288" s="1" t="s">
        <v>368</v>
      </c>
      <c r="C288" s="30" t="str">
        <f t="shared" si="82"/>
        <v>LA England - Epsom and Ewell</v>
      </c>
      <c r="D288" s="51">
        <f t="shared" si="75"/>
        <v>33153</v>
      </c>
      <c r="E288" s="51">
        <f t="shared" si="76"/>
        <v>35923</v>
      </c>
      <c r="F288" s="52">
        <f t="shared" si="77"/>
        <v>81184</v>
      </c>
      <c r="G288" s="52">
        <f t="shared" si="78"/>
        <v>39349</v>
      </c>
      <c r="H288" s="52">
        <f t="shared" si="79"/>
        <v>41835</v>
      </c>
      <c r="I288" s="697">
        <f t="shared" si="83"/>
        <v>33153</v>
      </c>
      <c r="J288" s="53">
        <f t="shared" si="84"/>
        <v>35923</v>
      </c>
      <c r="K288" s="50">
        <f t="shared" si="80"/>
        <v>9600</v>
      </c>
      <c r="L288" s="51">
        <f t="shared" si="8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
      <c r="A289" s="31" t="s">
        <v>92</v>
      </c>
      <c r="B289" s="1" t="s">
        <v>369</v>
      </c>
      <c r="C289" s="30" t="str">
        <f t="shared" si="82"/>
        <v>LA England - Erewash</v>
      </c>
      <c r="D289" s="51">
        <f t="shared" si="75"/>
        <v>48137</v>
      </c>
      <c r="E289" s="51">
        <f t="shared" si="76"/>
        <v>50661</v>
      </c>
      <c r="F289" s="52">
        <f t="shared" si="77"/>
        <v>113080</v>
      </c>
      <c r="G289" s="52">
        <f t="shared" si="78"/>
        <v>55544</v>
      </c>
      <c r="H289" s="52">
        <f t="shared" si="79"/>
        <v>57536</v>
      </c>
      <c r="I289" s="697">
        <f t="shared" si="83"/>
        <v>48137</v>
      </c>
      <c r="J289" s="53">
        <f t="shared" si="84"/>
        <v>50661</v>
      </c>
      <c r="K289" s="50">
        <f t="shared" si="80"/>
        <v>11328</v>
      </c>
      <c r="L289" s="51">
        <f t="shared" si="8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
      <c r="A290" s="31" t="s">
        <v>92</v>
      </c>
      <c r="B290" s="1" t="s">
        <v>370</v>
      </c>
      <c r="C290" s="30" t="str">
        <f t="shared" si="82"/>
        <v>LA England - Exeter</v>
      </c>
      <c r="D290" s="51">
        <f t="shared" si="75"/>
        <v>58447</v>
      </c>
      <c r="E290" s="51">
        <f t="shared" si="76"/>
        <v>61882</v>
      </c>
      <c r="F290" s="52">
        <f t="shared" si="77"/>
        <v>134939</v>
      </c>
      <c r="G290" s="52">
        <f t="shared" si="78"/>
        <v>65979</v>
      </c>
      <c r="H290" s="52">
        <f t="shared" si="79"/>
        <v>68960</v>
      </c>
      <c r="I290" s="697">
        <f t="shared" si="83"/>
        <v>58447</v>
      </c>
      <c r="J290" s="53">
        <f t="shared" si="84"/>
        <v>61882</v>
      </c>
      <c r="K290" s="50">
        <f t="shared" si="80"/>
        <v>11335</v>
      </c>
      <c r="L290" s="51">
        <f t="shared" si="8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
      <c r="A291" s="31" t="s">
        <v>92</v>
      </c>
      <c r="B291" s="1" t="s">
        <v>371</v>
      </c>
      <c r="C291" s="30" t="str">
        <f t="shared" si="82"/>
        <v>LA England - Fareham</v>
      </c>
      <c r="D291" s="51">
        <f t="shared" si="75"/>
        <v>48978</v>
      </c>
      <c r="E291" s="51">
        <f t="shared" si="76"/>
        <v>51923</v>
      </c>
      <c r="F291" s="52">
        <f t="shared" si="77"/>
        <v>114547</v>
      </c>
      <c r="G291" s="52">
        <f t="shared" si="78"/>
        <v>55913</v>
      </c>
      <c r="H291" s="52">
        <f t="shared" si="79"/>
        <v>58634</v>
      </c>
      <c r="I291" s="697">
        <f t="shared" si="83"/>
        <v>48978</v>
      </c>
      <c r="J291" s="53">
        <f t="shared" si="84"/>
        <v>51923</v>
      </c>
      <c r="K291" s="50">
        <f t="shared" si="80"/>
        <v>10708</v>
      </c>
      <c r="L291" s="51">
        <f t="shared" si="8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
      <c r="A292" s="31" t="s">
        <v>92</v>
      </c>
      <c r="B292" s="1" t="s">
        <v>372</v>
      </c>
      <c r="C292" s="30" t="str">
        <f t="shared" si="82"/>
        <v>LA England - Fenland</v>
      </c>
      <c r="D292" s="51">
        <f t="shared" si="75"/>
        <v>43538</v>
      </c>
      <c r="E292" s="51">
        <f t="shared" si="76"/>
        <v>46130</v>
      </c>
      <c r="F292" s="52">
        <f t="shared" si="77"/>
        <v>103035</v>
      </c>
      <c r="G292" s="52">
        <f t="shared" si="78"/>
        <v>50391</v>
      </c>
      <c r="H292" s="52">
        <f t="shared" si="79"/>
        <v>52644</v>
      </c>
      <c r="I292" s="697">
        <f t="shared" si="83"/>
        <v>43538</v>
      </c>
      <c r="J292" s="53">
        <f t="shared" si="84"/>
        <v>46130</v>
      </c>
      <c r="K292" s="50">
        <f t="shared" si="80"/>
        <v>10259</v>
      </c>
      <c r="L292" s="51">
        <f t="shared" si="8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
      <c r="A293" s="31" t="s">
        <v>92</v>
      </c>
      <c r="B293" s="1" t="s">
        <v>373</v>
      </c>
      <c r="C293" s="30" t="str">
        <f t="shared" si="82"/>
        <v>LA England - Folkestone and Hythe</v>
      </c>
      <c r="D293" s="51">
        <f t="shared" si="75"/>
        <v>46927</v>
      </c>
      <c r="E293" s="51">
        <f t="shared" si="76"/>
        <v>50069</v>
      </c>
      <c r="F293" s="52">
        <f t="shared" si="77"/>
        <v>110237</v>
      </c>
      <c r="G293" s="52">
        <f t="shared" si="78"/>
        <v>53700</v>
      </c>
      <c r="H293" s="52">
        <f t="shared" si="79"/>
        <v>56537</v>
      </c>
      <c r="I293" s="697">
        <f t="shared" si="83"/>
        <v>46927</v>
      </c>
      <c r="J293" s="53">
        <f t="shared" si="84"/>
        <v>50069</v>
      </c>
      <c r="K293" s="50">
        <f t="shared" si="80"/>
        <v>10527</v>
      </c>
      <c r="L293" s="51">
        <f t="shared" si="8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
      <c r="A294" s="31" t="s">
        <v>92</v>
      </c>
      <c r="B294" s="1" t="s">
        <v>374</v>
      </c>
      <c r="C294" s="30" t="str">
        <f t="shared" si="82"/>
        <v>LA England - Forest of Dean</v>
      </c>
      <c r="D294" s="51">
        <f t="shared" si="75"/>
        <v>37840</v>
      </c>
      <c r="E294" s="51">
        <f t="shared" si="76"/>
        <v>39714</v>
      </c>
      <c r="F294" s="52">
        <f t="shared" si="77"/>
        <v>87937</v>
      </c>
      <c r="G294" s="52">
        <f t="shared" si="78"/>
        <v>43131</v>
      </c>
      <c r="H294" s="52">
        <f t="shared" si="79"/>
        <v>44806</v>
      </c>
      <c r="I294" s="697">
        <f t="shared" si="83"/>
        <v>37840</v>
      </c>
      <c r="J294" s="53">
        <f t="shared" si="84"/>
        <v>39714</v>
      </c>
      <c r="K294" s="50">
        <f t="shared" si="80"/>
        <v>8112</v>
      </c>
      <c r="L294" s="51">
        <f t="shared" si="8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
      <c r="A295" s="31" t="s">
        <v>92</v>
      </c>
      <c r="B295" s="1" t="s">
        <v>375</v>
      </c>
      <c r="C295" s="30" t="str">
        <f t="shared" si="82"/>
        <v>LA England - Fylde</v>
      </c>
      <c r="D295" s="51">
        <f t="shared" si="75"/>
        <v>36089</v>
      </c>
      <c r="E295" s="51">
        <f t="shared" si="76"/>
        <v>37970</v>
      </c>
      <c r="F295" s="52">
        <f t="shared" si="77"/>
        <v>83008</v>
      </c>
      <c r="G295" s="52">
        <f t="shared" si="78"/>
        <v>40611</v>
      </c>
      <c r="H295" s="52">
        <f t="shared" si="79"/>
        <v>42397</v>
      </c>
      <c r="I295" s="697">
        <f t="shared" si="83"/>
        <v>36089</v>
      </c>
      <c r="J295" s="53">
        <f t="shared" si="84"/>
        <v>37970</v>
      </c>
      <c r="K295" s="50">
        <f t="shared" si="80"/>
        <v>7066</v>
      </c>
      <c r="L295" s="51">
        <f t="shared" si="8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
      <c r="A296" s="31" t="s">
        <v>92</v>
      </c>
      <c r="B296" s="1" t="s">
        <v>376</v>
      </c>
      <c r="C296" s="30" t="str">
        <f t="shared" si="82"/>
        <v>LA England - Gateshead</v>
      </c>
      <c r="D296" s="51">
        <f t="shared" si="75"/>
        <v>84167</v>
      </c>
      <c r="E296" s="51">
        <f t="shared" si="76"/>
        <v>87717</v>
      </c>
      <c r="F296" s="52">
        <f t="shared" si="77"/>
        <v>197722</v>
      </c>
      <c r="G296" s="52">
        <f t="shared" si="78"/>
        <v>97281</v>
      </c>
      <c r="H296" s="52">
        <f t="shared" si="79"/>
        <v>100441</v>
      </c>
      <c r="I296" s="697">
        <f t="shared" si="83"/>
        <v>84167</v>
      </c>
      <c r="J296" s="53">
        <f t="shared" si="84"/>
        <v>87717</v>
      </c>
      <c r="K296" s="50">
        <f t="shared" si="80"/>
        <v>19929</v>
      </c>
      <c r="L296" s="51">
        <f t="shared" si="8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
      <c r="A297" s="31" t="s">
        <v>92</v>
      </c>
      <c r="B297" s="1" t="s">
        <v>377</v>
      </c>
      <c r="C297" s="30" t="str">
        <f t="shared" si="82"/>
        <v>LA England - Gedling</v>
      </c>
      <c r="D297" s="51">
        <f t="shared" si="75"/>
        <v>49355</v>
      </c>
      <c r="E297" s="51">
        <f t="shared" si="76"/>
        <v>53083</v>
      </c>
      <c r="F297" s="52">
        <f t="shared" si="77"/>
        <v>117730</v>
      </c>
      <c r="G297" s="52">
        <f t="shared" si="78"/>
        <v>57091</v>
      </c>
      <c r="H297" s="52">
        <f t="shared" si="79"/>
        <v>60639</v>
      </c>
      <c r="I297" s="697">
        <f t="shared" si="83"/>
        <v>49355</v>
      </c>
      <c r="J297" s="53">
        <f t="shared" si="84"/>
        <v>53083</v>
      </c>
      <c r="K297" s="50">
        <f t="shared" si="80"/>
        <v>11918</v>
      </c>
      <c r="L297" s="51">
        <f t="shared" si="8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
      <c r="A298" s="31" t="s">
        <v>92</v>
      </c>
      <c r="B298" s="1" t="s">
        <v>378</v>
      </c>
      <c r="C298" s="30" t="str">
        <f t="shared" si="82"/>
        <v>LA England - Gloucester</v>
      </c>
      <c r="D298" s="51">
        <f t="shared" si="75"/>
        <v>56336</v>
      </c>
      <c r="E298" s="51">
        <f t="shared" si="76"/>
        <v>58105</v>
      </c>
      <c r="F298" s="52">
        <f t="shared" si="77"/>
        <v>133522</v>
      </c>
      <c r="G298" s="52">
        <f t="shared" si="78"/>
        <v>66103</v>
      </c>
      <c r="H298" s="52">
        <f t="shared" si="79"/>
        <v>67419</v>
      </c>
      <c r="I298" s="697">
        <f t="shared" si="83"/>
        <v>56336</v>
      </c>
      <c r="J298" s="53">
        <f t="shared" si="84"/>
        <v>58105</v>
      </c>
      <c r="K298" s="50">
        <f t="shared" si="80"/>
        <v>14778</v>
      </c>
      <c r="L298" s="51">
        <f t="shared" si="8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
      <c r="A299" s="31" t="s">
        <v>92</v>
      </c>
      <c r="B299" s="1" t="s">
        <v>379</v>
      </c>
      <c r="C299" s="30" t="str">
        <f t="shared" si="82"/>
        <v>LA England - Gosport</v>
      </c>
      <c r="D299" s="51">
        <f t="shared" si="75"/>
        <v>34775</v>
      </c>
      <c r="E299" s="51">
        <f t="shared" si="76"/>
        <v>36828</v>
      </c>
      <c r="F299" s="52">
        <f t="shared" si="77"/>
        <v>82285</v>
      </c>
      <c r="G299" s="52">
        <f t="shared" si="78"/>
        <v>40357</v>
      </c>
      <c r="H299" s="52">
        <f t="shared" si="79"/>
        <v>41928</v>
      </c>
      <c r="I299" s="697">
        <f t="shared" si="83"/>
        <v>34775</v>
      </c>
      <c r="J299" s="53">
        <f t="shared" si="84"/>
        <v>36828</v>
      </c>
      <c r="K299" s="50">
        <f t="shared" si="80"/>
        <v>8649</v>
      </c>
      <c r="L299" s="51">
        <f t="shared" si="8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
      <c r="A300" s="31" t="s">
        <v>92</v>
      </c>
      <c r="B300" s="1" t="s">
        <v>380</v>
      </c>
      <c r="C300" s="30" t="str">
        <f t="shared" si="82"/>
        <v>LA England - Gravesham</v>
      </c>
      <c r="D300" s="51">
        <f t="shared" si="75"/>
        <v>43561</v>
      </c>
      <c r="E300" s="51">
        <f t="shared" si="76"/>
        <v>46538</v>
      </c>
      <c r="F300" s="52">
        <f t="shared" si="77"/>
        <v>106970</v>
      </c>
      <c r="G300" s="52">
        <f t="shared" si="78"/>
        <v>52155</v>
      </c>
      <c r="H300" s="52">
        <f t="shared" si="79"/>
        <v>54815</v>
      </c>
      <c r="I300" s="697">
        <f t="shared" si="83"/>
        <v>43561</v>
      </c>
      <c r="J300" s="53">
        <f t="shared" si="84"/>
        <v>46538</v>
      </c>
      <c r="K300" s="50">
        <f t="shared" si="80"/>
        <v>12920</v>
      </c>
      <c r="L300" s="51">
        <f t="shared" si="8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
      <c r="A301" s="31" t="s">
        <v>92</v>
      </c>
      <c r="B301" s="1" t="s">
        <v>381</v>
      </c>
      <c r="C301" s="30" t="str">
        <f t="shared" si="82"/>
        <v>LA England - Great Yarmouth</v>
      </c>
      <c r="D301" s="51">
        <f t="shared" si="75"/>
        <v>42321</v>
      </c>
      <c r="E301" s="51">
        <f t="shared" si="76"/>
        <v>45107</v>
      </c>
      <c r="F301" s="52">
        <f t="shared" si="77"/>
        <v>99862</v>
      </c>
      <c r="G301" s="52">
        <f t="shared" si="78"/>
        <v>48741</v>
      </c>
      <c r="H301" s="52">
        <f t="shared" si="79"/>
        <v>51121</v>
      </c>
      <c r="I301" s="697">
        <f t="shared" si="83"/>
        <v>42321</v>
      </c>
      <c r="J301" s="53">
        <f t="shared" si="84"/>
        <v>45107</v>
      </c>
      <c r="K301" s="50">
        <f t="shared" si="80"/>
        <v>9842</v>
      </c>
      <c r="L301" s="51">
        <f t="shared" si="8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
      <c r="A302" s="31" t="s">
        <v>92</v>
      </c>
      <c r="B302" s="1" t="s">
        <v>382</v>
      </c>
      <c r="C302" s="30" t="str">
        <f t="shared" si="82"/>
        <v>LA England - Greenwich</v>
      </c>
      <c r="D302" s="51">
        <f t="shared" si="75"/>
        <v>119418</v>
      </c>
      <c r="E302" s="51">
        <f t="shared" si="76"/>
        <v>127129</v>
      </c>
      <c r="F302" s="52">
        <f t="shared" si="77"/>
        <v>291080</v>
      </c>
      <c r="G302" s="52">
        <f t="shared" si="78"/>
        <v>141998</v>
      </c>
      <c r="H302" s="52">
        <f t="shared" si="79"/>
        <v>149082</v>
      </c>
      <c r="I302" s="697">
        <f t="shared" si="83"/>
        <v>119418</v>
      </c>
      <c r="J302" s="53">
        <f t="shared" si="84"/>
        <v>127129</v>
      </c>
      <c r="K302" s="50">
        <f t="shared" si="80"/>
        <v>33329</v>
      </c>
      <c r="L302" s="51">
        <f t="shared" si="8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
      <c r="A303" s="31" t="s">
        <v>92</v>
      </c>
      <c r="B303" s="1" t="s">
        <v>383</v>
      </c>
      <c r="C303" s="30" t="str">
        <f t="shared" si="82"/>
        <v>LA England - Guildford</v>
      </c>
      <c r="D303" s="51">
        <f t="shared" si="75"/>
        <v>62456</v>
      </c>
      <c r="E303" s="51">
        <f t="shared" si="76"/>
        <v>64940</v>
      </c>
      <c r="F303" s="52">
        <f t="shared" si="77"/>
        <v>145673</v>
      </c>
      <c r="G303" s="52">
        <f t="shared" si="78"/>
        <v>71786</v>
      </c>
      <c r="H303" s="52">
        <f t="shared" si="79"/>
        <v>73887</v>
      </c>
      <c r="I303" s="697">
        <f t="shared" si="83"/>
        <v>62456</v>
      </c>
      <c r="J303" s="53">
        <f t="shared" si="84"/>
        <v>64940</v>
      </c>
      <c r="K303" s="50">
        <f t="shared" si="80"/>
        <v>14331</v>
      </c>
      <c r="L303" s="51">
        <f t="shared" si="8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
      <c r="A304" s="31" t="s">
        <v>92</v>
      </c>
      <c r="B304" s="1" t="s">
        <v>384</v>
      </c>
      <c r="C304" s="30" t="str">
        <f t="shared" si="82"/>
        <v>LA England - Hackney</v>
      </c>
      <c r="D304" s="51">
        <f t="shared" si="75"/>
        <v>105762</v>
      </c>
      <c r="E304" s="51">
        <f t="shared" si="76"/>
        <v>118753</v>
      </c>
      <c r="F304" s="52">
        <f t="shared" si="77"/>
        <v>261491</v>
      </c>
      <c r="G304" s="52">
        <f t="shared" si="78"/>
        <v>124628</v>
      </c>
      <c r="H304" s="52">
        <f t="shared" si="79"/>
        <v>136863</v>
      </c>
      <c r="I304" s="697">
        <f t="shared" si="83"/>
        <v>105762</v>
      </c>
      <c r="J304" s="53">
        <f t="shared" si="84"/>
        <v>118753</v>
      </c>
      <c r="K304" s="50">
        <f t="shared" si="80"/>
        <v>28004</v>
      </c>
      <c r="L304" s="51">
        <f t="shared" si="8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
      <c r="A305" s="31" t="s">
        <v>92</v>
      </c>
      <c r="B305" s="1" t="s">
        <v>385</v>
      </c>
      <c r="C305" s="30" t="str">
        <f t="shared" si="82"/>
        <v>LA England - Halton</v>
      </c>
      <c r="D305" s="51">
        <f t="shared" si="75"/>
        <v>54028</v>
      </c>
      <c r="E305" s="51">
        <f t="shared" si="76"/>
        <v>57058</v>
      </c>
      <c r="F305" s="52">
        <f t="shared" si="77"/>
        <v>128964</v>
      </c>
      <c r="G305" s="52">
        <f t="shared" si="78"/>
        <v>63227</v>
      </c>
      <c r="H305" s="52">
        <f t="shared" si="79"/>
        <v>65737</v>
      </c>
      <c r="I305" s="697">
        <f t="shared" si="83"/>
        <v>54028</v>
      </c>
      <c r="J305" s="53">
        <f t="shared" si="84"/>
        <v>57058</v>
      </c>
      <c r="K305" s="50">
        <f t="shared" si="80"/>
        <v>14135</v>
      </c>
      <c r="L305" s="51">
        <f t="shared" si="8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
      <c r="A306" s="31" t="s">
        <v>92</v>
      </c>
      <c r="B306" s="1" t="s">
        <v>386</v>
      </c>
      <c r="C306" s="30" t="str">
        <f t="shared" si="82"/>
        <v>LA England - Hammersmith and Fulham</v>
      </c>
      <c r="D306" s="51">
        <f t="shared" si="75"/>
        <v>75799</v>
      </c>
      <c r="E306" s="51">
        <f t="shared" si="76"/>
        <v>88041</v>
      </c>
      <c r="F306" s="52">
        <f t="shared" si="77"/>
        <v>185238</v>
      </c>
      <c r="G306" s="52">
        <f t="shared" si="78"/>
        <v>86607</v>
      </c>
      <c r="H306" s="52">
        <f t="shared" si="79"/>
        <v>98631</v>
      </c>
      <c r="I306" s="697">
        <f t="shared" si="83"/>
        <v>75799</v>
      </c>
      <c r="J306" s="53">
        <f t="shared" si="84"/>
        <v>88041</v>
      </c>
      <c r="K306" s="50">
        <f t="shared" si="80"/>
        <v>15973</v>
      </c>
      <c r="L306" s="51">
        <f t="shared" si="8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
      <c r="A307" s="31" t="s">
        <v>92</v>
      </c>
      <c r="B307" s="1" t="s">
        <v>387</v>
      </c>
      <c r="C307" s="30" t="str">
        <f t="shared" si="82"/>
        <v>LA England - Harborough</v>
      </c>
      <c r="D307" s="51">
        <f t="shared" si="75"/>
        <v>43093</v>
      </c>
      <c r="E307" s="51">
        <f t="shared" si="76"/>
        <v>44724</v>
      </c>
      <c r="F307" s="52">
        <f t="shared" si="77"/>
        <v>100481</v>
      </c>
      <c r="G307" s="52">
        <f t="shared" si="78"/>
        <v>49592</v>
      </c>
      <c r="H307" s="52">
        <f t="shared" si="79"/>
        <v>50889</v>
      </c>
      <c r="I307" s="697">
        <f t="shared" si="83"/>
        <v>43093</v>
      </c>
      <c r="J307" s="53">
        <f t="shared" si="84"/>
        <v>44724</v>
      </c>
      <c r="K307" s="50">
        <f t="shared" si="80"/>
        <v>10419</v>
      </c>
      <c r="L307" s="51">
        <f t="shared" si="8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
      <c r="A308" s="31" t="s">
        <v>92</v>
      </c>
      <c r="B308" s="1" t="s">
        <v>388</v>
      </c>
      <c r="C308" s="30" t="str">
        <f t="shared" si="82"/>
        <v>LA England - Haringey</v>
      </c>
      <c r="D308" s="51">
        <f t="shared" si="75"/>
        <v>107914</v>
      </c>
      <c r="E308" s="51">
        <f t="shared" si="76"/>
        <v>118404</v>
      </c>
      <c r="F308" s="52">
        <f t="shared" si="77"/>
        <v>261811</v>
      </c>
      <c r="G308" s="52">
        <f t="shared" si="78"/>
        <v>126002</v>
      </c>
      <c r="H308" s="52">
        <f t="shared" si="79"/>
        <v>135809</v>
      </c>
      <c r="I308" s="697">
        <f t="shared" si="83"/>
        <v>107914</v>
      </c>
      <c r="J308" s="53">
        <f t="shared" si="84"/>
        <v>118404</v>
      </c>
      <c r="K308" s="50">
        <f t="shared" si="80"/>
        <v>27362</v>
      </c>
      <c r="L308" s="51">
        <f t="shared" si="8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
      <c r="A309" s="31" t="s">
        <v>92</v>
      </c>
      <c r="B309" s="1" t="s">
        <v>389</v>
      </c>
      <c r="C309" s="30" t="str">
        <f t="shared" si="82"/>
        <v>LA England - Harlow</v>
      </c>
      <c r="D309" s="51">
        <f t="shared" si="75"/>
        <v>37864</v>
      </c>
      <c r="E309" s="51">
        <f t="shared" si="76"/>
        <v>40907</v>
      </c>
      <c r="F309" s="52">
        <f t="shared" si="77"/>
        <v>94409</v>
      </c>
      <c r="G309" s="52">
        <f t="shared" si="78"/>
        <v>45809</v>
      </c>
      <c r="H309" s="52">
        <f t="shared" si="79"/>
        <v>48600</v>
      </c>
      <c r="I309" s="697">
        <f t="shared" si="83"/>
        <v>37864</v>
      </c>
      <c r="J309" s="53">
        <f t="shared" si="84"/>
        <v>40907</v>
      </c>
      <c r="K309" s="50">
        <f t="shared" si="80"/>
        <v>11756</v>
      </c>
      <c r="L309" s="51">
        <f t="shared" si="8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
      <c r="A310" s="31" t="s">
        <v>92</v>
      </c>
      <c r="B310" s="1" t="s">
        <v>390</v>
      </c>
      <c r="C310" s="30" t="str">
        <f t="shared" si="82"/>
        <v>LA England - Harrow</v>
      </c>
      <c r="D310" s="51">
        <f t="shared" si="75"/>
        <v>109299</v>
      </c>
      <c r="E310" s="51">
        <f t="shared" si="76"/>
        <v>113179</v>
      </c>
      <c r="F310" s="52">
        <f t="shared" si="77"/>
        <v>261185</v>
      </c>
      <c r="G310" s="52">
        <f t="shared" si="78"/>
        <v>128948</v>
      </c>
      <c r="H310" s="52">
        <f t="shared" si="79"/>
        <v>132237</v>
      </c>
      <c r="I310" s="697">
        <f t="shared" si="83"/>
        <v>109299</v>
      </c>
      <c r="J310" s="53">
        <f t="shared" si="84"/>
        <v>113179</v>
      </c>
      <c r="K310" s="50">
        <f t="shared" si="80"/>
        <v>30464</v>
      </c>
      <c r="L310" s="51">
        <f t="shared" si="8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
      <c r="A311" s="31" t="s">
        <v>92</v>
      </c>
      <c r="B311" s="1" t="s">
        <v>391</v>
      </c>
      <c r="C311" s="30" t="str">
        <f t="shared" si="82"/>
        <v>LA England - Hart</v>
      </c>
      <c r="D311" s="51">
        <f t="shared" si="75"/>
        <v>42790</v>
      </c>
      <c r="E311" s="51">
        <f t="shared" si="76"/>
        <v>44072</v>
      </c>
      <c r="F311" s="52">
        <f t="shared" si="77"/>
        <v>100910</v>
      </c>
      <c r="G311" s="52">
        <f t="shared" si="78"/>
        <v>49963</v>
      </c>
      <c r="H311" s="52">
        <f t="shared" si="79"/>
        <v>50947</v>
      </c>
      <c r="I311" s="697">
        <f t="shared" si="83"/>
        <v>42790</v>
      </c>
      <c r="J311" s="53">
        <f t="shared" si="84"/>
        <v>44072</v>
      </c>
      <c r="K311" s="50">
        <f t="shared" si="80"/>
        <v>11104</v>
      </c>
      <c r="L311" s="51">
        <f t="shared" si="8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
      <c r="A312" s="31" t="s">
        <v>92</v>
      </c>
      <c r="B312" s="1" t="s">
        <v>392</v>
      </c>
      <c r="C312" s="30" t="str">
        <f t="shared" si="82"/>
        <v>LA England - Hartlepool</v>
      </c>
      <c r="D312" s="51">
        <f t="shared" si="75"/>
        <v>38968</v>
      </c>
      <c r="E312" s="51">
        <f t="shared" si="76"/>
        <v>41944</v>
      </c>
      <c r="F312" s="52">
        <f t="shared" si="77"/>
        <v>93861</v>
      </c>
      <c r="G312" s="52">
        <f t="shared" si="78"/>
        <v>45630</v>
      </c>
      <c r="H312" s="52">
        <f t="shared" si="79"/>
        <v>48231</v>
      </c>
      <c r="I312" s="697">
        <f t="shared" si="83"/>
        <v>38968</v>
      </c>
      <c r="J312" s="53">
        <f t="shared" si="84"/>
        <v>41944</v>
      </c>
      <c r="K312" s="50">
        <f t="shared" si="80"/>
        <v>10310</v>
      </c>
      <c r="L312" s="51">
        <f t="shared" si="8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
      <c r="A313" s="31" t="s">
        <v>92</v>
      </c>
      <c r="B313" s="1" t="s">
        <v>393</v>
      </c>
      <c r="C313" s="30" t="str">
        <f t="shared" si="82"/>
        <v>LA England - Hastings</v>
      </c>
      <c r="D313" s="51">
        <f t="shared" si="75"/>
        <v>37891</v>
      </c>
      <c r="E313" s="51">
        <f t="shared" si="76"/>
        <v>40743</v>
      </c>
      <c r="F313" s="52">
        <f t="shared" si="77"/>
        <v>90622</v>
      </c>
      <c r="G313" s="52">
        <f t="shared" si="78"/>
        <v>44005</v>
      </c>
      <c r="H313" s="52">
        <f t="shared" si="79"/>
        <v>46617</v>
      </c>
      <c r="I313" s="697">
        <f t="shared" si="83"/>
        <v>37891</v>
      </c>
      <c r="J313" s="53">
        <f t="shared" si="84"/>
        <v>40743</v>
      </c>
      <c r="K313" s="50">
        <f t="shared" si="80"/>
        <v>9318</v>
      </c>
      <c r="L313" s="51">
        <f t="shared" si="8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
      <c r="A314" s="31" t="s">
        <v>92</v>
      </c>
      <c r="B314" s="1" t="s">
        <v>394</v>
      </c>
      <c r="C314" s="30" t="str">
        <f t="shared" si="82"/>
        <v>LA England - Havant</v>
      </c>
      <c r="D314" s="51">
        <f t="shared" si="75"/>
        <v>52102</v>
      </c>
      <c r="E314" s="51">
        <f t="shared" si="76"/>
        <v>56852</v>
      </c>
      <c r="F314" s="52">
        <f t="shared" si="77"/>
        <v>124854</v>
      </c>
      <c r="G314" s="52">
        <f t="shared" si="78"/>
        <v>60252</v>
      </c>
      <c r="H314" s="52">
        <f t="shared" si="79"/>
        <v>64602</v>
      </c>
      <c r="I314" s="697">
        <f t="shared" si="83"/>
        <v>52102</v>
      </c>
      <c r="J314" s="53">
        <f t="shared" si="84"/>
        <v>56852</v>
      </c>
      <c r="K314" s="50">
        <f t="shared" si="80"/>
        <v>12390</v>
      </c>
      <c r="L314" s="51">
        <f t="shared" si="8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
      <c r="A315" s="31" t="s">
        <v>92</v>
      </c>
      <c r="B315" s="1" t="s">
        <v>395</v>
      </c>
      <c r="C315" s="30" t="str">
        <f t="shared" si="82"/>
        <v>LA England - Havering</v>
      </c>
      <c r="D315" s="51">
        <f t="shared" si="75"/>
        <v>107133</v>
      </c>
      <c r="E315" s="51">
        <f t="shared" si="76"/>
        <v>116832</v>
      </c>
      <c r="F315" s="52">
        <f t="shared" si="77"/>
        <v>264703</v>
      </c>
      <c r="G315" s="52">
        <f t="shared" si="78"/>
        <v>128043</v>
      </c>
      <c r="H315" s="52">
        <f t="shared" si="79"/>
        <v>136660</v>
      </c>
      <c r="I315" s="697">
        <f t="shared" si="83"/>
        <v>107133</v>
      </c>
      <c r="J315" s="53">
        <f t="shared" si="84"/>
        <v>116832</v>
      </c>
      <c r="K315" s="50">
        <f t="shared" si="80"/>
        <v>30774</v>
      </c>
      <c r="L315" s="51">
        <f t="shared" si="8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
      <c r="A316" s="31" t="s">
        <v>92</v>
      </c>
      <c r="B316" s="1" t="s">
        <v>396</v>
      </c>
      <c r="C316" s="30" t="str">
        <f t="shared" si="82"/>
        <v>LA England - Herefordshire, County of</v>
      </c>
      <c r="D316" s="51">
        <f t="shared" si="75"/>
        <v>81191</v>
      </c>
      <c r="E316" s="51">
        <f t="shared" si="76"/>
        <v>85528</v>
      </c>
      <c r="F316" s="52">
        <f t="shared" si="77"/>
        <v>188719</v>
      </c>
      <c r="G316" s="52">
        <f t="shared" si="78"/>
        <v>92561</v>
      </c>
      <c r="H316" s="52">
        <f t="shared" si="79"/>
        <v>96158</v>
      </c>
      <c r="I316" s="697">
        <f t="shared" si="83"/>
        <v>81191</v>
      </c>
      <c r="J316" s="53">
        <f t="shared" si="84"/>
        <v>85528</v>
      </c>
      <c r="K316" s="50">
        <f t="shared" si="80"/>
        <v>17674</v>
      </c>
      <c r="L316" s="51">
        <f t="shared" si="8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
      <c r="A317" s="31" t="s">
        <v>92</v>
      </c>
      <c r="B317" s="1" t="s">
        <v>397</v>
      </c>
      <c r="C317" s="30" t="str">
        <f t="shared" si="82"/>
        <v>LA England - Hertsmere</v>
      </c>
      <c r="D317" s="51">
        <f t="shared" si="75"/>
        <v>43838</v>
      </c>
      <c r="E317" s="51">
        <f t="shared" si="76"/>
        <v>48379</v>
      </c>
      <c r="F317" s="52">
        <f t="shared" si="77"/>
        <v>108106</v>
      </c>
      <c r="G317" s="52">
        <f t="shared" si="78"/>
        <v>51987</v>
      </c>
      <c r="H317" s="52">
        <f t="shared" si="79"/>
        <v>56119</v>
      </c>
      <c r="I317" s="697">
        <f t="shared" si="83"/>
        <v>43838</v>
      </c>
      <c r="J317" s="53">
        <f t="shared" si="84"/>
        <v>48379</v>
      </c>
      <c r="K317" s="50">
        <f t="shared" si="80"/>
        <v>12475</v>
      </c>
      <c r="L317" s="51">
        <f t="shared" si="8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
      <c r="A318" s="31" t="s">
        <v>92</v>
      </c>
      <c r="B318" s="1" t="s">
        <v>398</v>
      </c>
      <c r="C318" s="30" t="str">
        <f t="shared" si="82"/>
        <v>LA England - High Peak</v>
      </c>
      <c r="D318" s="51">
        <f t="shared" si="75"/>
        <v>39280</v>
      </c>
      <c r="E318" s="51">
        <f t="shared" si="76"/>
        <v>40842</v>
      </c>
      <c r="F318" s="52">
        <f t="shared" si="77"/>
        <v>91109</v>
      </c>
      <c r="G318" s="52">
        <f t="shared" si="78"/>
        <v>44801</v>
      </c>
      <c r="H318" s="52">
        <f t="shared" si="79"/>
        <v>46308</v>
      </c>
      <c r="I318" s="697">
        <f t="shared" si="83"/>
        <v>39280</v>
      </c>
      <c r="J318" s="53">
        <f t="shared" si="84"/>
        <v>40842</v>
      </c>
      <c r="K318" s="50">
        <f t="shared" si="80"/>
        <v>8736</v>
      </c>
      <c r="L318" s="51">
        <f t="shared" si="8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
      <c r="A319" s="31" t="s">
        <v>92</v>
      </c>
      <c r="B319" s="1" t="s">
        <v>399</v>
      </c>
      <c r="C319" s="30" t="str">
        <f t="shared" si="82"/>
        <v>LA England - Hillingdon</v>
      </c>
      <c r="D319" s="51">
        <f t="shared" si="75"/>
        <v>129408</v>
      </c>
      <c r="E319" s="51">
        <f t="shared" si="76"/>
        <v>132300</v>
      </c>
      <c r="F319" s="52">
        <f t="shared" si="77"/>
        <v>310681</v>
      </c>
      <c r="G319" s="52">
        <f t="shared" si="78"/>
        <v>154503</v>
      </c>
      <c r="H319" s="52">
        <f t="shared" si="79"/>
        <v>156178</v>
      </c>
      <c r="I319" s="697">
        <f t="shared" si="83"/>
        <v>129408</v>
      </c>
      <c r="J319" s="53">
        <f t="shared" si="84"/>
        <v>132300</v>
      </c>
      <c r="K319" s="50">
        <f t="shared" si="80"/>
        <v>37134</v>
      </c>
      <c r="L319" s="51">
        <f t="shared" si="8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
      <c r="A320" s="31" t="s">
        <v>92</v>
      </c>
      <c r="B320" s="1" t="s">
        <v>400</v>
      </c>
      <c r="C320" s="30" t="str">
        <f t="shared" si="82"/>
        <v>LA England - Hinckley and Bosworth</v>
      </c>
      <c r="D320" s="51">
        <f t="shared" si="75"/>
        <v>48833</v>
      </c>
      <c r="E320" s="51">
        <f t="shared" si="76"/>
        <v>50738</v>
      </c>
      <c r="F320" s="52">
        <f t="shared" si="77"/>
        <v>114298</v>
      </c>
      <c r="G320" s="52">
        <f t="shared" si="78"/>
        <v>56349</v>
      </c>
      <c r="H320" s="52">
        <f t="shared" si="79"/>
        <v>57949</v>
      </c>
      <c r="I320" s="697">
        <f t="shared" si="83"/>
        <v>48833</v>
      </c>
      <c r="J320" s="53">
        <f t="shared" si="84"/>
        <v>50738</v>
      </c>
      <c r="K320" s="50">
        <f t="shared" si="80"/>
        <v>11524</v>
      </c>
      <c r="L320" s="51">
        <f t="shared" si="8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
      <c r="A321" s="31" t="s">
        <v>92</v>
      </c>
      <c r="B321" s="1" t="s">
        <v>401</v>
      </c>
      <c r="C321" s="30" t="str">
        <f t="shared" si="82"/>
        <v>LA England - Horsham</v>
      </c>
      <c r="D321" s="51">
        <f t="shared" si="75"/>
        <v>62787</v>
      </c>
      <c r="E321" s="51">
        <f t="shared" si="76"/>
        <v>66831</v>
      </c>
      <c r="F321" s="52">
        <f t="shared" si="77"/>
        <v>148696</v>
      </c>
      <c r="G321" s="52">
        <f t="shared" si="78"/>
        <v>72638</v>
      </c>
      <c r="H321" s="52">
        <f t="shared" si="79"/>
        <v>76058</v>
      </c>
      <c r="I321" s="697">
        <f t="shared" si="83"/>
        <v>62787</v>
      </c>
      <c r="J321" s="53">
        <f t="shared" si="84"/>
        <v>66831</v>
      </c>
      <c r="K321" s="50">
        <f t="shared" si="80"/>
        <v>15535</v>
      </c>
      <c r="L321" s="51">
        <f t="shared" si="8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
      <c r="A322" s="31" t="s">
        <v>92</v>
      </c>
      <c r="B322" s="1" t="s">
        <v>402</v>
      </c>
      <c r="C322" s="30" t="str">
        <f t="shared" si="82"/>
        <v>LA England - Hounslow</v>
      </c>
      <c r="D322" s="51">
        <f t="shared" si="75"/>
        <v>122169</v>
      </c>
      <c r="E322" s="51">
        <f t="shared" si="76"/>
        <v>123743</v>
      </c>
      <c r="F322" s="52">
        <f t="shared" si="77"/>
        <v>290488</v>
      </c>
      <c r="G322" s="52">
        <f t="shared" si="78"/>
        <v>145055</v>
      </c>
      <c r="H322" s="52">
        <f t="shared" si="79"/>
        <v>145433</v>
      </c>
      <c r="I322" s="697">
        <f t="shared" si="83"/>
        <v>122169</v>
      </c>
      <c r="J322" s="53">
        <f t="shared" si="84"/>
        <v>123743</v>
      </c>
      <c r="K322" s="50">
        <f t="shared" si="80"/>
        <v>34434</v>
      </c>
      <c r="L322" s="51">
        <f t="shared" si="8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
      <c r="A323" s="31" t="s">
        <v>92</v>
      </c>
      <c r="B323" s="1" t="s">
        <v>403</v>
      </c>
      <c r="C323" s="30" t="str">
        <f t="shared" si="82"/>
        <v>LA England - Huntingdonshire</v>
      </c>
      <c r="D323" s="51">
        <f t="shared" si="75"/>
        <v>78333</v>
      </c>
      <c r="E323" s="51">
        <f t="shared" si="76"/>
        <v>80718</v>
      </c>
      <c r="F323" s="52">
        <f t="shared" si="77"/>
        <v>184052</v>
      </c>
      <c r="G323" s="52">
        <f t="shared" si="78"/>
        <v>91150</v>
      </c>
      <c r="H323" s="52">
        <f t="shared" si="79"/>
        <v>92902</v>
      </c>
      <c r="I323" s="697">
        <f t="shared" si="83"/>
        <v>78333</v>
      </c>
      <c r="J323" s="53">
        <f t="shared" si="84"/>
        <v>80718</v>
      </c>
      <c r="K323" s="50">
        <f t="shared" si="80"/>
        <v>19239</v>
      </c>
      <c r="L323" s="51">
        <f t="shared" si="8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
      <c r="A324" s="31" t="s">
        <v>92</v>
      </c>
      <c r="B324" s="1" t="s">
        <v>404</v>
      </c>
      <c r="C324" s="30" t="str">
        <f t="shared" si="82"/>
        <v>LA England - Hyndburn</v>
      </c>
      <c r="D324" s="51">
        <f t="shared" si="75"/>
        <v>34834</v>
      </c>
      <c r="E324" s="51">
        <f t="shared" si="76"/>
        <v>35979</v>
      </c>
      <c r="F324" s="52">
        <f t="shared" si="77"/>
        <v>83213</v>
      </c>
      <c r="G324" s="52">
        <f t="shared" si="78"/>
        <v>41151</v>
      </c>
      <c r="H324" s="52">
        <f t="shared" si="79"/>
        <v>42062</v>
      </c>
      <c r="I324" s="697">
        <f t="shared" si="83"/>
        <v>34834</v>
      </c>
      <c r="J324" s="53">
        <f t="shared" si="84"/>
        <v>35979</v>
      </c>
      <c r="K324" s="50">
        <f t="shared" si="80"/>
        <v>9639</v>
      </c>
      <c r="L324" s="51">
        <f t="shared" si="8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
      <c r="A325" s="31" t="s">
        <v>92</v>
      </c>
      <c r="B325" s="1" t="s">
        <v>405</v>
      </c>
      <c r="C325" s="30" t="str">
        <f t="shared" si="82"/>
        <v>LA England - Ipswich</v>
      </c>
      <c r="D325" s="51">
        <f t="shared" si="75"/>
        <v>58485</v>
      </c>
      <c r="E325" s="51">
        <f t="shared" si="76"/>
        <v>59933</v>
      </c>
      <c r="F325" s="52">
        <f t="shared" si="77"/>
        <v>139247</v>
      </c>
      <c r="G325" s="52">
        <f t="shared" si="78"/>
        <v>69076</v>
      </c>
      <c r="H325" s="52">
        <f t="shared" si="79"/>
        <v>70171</v>
      </c>
      <c r="I325" s="697">
        <f t="shared" si="83"/>
        <v>58485</v>
      </c>
      <c r="J325" s="53">
        <f t="shared" si="84"/>
        <v>59933</v>
      </c>
      <c r="K325" s="50">
        <f t="shared" si="80"/>
        <v>16005</v>
      </c>
      <c r="L325" s="51">
        <f t="shared" si="8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
      <c r="A326" s="31" t="s">
        <v>92</v>
      </c>
      <c r="B326" s="1" t="s">
        <v>406</v>
      </c>
      <c r="C326" s="30" t="str">
        <f t="shared" si="82"/>
        <v>LA England - Isle of Wight</v>
      </c>
      <c r="D326" s="51">
        <f t="shared" si="75"/>
        <v>60435</v>
      </c>
      <c r="E326" s="51">
        <f t="shared" si="76"/>
        <v>65330</v>
      </c>
      <c r="F326" s="52">
        <f t="shared" si="77"/>
        <v>140794</v>
      </c>
      <c r="G326" s="52">
        <f t="shared" si="78"/>
        <v>68209</v>
      </c>
      <c r="H326" s="52">
        <f t="shared" si="79"/>
        <v>72585</v>
      </c>
      <c r="I326" s="697">
        <f t="shared" si="83"/>
        <v>60435</v>
      </c>
      <c r="J326" s="53">
        <f t="shared" si="84"/>
        <v>65330</v>
      </c>
      <c r="K326" s="50">
        <f t="shared" si="80"/>
        <v>12152</v>
      </c>
      <c r="L326" s="51">
        <f t="shared" si="8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
      <c r="A327" s="31" t="s">
        <v>92</v>
      </c>
      <c r="B327" s="1" t="s">
        <v>407</v>
      </c>
      <c r="C327" s="30" t="str">
        <f t="shared" si="82"/>
        <v>LA England - Isles of Scilly</v>
      </c>
      <c r="D327" s="51">
        <f t="shared" si="75"/>
        <v>997</v>
      </c>
      <c r="E327" s="51">
        <f t="shared" si="76"/>
        <v>1036</v>
      </c>
      <c r="F327" s="52">
        <f t="shared" si="77"/>
        <v>2281</v>
      </c>
      <c r="G327" s="52">
        <f t="shared" si="78"/>
        <v>1123</v>
      </c>
      <c r="H327" s="52">
        <f t="shared" si="79"/>
        <v>1158</v>
      </c>
      <c r="I327" s="697">
        <f t="shared" si="83"/>
        <v>997</v>
      </c>
      <c r="J327" s="53">
        <f t="shared" si="84"/>
        <v>1036</v>
      </c>
      <c r="K327" s="50">
        <f t="shared" si="80"/>
        <v>189</v>
      </c>
      <c r="L327" s="51">
        <f t="shared" si="8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
      <c r="A328" s="31" t="s">
        <v>92</v>
      </c>
      <c r="B328" s="1" t="s">
        <v>408</v>
      </c>
      <c r="C328" s="30" t="str">
        <f t="shared" si="82"/>
        <v>LA England - Islington</v>
      </c>
      <c r="D328" s="51">
        <f t="shared" si="75"/>
        <v>91976</v>
      </c>
      <c r="E328" s="51">
        <f t="shared" si="76"/>
        <v>103641</v>
      </c>
      <c r="F328" s="52">
        <f t="shared" si="77"/>
        <v>220373</v>
      </c>
      <c r="G328" s="52">
        <f t="shared" si="78"/>
        <v>104519</v>
      </c>
      <c r="H328" s="52">
        <f t="shared" si="79"/>
        <v>115854</v>
      </c>
      <c r="I328" s="697">
        <f t="shared" si="83"/>
        <v>91976</v>
      </c>
      <c r="J328" s="53">
        <f t="shared" si="84"/>
        <v>103641</v>
      </c>
      <c r="K328" s="50">
        <f t="shared" si="80"/>
        <v>18360</v>
      </c>
      <c r="L328" s="51">
        <f t="shared" si="8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
      <c r="A329" s="31" t="s">
        <v>92</v>
      </c>
      <c r="B329" s="1" t="s">
        <v>409</v>
      </c>
      <c r="C329" s="30" t="str">
        <f t="shared" si="82"/>
        <v>LA England - Kensington and Chelsea</v>
      </c>
      <c r="D329" s="51">
        <f t="shared" si="75"/>
        <v>60667</v>
      </c>
      <c r="E329" s="51">
        <f t="shared" si="76"/>
        <v>70425</v>
      </c>
      <c r="F329" s="52">
        <f t="shared" si="77"/>
        <v>146154</v>
      </c>
      <c r="G329" s="52">
        <f t="shared" si="78"/>
        <v>68296</v>
      </c>
      <c r="H329" s="52">
        <f t="shared" si="79"/>
        <v>77858</v>
      </c>
      <c r="I329" s="697">
        <f t="shared" si="83"/>
        <v>60667</v>
      </c>
      <c r="J329" s="53">
        <f t="shared" si="84"/>
        <v>70425</v>
      </c>
      <c r="K329" s="50">
        <f t="shared" si="80"/>
        <v>11371</v>
      </c>
      <c r="L329" s="51">
        <f t="shared" si="8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
      <c r="A330" s="31" t="s">
        <v>92</v>
      </c>
      <c r="B330" s="1" t="s">
        <v>410</v>
      </c>
      <c r="C330" s="30" t="str">
        <f t="shared" si="82"/>
        <v>LA England - King's Lynn and West Norfolk</v>
      </c>
      <c r="D330" s="51">
        <f t="shared" ref="D330:D393" si="85">I330</f>
        <v>66443</v>
      </c>
      <c r="E330" s="51">
        <f t="shared" ref="E330:E393" si="86">J330</f>
        <v>70216</v>
      </c>
      <c r="F330" s="52">
        <f t="shared" ref="F330:F393" si="87">G330+H330</f>
        <v>155741</v>
      </c>
      <c r="G330" s="52">
        <f t="shared" ref="G330:G393" si="88">SUM(M330:CY330)</f>
        <v>76209</v>
      </c>
      <c r="H330" s="52">
        <f t="shared" ref="H330:H393" si="89">SUM(CZ330:GL330)</f>
        <v>79532</v>
      </c>
      <c r="I330" s="697">
        <f t="shared" si="83"/>
        <v>66443</v>
      </c>
      <c r="J330" s="53">
        <f t="shared" si="84"/>
        <v>70216</v>
      </c>
      <c r="K330" s="50">
        <f t="shared" ref="K330:K390" si="90">SUM(M330:AD330)</f>
        <v>14740</v>
      </c>
      <c r="L330" s="51">
        <f t="shared" ref="L330:L393" si="9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
      <c r="A331" s="31" t="s">
        <v>92</v>
      </c>
      <c r="B331" s="1" t="s">
        <v>411</v>
      </c>
      <c r="C331" s="30" t="str">
        <f t="shared" si="82"/>
        <v>LA England - Kingston upon Hull, City of</v>
      </c>
      <c r="D331" s="51">
        <f t="shared" si="85"/>
        <v>113980</v>
      </c>
      <c r="E331" s="51">
        <f t="shared" si="86"/>
        <v>114532</v>
      </c>
      <c r="F331" s="52">
        <f t="shared" si="87"/>
        <v>268852</v>
      </c>
      <c r="G331" s="52">
        <f t="shared" si="88"/>
        <v>134568</v>
      </c>
      <c r="H331" s="52">
        <f t="shared" si="89"/>
        <v>134284</v>
      </c>
      <c r="I331" s="697">
        <f t="shared" si="83"/>
        <v>113980</v>
      </c>
      <c r="J331" s="53">
        <f t="shared" si="84"/>
        <v>114532</v>
      </c>
      <c r="K331" s="50">
        <f t="shared" si="90"/>
        <v>30800</v>
      </c>
      <c r="L331" s="51">
        <f t="shared" si="9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
      <c r="A332" s="31" t="s">
        <v>92</v>
      </c>
      <c r="B332" s="1" t="s">
        <v>412</v>
      </c>
      <c r="C332" s="30" t="str">
        <f t="shared" ref="C332:C395" si="92">CONCATENATE(A332," - ",B332)</f>
        <v>LA England - Kingston upon Thames</v>
      </c>
      <c r="D332" s="51">
        <f t="shared" si="85"/>
        <v>68663</v>
      </c>
      <c r="E332" s="51">
        <f t="shared" si="86"/>
        <v>75628</v>
      </c>
      <c r="F332" s="52">
        <f t="shared" si="87"/>
        <v>168302</v>
      </c>
      <c r="G332" s="52">
        <f t="shared" si="88"/>
        <v>80907</v>
      </c>
      <c r="H332" s="52">
        <f t="shared" si="89"/>
        <v>87395</v>
      </c>
      <c r="I332" s="697">
        <f t="shared" si="83"/>
        <v>68663</v>
      </c>
      <c r="J332" s="53">
        <f t="shared" si="84"/>
        <v>75628</v>
      </c>
      <c r="K332" s="50">
        <f t="shared" si="90"/>
        <v>18402</v>
      </c>
      <c r="L332" s="51">
        <f t="shared" si="9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
      <c r="A333" s="31" t="s">
        <v>92</v>
      </c>
      <c r="B333" s="1" t="s">
        <v>413</v>
      </c>
      <c r="C333" s="30" t="str">
        <f t="shared" si="92"/>
        <v>LA England - Kirklees</v>
      </c>
      <c r="D333" s="51">
        <f t="shared" si="85"/>
        <v>182141</v>
      </c>
      <c r="E333" s="51">
        <f t="shared" si="86"/>
        <v>191145</v>
      </c>
      <c r="F333" s="52">
        <f t="shared" si="87"/>
        <v>437593</v>
      </c>
      <c r="G333" s="52">
        <f t="shared" si="88"/>
        <v>215001</v>
      </c>
      <c r="H333" s="52">
        <f t="shared" si="89"/>
        <v>222592</v>
      </c>
      <c r="I333" s="697">
        <f t="shared" si="83"/>
        <v>182141</v>
      </c>
      <c r="J333" s="53">
        <f t="shared" si="84"/>
        <v>191145</v>
      </c>
      <c r="K333" s="50">
        <f t="shared" si="90"/>
        <v>50483</v>
      </c>
      <c r="L333" s="51">
        <f t="shared" si="9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
      <c r="A334" s="31" t="s">
        <v>92</v>
      </c>
      <c r="B334" s="1" t="s">
        <v>414</v>
      </c>
      <c r="C334" s="30" t="str">
        <f t="shared" si="92"/>
        <v>LA England - Knowsley</v>
      </c>
      <c r="D334" s="51">
        <f t="shared" si="85"/>
        <v>63059</v>
      </c>
      <c r="E334" s="51">
        <f t="shared" si="86"/>
        <v>70382</v>
      </c>
      <c r="F334" s="52">
        <f t="shared" si="87"/>
        <v>157103</v>
      </c>
      <c r="G334" s="52">
        <f t="shared" si="88"/>
        <v>75222</v>
      </c>
      <c r="H334" s="52">
        <f t="shared" si="89"/>
        <v>81881</v>
      </c>
      <c r="I334" s="697">
        <f t="shared" si="83"/>
        <v>63059</v>
      </c>
      <c r="J334" s="53">
        <f t="shared" si="84"/>
        <v>70382</v>
      </c>
      <c r="K334" s="50">
        <f t="shared" si="90"/>
        <v>17882</v>
      </c>
      <c r="L334" s="51">
        <f t="shared" si="9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
      <c r="A335" s="31" t="s">
        <v>92</v>
      </c>
      <c r="B335" s="1" t="s">
        <v>415</v>
      </c>
      <c r="C335" s="30" t="str">
        <f t="shared" si="92"/>
        <v>LA England - Lambeth</v>
      </c>
      <c r="D335" s="51">
        <f t="shared" si="85"/>
        <v>135713</v>
      </c>
      <c r="E335" s="51">
        <f t="shared" si="86"/>
        <v>146088</v>
      </c>
      <c r="F335" s="52">
        <f t="shared" si="87"/>
        <v>316812</v>
      </c>
      <c r="G335" s="52">
        <f t="shared" si="88"/>
        <v>153533</v>
      </c>
      <c r="H335" s="52">
        <f t="shared" si="89"/>
        <v>163279</v>
      </c>
      <c r="I335" s="697">
        <f t="shared" si="83"/>
        <v>135713</v>
      </c>
      <c r="J335" s="53">
        <f t="shared" si="84"/>
        <v>146088</v>
      </c>
      <c r="K335" s="50">
        <f t="shared" si="90"/>
        <v>27090</v>
      </c>
      <c r="L335" s="51">
        <f t="shared" si="9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
      <c r="A336" s="31" t="s">
        <v>92</v>
      </c>
      <c r="B336" s="1" t="s">
        <v>416</v>
      </c>
      <c r="C336" s="30" t="str">
        <f t="shared" si="92"/>
        <v>LA England - Lancaster</v>
      </c>
      <c r="D336" s="51">
        <f t="shared" si="85"/>
        <v>61955</v>
      </c>
      <c r="E336" s="51">
        <f t="shared" si="86"/>
        <v>65337</v>
      </c>
      <c r="F336" s="52">
        <f t="shared" si="87"/>
        <v>144446</v>
      </c>
      <c r="G336" s="52">
        <f t="shared" si="88"/>
        <v>70625</v>
      </c>
      <c r="H336" s="52">
        <f t="shared" si="89"/>
        <v>73821</v>
      </c>
      <c r="I336" s="697">
        <f t="shared" si="83"/>
        <v>61955</v>
      </c>
      <c r="J336" s="53">
        <f t="shared" si="84"/>
        <v>65337</v>
      </c>
      <c r="K336" s="50">
        <f t="shared" si="90"/>
        <v>13323</v>
      </c>
      <c r="L336" s="51">
        <f t="shared" si="9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
      <c r="A337" s="31" t="s">
        <v>92</v>
      </c>
      <c r="B337" s="1" t="s">
        <v>417</v>
      </c>
      <c r="C337" s="30" t="str">
        <f t="shared" si="92"/>
        <v>LA England - Leeds</v>
      </c>
      <c r="D337" s="51">
        <f t="shared" si="85"/>
        <v>342974</v>
      </c>
      <c r="E337" s="51">
        <f t="shared" si="86"/>
        <v>363499</v>
      </c>
      <c r="F337" s="52">
        <f t="shared" si="87"/>
        <v>822483</v>
      </c>
      <c r="G337" s="52">
        <f t="shared" si="88"/>
        <v>402324</v>
      </c>
      <c r="H337" s="52">
        <f t="shared" si="89"/>
        <v>420159</v>
      </c>
      <c r="I337" s="697">
        <f t="shared" si="83"/>
        <v>342974</v>
      </c>
      <c r="J337" s="53">
        <f t="shared" si="84"/>
        <v>363499</v>
      </c>
      <c r="K337" s="50">
        <f t="shared" si="90"/>
        <v>88464</v>
      </c>
      <c r="L337" s="51">
        <f t="shared" si="9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
      <c r="A338" s="31" t="s">
        <v>92</v>
      </c>
      <c r="B338" s="1" t="s">
        <v>418</v>
      </c>
      <c r="C338" s="30" t="str">
        <f t="shared" si="92"/>
        <v>LA England - Leicester</v>
      </c>
      <c r="D338" s="51">
        <f t="shared" si="85"/>
        <v>156728</v>
      </c>
      <c r="E338" s="51">
        <f t="shared" si="86"/>
        <v>159274</v>
      </c>
      <c r="F338" s="52">
        <f t="shared" si="87"/>
        <v>373399</v>
      </c>
      <c r="G338" s="52">
        <f t="shared" si="88"/>
        <v>186254</v>
      </c>
      <c r="H338" s="52">
        <f t="shared" si="89"/>
        <v>187145</v>
      </c>
      <c r="I338" s="697">
        <f t="shared" si="83"/>
        <v>156728</v>
      </c>
      <c r="J338" s="53">
        <f t="shared" si="84"/>
        <v>159274</v>
      </c>
      <c r="K338" s="50">
        <f t="shared" si="90"/>
        <v>45410</v>
      </c>
      <c r="L338" s="51">
        <f t="shared" si="9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
      <c r="A339" s="31" t="s">
        <v>92</v>
      </c>
      <c r="B339" s="1" t="s">
        <v>419</v>
      </c>
      <c r="C339" s="30" t="str">
        <f t="shared" si="92"/>
        <v>LA England - Lewes</v>
      </c>
      <c r="D339" s="51">
        <f t="shared" si="85"/>
        <v>42216</v>
      </c>
      <c r="E339" s="51">
        <f t="shared" si="86"/>
        <v>46442</v>
      </c>
      <c r="F339" s="52">
        <f t="shared" si="87"/>
        <v>100677</v>
      </c>
      <c r="G339" s="52">
        <f t="shared" si="88"/>
        <v>48428</v>
      </c>
      <c r="H339" s="52">
        <f t="shared" si="89"/>
        <v>52249</v>
      </c>
      <c r="I339" s="697">
        <f t="shared" si="83"/>
        <v>42216</v>
      </c>
      <c r="J339" s="53">
        <f t="shared" si="84"/>
        <v>46442</v>
      </c>
      <c r="K339" s="50">
        <f t="shared" si="90"/>
        <v>9795</v>
      </c>
      <c r="L339" s="51">
        <f t="shared" si="9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
      <c r="A340" s="31" t="s">
        <v>92</v>
      </c>
      <c r="B340" s="1" t="s">
        <v>420</v>
      </c>
      <c r="C340" s="30" t="str">
        <f t="shared" si="92"/>
        <v>LA England - Lewisham</v>
      </c>
      <c r="D340" s="51">
        <f t="shared" si="85"/>
        <v>119510</v>
      </c>
      <c r="E340" s="51">
        <f t="shared" si="86"/>
        <v>135962</v>
      </c>
      <c r="F340" s="52">
        <f t="shared" si="87"/>
        <v>298653</v>
      </c>
      <c r="G340" s="52">
        <f t="shared" si="88"/>
        <v>141527</v>
      </c>
      <c r="H340" s="52">
        <f t="shared" si="89"/>
        <v>157126</v>
      </c>
      <c r="I340" s="697">
        <f t="shared" si="83"/>
        <v>119510</v>
      </c>
      <c r="J340" s="53">
        <f t="shared" si="84"/>
        <v>135962</v>
      </c>
      <c r="K340" s="50">
        <f t="shared" si="90"/>
        <v>32214</v>
      </c>
      <c r="L340" s="51">
        <f t="shared" si="9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
      <c r="A341" s="31" t="s">
        <v>92</v>
      </c>
      <c r="B341" s="1" t="s">
        <v>421</v>
      </c>
      <c r="C341" s="30" t="str">
        <f t="shared" si="92"/>
        <v>LA England - Lichfield</v>
      </c>
      <c r="D341" s="51">
        <f t="shared" si="85"/>
        <v>46669</v>
      </c>
      <c r="E341" s="51">
        <f t="shared" si="86"/>
        <v>48177</v>
      </c>
      <c r="F341" s="52">
        <f t="shared" si="87"/>
        <v>108352</v>
      </c>
      <c r="G341" s="52">
        <f t="shared" si="88"/>
        <v>53454</v>
      </c>
      <c r="H341" s="52">
        <f t="shared" si="89"/>
        <v>54898</v>
      </c>
      <c r="I341" s="697">
        <f t="shared" si="83"/>
        <v>46669</v>
      </c>
      <c r="J341" s="53">
        <f t="shared" si="84"/>
        <v>48177</v>
      </c>
      <c r="K341" s="50">
        <f t="shared" si="90"/>
        <v>10439</v>
      </c>
      <c r="L341" s="51">
        <f t="shared" si="9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
      <c r="A342" s="31" t="s">
        <v>92</v>
      </c>
      <c r="B342" s="1" t="s">
        <v>422</v>
      </c>
      <c r="C342" s="30" t="str">
        <f t="shared" si="92"/>
        <v>LA England - Lincoln</v>
      </c>
      <c r="D342" s="51">
        <f t="shared" si="85"/>
        <v>44393</v>
      </c>
      <c r="E342" s="51">
        <f t="shared" si="86"/>
        <v>45522</v>
      </c>
      <c r="F342" s="52">
        <f t="shared" si="87"/>
        <v>102545</v>
      </c>
      <c r="G342" s="52">
        <f t="shared" si="88"/>
        <v>50965</v>
      </c>
      <c r="H342" s="52">
        <f t="shared" si="89"/>
        <v>51580</v>
      </c>
      <c r="I342" s="697">
        <f t="shared" si="83"/>
        <v>44393</v>
      </c>
      <c r="J342" s="53">
        <f t="shared" si="84"/>
        <v>45522</v>
      </c>
      <c r="K342" s="50">
        <f t="shared" si="90"/>
        <v>9844</v>
      </c>
      <c r="L342" s="51">
        <f t="shared" si="9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
      <c r="A343" s="31" t="s">
        <v>92</v>
      </c>
      <c r="B343" s="1" t="s">
        <v>423</v>
      </c>
      <c r="C343" s="30" t="str">
        <f t="shared" si="92"/>
        <v>LA England - Liverpool</v>
      </c>
      <c r="D343" s="51">
        <f t="shared" si="85"/>
        <v>210219</v>
      </c>
      <c r="E343" s="51">
        <f t="shared" si="86"/>
        <v>222157</v>
      </c>
      <c r="F343" s="52">
        <f t="shared" si="87"/>
        <v>496770</v>
      </c>
      <c r="G343" s="52">
        <f t="shared" si="88"/>
        <v>243137</v>
      </c>
      <c r="H343" s="52">
        <f t="shared" si="89"/>
        <v>253633</v>
      </c>
      <c r="I343" s="697">
        <f t="shared" si="83"/>
        <v>210219</v>
      </c>
      <c r="J343" s="53">
        <f t="shared" si="84"/>
        <v>222157</v>
      </c>
      <c r="K343" s="50">
        <f t="shared" si="90"/>
        <v>48422</v>
      </c>
      <c r="L343" s="51">
        <f t="shared" si="9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
      <c r="A344" s="31" t="s">
        <v>92</v>
      </c>
      <c r="B344" s="1" t="s">
        <v>424</v>
      </c>
      <c r="C344" s="30" t="str">
        <f t="shared" si="92"/>
        <v>LA England - Luton</v>
      </c>
      <c r="D344" s="51">
        <f t="shared" si="85"/>
        <v>94452</v>
      </c>
      <c r="E344" s="51">
        <f t="shared" si="86"/>
        <v>92825</v>
      </c>
      <c r="F344" s="52">
        <f t="shared" si="87"/>
        <v>226973</v>
      </c>
      <c r="G344" s="52">
        <f t="shared" si="88"/>
        <v>114850</v>
      </c>
      <c r="H344" s="52">
        <f t="shared" si="89"/>
        <v>112123</v>
      </c>
      <c r="I344" s="697">
        <f t="shared" si="83"/>
        <v>94452</v>
      </c>
      <c r="J344" s="53">
        <f t="shared" si="84"/>
        <v>92825</v>
      </c>
      <c r="K344" s="50">
        <f t="shared" si="90"/>
        <v>30512</v>
      </c>
      <c r="L344" s="51">
        <f t="shared" si="9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
      <c r="A345" s="31" t="s">
        <v>92</v>
      </c>
      <c r="B345" s="1" t="s">
        <v>425</v>
      </c>
      <c r="C345" s="30" t="str">
        <f t="shared" si="92"/>
        <v>LA England - Maidstone</v>
      </c>
      <c r="D345" s="51">
        <f t="shared" si="85"/>
        <v>75201</v>
      </c>
      <c r="E345" s="51">
        <f t="shared" si="86"/>
        <v>78537</v>
      </c>
      <c r="F345" s="52">
        <f t="shared" si="87"/>
        <v>180428</v>
      </c>
      <c r="G345" s="52">
        <f t="shared" si="88"/>
        <v>88991</v>
      </c>
      <c r="H345" s="52">
        <f t="shared" si="89"/>
        <v>91437</v>
      </c>
      <c r="I345" s="697">
        <f t="shared" si="83"/>
        <v>75201</v>
      </c>
      <c r="J345" s="53">
        <f t="shared" si="84"/>
        <v>78537</v>
      </c>
      <c r="K345" s="50">
        <f t="shared" si="90"/>
        <v>20254</v>
      </c>
      <c r="L345" s="51">
        <f t="shared" si="9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
      <c r="A346" s="31" t="s">
        <v>92</v>
      </c>
      <c r="B346" s="1" t="s">
        <v>426</v>
      </c>
      <c r="C346" s="30" t="str">
        <f t="shared" si="92"/>
        <v>LA England - Maldon</v>
      </c>
      <c r="D346" s="51">
        <f t="shared" si="85"/>
        <v>28896</v>
      </c>
      <c r="E346" s="51">
        <f t="shared" si="86"/>
        <v>30548</v>
      </c>
      <c r="F346" s="52">
        <f t="shared" si="87"/>
        <v>67554</v>
      </c>
      <c r="G346" s="52">
        <f t="shared" si="88"/>
        <v>33035</v>
      </c>
      <c r="H346" s="52">
        <f t="shared" si="89"/>
        <v>34519</v>
      </c>
      <c r="I346" s="697">
        <f t="shared" si="83"/>
        <v>28896</v>
      </c>
      <c r="J346" s="53">
        <f t="shared" si="84"/>
        <v>30548</v>
      </c>
      <c r="K346" s="50">
        <f t="shared" si="90"/>
        <v>6417</v>
      </c>
      <c r="L346" s="51">
        <f t="shared" si="9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
      <c r="A347" s="31" t="s">
        <v>92</v>
      </c>
      <c r="B347" s="1" t="s">
        <v>427</v>
      </c>
      <c r="C347" s="30" t="str">
        <f t="shared" si="92"/>
        <v>LA England - Malvern Hills</v>
      </c>
      <c r="D347" s="51">
        <f t="shared" si="85"/>
        <v>34844</v>
      </c>
      <c r="E347" s="51">
        <f t="shared" si="86"/>
        <v>37296</v>
      </c>
      <c r="F347" s="52">
        <f t="shared" si="87"/>
        <v>81024</v>
      </c>
      <c r="G347" s="52">
        <f t="shared" si="88"/>
        <v>39376</v>
      </c>
      <c r="H347" s="52">
        <f t="shared" si="89"/>
        <v>41648</v>
      </c>
      <c r="I347" s="697">
        <f t="shared" si="83"/>
        <v>34844</v>
      </c>
      <c r="J347" s="53">
        <f t="shared" si="84"/>
        <v>37296</v>
      </c>
      <c r="K347" s="50">
        <f t="shared" si="90"/>
        <v>7371</v>
      </c>
      <c r="L347" s="51">
        <f t="shared" si="9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
      <c r="A348" s="31" t="s">
        <v>92</v>
      </c>
      <c r="B348" s="1" t="s">
        <v>428</v>
      </c>
      <c r="C348" s="30" t="str">
        <f t="shared" si="92"/>
        <v>LA England - Manchester</v>
      </c>
      <c r="D348" s="51">
        <f t="shared" si="85"/>
        <v>239544</v>
      </c>
      <c r="E348" s="51">
        <f t="shared" si="86"/>
        <v>243980</v>
      </c>
      <c r="F348" s="52">
        <f t="shared" si="87"/>
        <v>568996</v>
      </c>
      <c r="G348" s="52">
        <f t="shared" si="88"/>
        <v>282913</v>
      </c>
      <c r="H348" s="52">
        <f t="shared" si="89"/>
        <v>286083</v>
      </c>
      <c r="I348" s="697">
        <f t="shared" si="83"/>
        <v>239544</v>
      </c>
      <c r="J348" s="53">
        <f t="shared" si="84"/>
        <v>243980</v>
      </c>
      <c r="K348" s="50">
        <f t="shared" si="90"/>
        <v>65304</v>
      </c>
      <c r="L348" s="51">
        <f t="shared" si="9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
      <c r="A349" s="31" t="s">
        <v>92</v>
      </c>
      <c r="B349" s="1" t="s">
        <v>429</v>
      </c>
      <c r="C349" s="30" t="str">
        <f t="shared" si="92"/>
        <v>LA England - Mansfield</v>
      </c>
      <c r="D349" s="51">
        <f t="shared" si="85"/>
        <v>46908</v>
      </c>
      <c r="E349" s="51">
        <f t="shared" si="86"/>
        <v>48926</v>
      </c>
      <c r="F349" s="52">
        <f t="shared" si="87"/>
        <v>111117</v>
      </c>
      <c r="G349" s="52">
        <f t="shared" si="88"/>
        <v>54636</v>
      </c>
      <c r="H349" s="52">
        <f t="shared" si="89"/>
        <v>56481</v>
      </c>
      <c r="I349" s="697">
        <f t="shared" si="83"/>
        <v>46908</v>
      </c>
      <c r="J349" s="53">
        <f t="shared" si="84"/>
        <v>48926</v>
      </c>
      <c r="K349" s="50">
        <f t="shared" si="90"/>
        <v>11672</v>
      </c>
      <c r="L349" s="51">
        <f t="shared" si="9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
      <c r="A350" s="31" t="s">
        <v>92</v>
      </c>
      <c r="B350" s="1" t="s">
        <v>430</v>
      </c>
      <c r="C350" s="30" t="str">
        <f t="shared" si="92"/>
        <v>LA England - Medway</v>
      </c>
      <c r="D350" s="51">
        <f t="shared" si="85"/>
        <v>116203</v>
      </c>
      <c r="E350" s="51">
        <f t="shared" si="86"/>
        <v>122788</v>
      </c>
      <c r="F350" s="52">
        <f t="shared" si="87"/>
        <v>282702</v>
      </c>
      <c r="G350" s="52">
        <f t="shared" si="88"/>
        <v>138474</v>
      </c>
      <c r="H350" s="52">
        <f t="shared" si="89"/>
        <v>144228</v>
      </c>
      <c r="I350" s="697">
        <f t="shared" ref="I350:I413" si="93">SUM(Y350:CY350)</f>
        <v>116203</v>
      </c>
      <c r="J350" s="53">
        <f t="shared" ref="J350:J413" si="94">SUM(DL350:GL350)</f>
        <v>122788</v>
      </c>
      <c r="K350" s="50">
        <f t="shared" si="90"/>
        <v>33330</v>
      </c>
      <c r="L350" s="51">
        <f t="shared" si="9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
      <c r="A351" s="31" t="s">
        <v>92</v>
      </c>
      <c r="B351" s="1" t="s">
        <v>431</v>
      </c>
      <c r="C351" s="30" t="str">
        <f t="shared" si="92"/>
        <v>LA England - Melton</v>
      </c>
      <c r="D351" s="51">
        <f t="shared" si="85"/>
        <v>22270</v>
      </c>
      <c r="E351" s="51">
        <f t="shared" si="86"/>
        <v>23705</v>
      </c>
      <c r="F351" s="52">
        <f t="shared" si="87"/>
        <v>52433</v>
      </c>
      <c r="G351" s="52">
        <f t="shared" si="88"/>
        <v>25534</v>
      </c>
      <c r="H351" s="52">
        <f t="shared" si="89"/>
        <v>26899</v>
      </c>
      <c r="I351" s="697">
        <f t="shared" si="93"/>
        <v>22270</v>
      </c>
      <c r="J351" s="53">
        <f t="shared" si="94"/>
        <v>23705</v>
      </c>
      <c r="K351" s="50">
        <f t="shared" si="90"/>
        <v>5063</v>
      </c>
      <c r="L351" s="51">
        <f t="shared" si="9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
      <c r="A352" s="31" t="s">
        <v>92</v>
      </c>
      <c r="B352" s="1" t="s">
        <v>432</v>
      </c>
      <c r="C352" s="30" t="str">
        <f t="shared" si="92"/>
        <v>LA England - Merton</v>
      </c>
      <c r="D352" s="51">
        <f t="shared" si="85"/>
        <v>88088</v>
      </c>
      <c r="E352" s="51">
        <f t="shared" si="86"/>
        <v>94867</v>
      </c>
      <c r="F352" s="52">
        <f t="shared" si="87"/>
        <v>214709</v>
      </c>
      <c r="G352" s="52">
        <f t="shared" si="88"/>
        <v>104479</v>
      </c>
      <c r="H352" s="52">
        <f t="shared" si="89"/>
        <v>110230</v>
      </c>
      <c r="I352" s="697">
        <f t="shared" si="93"/>
        <v>88088</v>
      </c>
      <c r="J352" s="53">
        <f t="shared" si="94"/>
        <v>94867</v>
      </c>
      <c r="K352" s="50">
        <f t="shared" si="90"/>
        <v>24307</v>
      </c>
      <c r="L352" s="51">
        <f t="shared" si="9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
      <c r="A353" s="31" t="s">
        <v>92</v>
      </c>
      <c r="B353" s="1" t="s">
        <v>433</v>
      </c>
      <c r="C353" s="30" t="str">
        <f t="shared" si="92"/>
        <v>LA England - Mid Devon</v>
      </c>
      <c r="D353" s="51">
        <f t="shared" si="85"/>
        <v>35560</v>
      </c>
      <c r="E353" s="51">
        <f t="shared" si="86"/>
        <v>37768</v>
      </c>
      <c r="F353" s="52">
        <f t="shared" si="87"/>
        <v>83786</v>
      </c>
      <c r="G353" s="52">
        <f t="shared" si="88"/>
        <v>40955</v>
      </c>
      <c r="H353" s="52">
        <f t="shared" si="89"/>
        <v>42831</v>
      </c>
      <c r="I353" s="697">
        <f t="shared" si="93"/>
        <v>35560</v>
      </c>
      <c r="J353" s="53">
        <f t="shared" si="94"/>
        <v>37768</v>
      </c>
      <c r="K353" s="50">
        <f t="shared" si="90"/>
        <v>8640</v>
      </c>
      <c r="L353" s="51">
        <f t="shared" si="9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
      <c r="A354" s="31" t="s">
        <v>92</v>
      </c>
      <c r="B354" s="1" t="s">
        <v>434</v>
      </c>
      <c r="C354" s="30" t="str">
        <f t="shared" si="92"/>
        <v>LA England - Mid Suffolk</v>
      </c>
      <c r="D354" s="51">
        <f t="shared" si="85"/>
        <v>45826</v>
      </c>
      <c r="E354" s="51">
        <f t="shared" si="86"/>
        <v>47556</v>
      </c>
      <c r="F354" s="52">
        <f t="shared" si="87"/>
        <v>105723</v>
      </c>
      <c r="G354" s="52">
        <f t="shared" si="88"/>
        <v>52191</v>
      </c>
      <c r="H354" s="52">
        <f t="shared" si="89"/>
        <v>53532</v>
      </c>
      <c r="I354" s="697">
        <f t="shared" si="93"/>
        <v>45826</v>
      </c>
      <c r="J354" s="53">
        <f t="shared" si="94"/>
        <v>47556</v>
      </c>
      <c r="K354" s="50">
        <f t="shared" si="90"/>
        <v>9900</v>
      </c>
      <c r="L354" s="51">
        <f t="shared" si="9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
      <c r="A355" s="31" t="s">
        <v>92</v>
      </c>
      <c r="B355" s="1" t="s">
        <v>435</v>
      </c>
      <c r="C355" s="30" t="str">
        <f t="shared" si="92"/>
        <v>LA England - Mid Sussex</v>
      </c>
      <c r="D355" s="51">
        <f t="shared" si="85"/>
        <v>64084</v>
      </c>
      <c r="E355" s="51">
        <f t="shared" si="86"/>
        <v>68828</v>
      </c>
      <c r="F355" s="52">
        <f t="shared" si="87"/>
        <v>154930</v>
      </c>
      <c r="G355" s="52">
        <f t="shared" si="88"/>
        <v>75265</v>
      </c>
      <c r="H355" s="52">
        <f t="shared" si="89"/>
        <v>79665</v>
      </c>
      <c r="I355" s="697">
        <f t="shared" si="93"/>
        <v>64084</v>
      </c>
      <c r="J355" s="53">
        <f t="shared" si="94"/>
        <v>68828</v>
      </c>
      <c r="K355" s="50">
        <f t="shared" si="90"/>
        <v>17116</v>
      </c>
      <c r="L355" s="51">
        <f t="shared" si="9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
      <c r="A356" s="31" t="s">
        <v>92</v>
      </c>
      <c r="B356" s="1" t="s">
        <v>436</v>
      </c>
      <c r="C356" s="30" t="str">
        <f t="shared" si="92"/>
        <v>LA England - Middlesbrough</v>
      </c>
      <c r="D356" s="51">
        <f t="shared" si="85"/>
        <v>62170</v>
      </c>
      <c r="E356" s="51">
        <f t="shared" si="86"/>
        <v>63133</v>
      </c>
      <c r="F356" s="52">
        <f t="shared" si="87"/>
        <v>148285</v>
      </c>
      <c r="G356" s="52">
        <f t="shared" si="88"/>
        <v>73893</v>
      </c>
      <c r="H356" s="52">
        <f t="shared" si="89"/>
        <v>74392</v>
      </c>
      <c r="I356" s="697">
        <f t="shared" si="93"/>
        <v>62170</v>
      </c>
      <c r="J356" s="53">
        <f t="shared" si="94"/>
        <v>63133</v>
      </c>
      <c r="K356" s="50">
        <f t="shared" si="90"/>
        <v>17452</v>
      </c>
      <c r="L356" s="51">
        <f t="shared" si="9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
      <c r="A357" s="31" t="s">
        <v>92</v>
      </c>
      <c r="B357" s="1" t="s">
        <v>437</v>
      </c>
      <c r="C357" s="30" t="str">
        <f t="shared" si="92"/>
        <v>LA England - Milton Keynes</v>
      </c>
      <c r="D357" s="51">
        <f t="shared" si="85"/>
        <v>120373</v>
      </c>
      <c r="E357" s="51">
        <f t="shared" si="86"/>
        <v>125153</v>
      </c>
      <c r="F357" s="52">
        <f t="shared" si="87"/>
        <v>292180</v>
      </c>
      <c r="G357" s="52">
        <f t="shared" si="88"/>
        <v>144248</v>
      </c>
      <c r="H357" s="52">
        <f t="shared" si="89"/>
        <v>147932</v>
      </c>
      <c r="I357" s="697">
        <f t="shared" si="93"/>
        <v>120373</v>
      </c>
      <c r="J357" s="53">
        <f t="shared" si="94"/>
        <v>125153</v>
      </c>
      <c r="K357" s="50">
        <f t="shared" si="90"/>
        <v>36414</v>
      </c>
      <c r="L357" s="51">
        <f t="shared" si="9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
      <c r="A358" s="31" t="s">
        <v>92</v>
      </c>
      <c r="B358" s="1" t="s">
        <v>438</v>
      </c>
      <c r="C358" s="30" t="str">
        <f t="shared" si="92"/>
        <v>LA England - Mole Valley</v>
      </c>
      <c r="D358" s="51">
        <f t="shared" si="85"/>
        <v>37252</v>
      </c>
      <c r="E358" s="51">
        <f t="shared" si="86"/>
        <v>39762</v>
      </c>
      <c r="F358" s="52">
        <f t="shared" si="87"/>
        <v>87769</v>
      </c>
      <c r="G358" s="52">
        <f t="shared" si="88"/>
        <v>42730</v>
      </c>
      <c r="H358" s="52">
        <f t="shared" si="89"/>
        <v>45039</v>
      </c>
      <c r="I358" s="697">
        <f t="shared" si="93"/>
        <v>37252</v>
      </c>
      <c r="J358" s="53">
        <f t="shared" si="94"/>
        <v>39762</v>
      </c>
      <c r="K358" s="50">
        <f t="shared" si="90"/>
        <v>8752</v>
      </c>
      <c r="L358" s="51">
        <f t="shared" si="9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
      <c r="A359" s="31" t="s">
        <v>92</v>
      </c>
      <c r="B359" s="1" t="s">
        <v>439</v>
      </c>
      <c r="C359" s="30" t="str">
        <f t="shared" si="92"/>
        <v>LA England - New Forest</v>
      </c>
      <c r="D359" s="51">
        <f t="shared" si="85"/>
        <v>74624</v>
      </c>
      <c r="E359" s="51">
        <f t="shared" si="86"/>
        <v>81925</v>
      </c>
      <c r="F359" s="52">
        <f t="shared" si="87"/>
        <v>175942</v>
      </c>
      <c r="G359" s="52">
        <f t="shared" si="88"/>
        <v>84573</v>
      </c>
      <c r="H359" s="52">
        <f t="shared" si="89"/>
        <v>91369</v>
      </c>
      <c r="I359" s="697">
        <f t="shared" si="93"/>
        <v>74624</v>
      </c>
      <c r="J359" s="53">
        <f t="shared" si="94"/>
        <v>81925</v>
      </c>
      <c r="K359" s="50">
        <f t="shared" si="90"/>
        <v>15612</v>
      </c>
      <c r="L359" s="51">
        <f t="shared" si="9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
      <c r="A360" s="31" t="s">
        <v>92</v>
      </c>
      <c r="B360" s="1" t="s">
        <v>440</v>
      </c>
      <c r="C360" s="30" t="str">
        <f t="shared" si="92"/>
        <v>LA England - Newark and Sherwood</v>
      </c>
      <c r="D360" s="51">
        <f t="shared" si="85"/>
        <v>53516</v>
      </c>
      <c r="E360" s="51">
        <f t="shared" si="86"/>
        <v>55692</v>
      </c>
      <c r="F360" s="52">
        <f t="shared" si="87"/>
        <v>125089</v>
      </c>
      <c r="G360" s="52">
        <f t="shared" si="88"/>
        <v>61623</v>
      </c>
      <c r="H360" s="52">
        <f t="shared" si="89"/>
        <v>63466</v>
      </c>
      <c r="I360" s="697">
        <f t="shared" si="93"/>
        <v>53516</v>
      </c>
      <c r="J360" s="53">
        <f t="shared" si="94"/>
        <v>55692</v>
      </c>
      <c r="K360" s="50">
        <f t="shared" si="90"/>
        <v>12312</v>
      </c>
      <c r="L360" s="51">
        <f t="shared" si="9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
      <c r="A361" s="31" t="s">
        <v>92</v>
      </c>
      <c r="B361" s="1" t="s">
        <v>441</v>
      </c>
      <c r="C361" s="30" t="str">
        <f t="shared" si="92"/>
        <v>LA England - Newcastle upon Tyne</v>
      </c>
      <c r="D361" s="51">
        <f t="shared" si="85"/>
        <v>132218</v>
      </c>
      <c r="E361" s="51">
        <f t="shared" si="86"/>
        <v>135692</v>
      </c>
      <c r="F361" s="52">
        <f t="shared" si="87"/>
        <v>307565</v>
      </c>
      <c r="G361" s="52">
        <f t="shared" si="88"/>
        <v>152597</v>
      </c>
      <c r="H361" s="52">
        <f t="shared" si="89"/>
        <v>154968</v>
      </c>
      <c r="I361" s="697">
        <f t="shared" si="93"/>
        <v>132218</v>
      </c>
      <c r="J361" s="53">
        <f t="shared" si="94"/>
        <v>135692</v>
      </c>
      <c r="K361" s="50">
        <f t="shared" si="90"/>
        <v>30299</v>
      </c>
      <c r="L361" s="51">
        <f t="shared" si="9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
      <c r="A362" s="31" t="s">
        <v>92</v>
      </c>
      <c r="B362" s="1" t="s">
        <v>442</v>
      </c>
      <c r="C362" s="30" t="str">
        <f t="shared" si="92"/>
        <v>LA England - Newcastle-under-Lyme</v>
      </c>
      <c r="D362" s="51">
        <f t="shared" si="85"/>
        <v>53632</v>
      </c>
      <c r="E362" s="51">
        <f t="shared" si="86"/>
        <v>56719</v>
      </c>
      <c r="F362" s="52">
        <f t="shared" si="87"/>
        <v>125297</v>
      </c>
      <c r="G362" s="52">
        <f t="shared" si="88"/>
        <v>61266</v>
      </c>
      <c r="H362" s="52">
        <f t="shared" si="89"/>
        <v>64031</v>
      </c>
      <c r="I362" s="697">
        <f t="shared" si="93"/>
        <v>53632</v>
      </c>
      <c r="J362" s="53">
        <f t="shared" si="94"/>
        <v>56719</v>
      </c>
      <c r="K362" s="50">
        <f t="shared" si="90"/>
        <v>11796</v>
      </c>
      <c r="L362" s="51">
        <f t="shared" si="9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
      <c r="A363" s="31" t="s">
        <v>92</v>
      </c>
      <c r="B363" s="1" t="s">
        <v>443</v>
      </c>
      <c r="C363" s="30" t="str">
        <f t="shared" si="92"/>
        <v>LA England - Newham</v>
      </c>
      <c r="D363" s="51">
        <f t="shared" si="85"/>
        <v>151752</v>
      </c>
      <c r="E363" s="51">
        <f t="shared" si="86"/>
        <v>150400</v>
      </c>
      <c r="F363" s="52">
        <f t="shared" si="87"/>
        <v>358645</v>
      </c>
      <c r="G363" s="52">
        <f t="shared" si="88"/>
        <v>180140</v>
      </c>
      <c r="H363" s="52">
        <f t="shared" si="89"/>
        <v>178505</v>
      </c>
      <c r="I363" s="697">
        <f t="shared" si="93"/>
        <v>151752</v>
      </c>
      <c r="J363" s="53">
        <f t="shared" si="94"/>
        <v>150400</v>
      </c>
      <c r="K363" s="50">
        <f t="shared" si="90"/>
        <v>42193</v>
      </c>
      <c r="L363" s="51">
        <f t="shared" si="9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
      <c r="A364" s="31" t="s">
        <v>92</v>
      </c>
      <c r="B364" s="1" t="s">
        <v>444</v>
      </c>
      <c r="C364" s="30" t="str">
        <f t="shared" si="92"/>
        <v>LA England - North Devon</v>
      </c>
      <c r="D364" s="51">
        <f t="shared" si="85"/>
        <v>42842</v>
      </c>
      <c r="E364" s="51">
        <f t="shared" si="86"/>
        <v>45550</v>
      </c>
      <c r="F364" s="52">
        <f t="shared" si="87"/>
        <v>100505</v>
      </c>
      <c r="G364" s="52">
        <f t="shared" si="88"/>
        <v>49055</v>
      </c>
      <c r="H364" s="52">
        <f t="shared" si="89"/>
        <v>51450</v>
      </c>
      <c r="I364" s="697">
        <f t="shared" si="93"/>
        <v>42842</v>
      </c>
      <c r="J364" s="53">
        <f t="shared" si="94"/>
        <v>45550</v>
      </c>
      <c r="K364" s="50">
        <f t="shared" si="90"/>
        <v>9559</v>
      </c>
      <c r="L364" s="51">
        <f t="shared" si="9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
      <c r="A365" s="31" t="s">
        <v>92</v>
      </c>
      <c r="B365" s="1" t="s">
        <v>445</v>
      </c>
      <c r="C365" s="30" t="str">
        <f t="shared" si="92"/>
        <v>LA England - North East Derbyshire</v>
      </c>
      <c r="D365" s="51">
        <f t="shared" si="85"/>
        <v>44071</v>
      </c>
      <c r="E365" s="51">
        <f t="shared" si="86"/>
        <v>46984</v>
      </c>
      <c r="F365" s="52">
        <f t="shared" si="87"/>
        <v>103783</v>
      </c>
      <c r="G365" s="52">
        <f t="shared" si="88"/>
        <v>50502</v>
      </c>
      <c r="H365" s="52">
        <f t="shared" si="89"/>
        <v>53281</v>
      </c>
      <c r="I365" s="697">
        <f t="shared" si="93"/>
        <v>44071</v>
      </c>
      <c r="J365" s="53">
        <f t="shared" si="94"/>
        <v>46984</v>
      </c>
      <c r="K365" s="50">
        <f t="shared" si="90"/>
        <v>9716</v>
      </c>
      <c r="L365" s="51">
        <f t="shared" si="9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
      <c r="A366" s="31" t="s">
        <v>92</v>
      </c>
      <c r="B366" s="1" t="s">
        <v>446</v>
      </c>
      <c r="C366" s="30" t="str">
        <f t="shared" si="92"/>
        <v>LA England - North East Lincolnshire</v>
      </c>
      <c r="D366" s="51">
        <f t="shared" si="85"/>
        <v>66349</v>
      </c>
      <c r="E366" s="51">
        <f t="shared" si="86"/>
        <v>69769</v>
      </c>
      <c r="F366" s="52">
        <f t="shared" si="87"/>
        <v>157754</v>
      </c>
      <c r="G366" s="52">
        <f t="shared" si="88"/>
        <v>77352</v>
      </c>
      <c r="H366" s="52">
        <f t="shared" si="89"/>
        <v>80402</v>
      </c>
      <c r="I366" s="697">
        <f t="shared" si="93"/>
        <v>66349</v>
      </c>
      <c r="J366" s="53">
        <f t="shared" si="94"/>
        <v>69769</v>
      </c>
      <c r="K366" s="50">
        <f t="shared" si="90"/>
        <v>16981</v>
      </c>
      <c r="L366" s="51">
        <f t="shared" si="9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
      <c r="A367" s="31" t="s">
        <v>92</v>
      </c>
      <c r="B367" s="1" t="s">
        <v>447</v>
      </c>
      <c r="C367" s="30" t="str">
        <f t="shared" si="92"/>
        <v>LA England - North Hertfordshire</v>
      </c>
      <c r="D367" s="51">
        <f t="shared" si="85"/>
        <v>55380</v>
      </c>
      <c r="E367" s="51">
        <f t="shared" si="86"/>
        <v>59769</v>
      </c>
      <c r="F367" s="52">
        <f t="shared" si="87"/>
        <v>134159</v>
      </c>
      <c r="G367" s="52">
        <f t="shared" si="88"/>
        <v>65127</v>
      </c>
      <c r="H367" s="52">
        <f t="shared" si="89"/>
        <v>69032</v>
      </c>
      <c r="I367" s="697">
        <f t="shared" si="93"/>
        <v>55380</v>
      </c>
      <c r="J367" s="53">
        <f t="shared" si="94"/>
        <v>59769</v>
      </c>
      <c r="K367" s="50">
        <f t="shared" si="90"/>
        <v>14630</v>
      </c>
      <c r="L367" s="51">
        <f t="shared" si="9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
      <c r="A368" s="31" t="s">
        <v>92</v>
      </c>
      <c r="B368" s="1" t="s">
        <v>448</v>
      </c>
      <c r="C368" s="30" t="str">
        <f t="shared" si="92"/>
        <v>LA England - North Kesteven</v>
      </c>
      <c r="D368" s="51">
        <f t="shared" si="85"/>
        <v>51225</v>
      </c>
      <c r="E368" s="51">
        <f t="shared" si="86"/>
        <v>53755</v>
      </c>
      <c r="F368" s="52">
        <f t="shared" si="87"/>
        <v>119709</v>
      </c>
      <c r="G368" s="52">
        <f t="shared" si="88"/>
        <v>58672</v>
      </c>
      <c r="H368" s="52">
        <f t="shared" si="89"/>
        <v>61037</v>
      </c>
      <c r="I368" s="697">
        <f t="shared" si="93"/>
        <v>51225</v>
      </c>
      <c r="J368" s="53">
        <f t="shared" si="94"/>
        <v>53755</v>
      </c>
      <c r="K368" s="50">
        <f t="shared" si="90"/>
        <v>11451</v>
      </c>
      <c r="L368" s="51">
        <f t="shared" si="9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
      <c r="A369" s="31" t="s">
        <v>92</v>
      </c>
      <c r="B369" s="1" t="s">
        <v>449</v>
      </c>
      <c r="C369" s="30" t="str">
        <f t="shared" si="92"/>
        <v>LA England - North Lincolnshire</v>
      </c>
      <c r="D369" s="51">
        <f t="shared" si="85"/>
        <v>72739</v>
      </c>
      <c r="E369" s="51">
        <f t="shared" si="86"/>
        <v>75200</v>
      </c>
      <c r="F369" s="52">
        <f t="shared" si="87"/>
        <v>170042</v>
      </c>
      <c r="G369" s="52">
        <f t="shared" si="88"/>
        <v>83843</v>
      </c>
      <c r="H369" s="52">
        <f t="shared" si="89"/>
        <v>86199</v>
      </c>
      <c r="I369" s="697">
        <f t="shared" si="93"/>
        <v>72739</v>
      </c>
      <c r="J369" s="53">
        <f t="shared" si="94"/>
        <v>75200</v>
      </c>
      <c r="K369" s="50">
        <f t="shared" si="90"/>
        <v>17472</v>
      </c>
      <c r="L369" s="51">
        <f t="shared" si="9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
      <c r="A370" s="31" t="s">
        <v>92</v>
      </c>
      <c r="B370" s="1" t="s">
        <v>450</v>
      </c>
      <c r="C370" s="30" t="str">
        <f t="shared" si="92"/>
        <v>LA England - North Norfolk</v>
      </c>
      <c r="D370" s="51">
        <f t="shared" si="85"/>
        <v>45283</v>
      </c>
      <c r="E370" s="51">
        <f t="shared" si="86"/>
        <v>48171</v>
      </c>
      <c r="F370" s="52">
        <f t="shared" si="87"/>
        <v>103227</v>
      </c>
      <c r="G370" s="52">
        <f t="shared" si="88"/>
        <v>50383</v>
      </c>
      <c r="H370" s="52">
        <f t="shared" si="89"/>
        <v>52844</v>
      </c>
      <c r="I370" s="697">
        <f t="shared" si="93"/>
        <v>45283</v>
      </c>
      <c r="J370" s="53">
        <f t="shared" si="94"/>
        <v>48171</v>
      </c>
      <c r="K370" s="50">
        <f t="shared" si="90"/>
        <v>8181</v>
      </c>
      <c r="L370" s="51">
        <f t="shared" si="9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
      <c r="A371" s="31" t="s">
        <v>92</v>
      </c>
      <c r="B371" s="1" t="s">
        <v>451</v>
      </c>
      <c r="C371" s="30" t="str">
        <f t="shared" si="92"/>
        <v>LA England - North Northamptonshire</v>
      </c>
      <c r="D371" s="51">
        <f t="shared" si="85"/>
        <v>152355</v>
      </c>
      <c r="E371" s="51">
        <f t="shared" si="86"/>
        <v>158840</v>
      </c>
      <c r="F371" s="52">
        <f t="shared" si="87"/>
        <v>363408</v>
      </c>
      <c r="G371" s="52">
        <f t="shared" si="88"/>
        <v>179073</v>
      </c>
      <c r="H371" s="52">
        <f t="shared" si="89"/>
        <v>184335</v>
      </c>
      <c r="I371" s="697">
        <f t="shared" si="93"/>
        <v>152355</v>
      </c>
      <c r="J371" s="53">
        <f t="shared" si="94"/>
        <v>158840</v>
      </c>
      <c r="K371" s="50">
        <f t="shared" si="90"/>
        <v>41066</v>
      </c>
      <c r="L371" s="51">
        <f t="shared" si="9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
      <c r="A372" s="31" t="s">
        <v>92</v>
      </c>
      <c r="B372" s="1" t="s">
        <v>452</v>
      </c>
      <c r="C372" s="30" t="str">
        <f t="shared" si="92"/>
        <v>LA England - North Somerset</v>
      </c>
      <c r="D372" s="51">
        <f t="shared" si="85"/>
        <v>92254</v>
      </c>
      <c r="E372" s="51">
        <f t="shared" si="86"/>
        <v>98720</v>
      </c>
      <c r="F372" s="52">
        <f t="shared" si="87"/>
        <v>219145</v>
      </c>
      <c r="G372" s="52">
        <f t="shared" si="88"/>
        <v>106653</v>
      </c>
      <c r="H372" s="52">
        <f t="shared" si="89"/>
        <v>112492</v>
      </c>
      <c r="I372" s="697">
        <f t="shared" si="93"/>
        <v>92254</v>
      </c>
      <c r="J372" s="53">
        <f t="shared" si="94"/>
        <v>98720</v>
      </c>
      <c r="K372" s="50">
        <f t="shared" si="90"/>
        <v>22301</v>
      </c>
      <c r="L372" s="51">
        <f t="shared" si="9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
      <c r="A373" s="31" t="s">
        <v>92</v>
      </c>
      <c r="B373" s="1" t="s">
        <v>453</v>
      </c>
      <c r="C373" s="30" t="str">
        <f t="shared" si="92"/>
        <v>LA England - North Tyneside</v>
      </c>
      <c r="D373" s="51">
        <f t="shared" si="85"/>
        <v>88075</v>
      </c>
      <c r="E373" s="51">
        <f t="shared" si="86"/>
        <v>94856</v>
      </c>
      <c r="F373" s="52">
        <f t="shared" si="87"/>
        <v>210487</v>
      </c>
      <c r="G373" s="52">
        <f t="shared" si="88"/>
        <v>102303</v>
      </c>
      <c r="H373" s="52">
        <f t="shared" si="89"/>
        <v>108184</v>
      </c>
      <c r="I373" s="697">
        <f t="shared" si="93"/>
        <v>88075</v>
      </c>
      <c r="J373" s="53">
        <f t="shared" si="94"/>
        <v>94856</v>
      </c>
      <c r="K373" s="50">
        <f t="shared" si="90"/>
        <v>21839</v>
      </c>
      <c r="L373" s="51">
        <f t="shared" si="9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
      <c r="A374" s="31" t="s">
        <v>92</v>
      </c>
      <c r="B374" s="1" t="s">
        <v>454</v>
      </c>
      <c r="C374" s="30" t="str">
        <f t="shared" si="92"/>
        <v>LA England - North Warwickshire</v>
      </c>
      <c r="D374" s="51">
        <f t="shared" si="85"/>
        <v>27984</v>
      </c>
      <c r="E374" s="51">
        <f t="shared" si="86"/>
        <v>29435</v>
      </c>
      <c r="F374" s="52">
        <f t="shared" si="87"/>
        <v>65946</v>
      </c>
      <c r="G374" s="52">
        <f t="shared" si="88"/>
        <v>32219</v>
      </c>
      <c r="H374" s="52">
        <f t="shared" si="89"/>
        <v>33727</v>
      </c>
      <c r="I374" s="697">
        <f t="shared" si="93"/>
        <v>27984</v>
      </c>
      <c r="J374" s="53">
        <f t="shared" si="94"/>
        <v>29435</v>
      </c>
      <c r="K374" s="50">
        <f t="shared" si="90"/>
        <v>6388</v>
      </c>
      <c r="L374" s="51">
        <f t="shared" si="9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
      <c r="A375" s="31" t="s">
        <v>92</v>
      </c>
      <c r="B375" s="1" t="s">
        <v>455</v>
      </c>
      <c r="C375" s="30" t="str">
        <f t="shared" si="92"/>
        <v>LA England - North West Leicestershire</v>
      </c>
      <c r="D375" s="51">
        <f t="shared" si="85"/>
        <v>45707</v>
      </c>
      <c r="E375" s="51">
        <f t="shared" si="86"/>
        <v>47783</v>
      </c>
      <c r="F375" s="52">
        <f t="shared" si="87"/>
        <v>107672</v>
      </c>
      <c r="G375" s="52">
        <f t="shared" si="88"/>
        <v>52971</v>
      </c>
      <c r="H375" s="52">
        <f t="shared" si="89"/>
        <v>54701</v>
      </c>
      <c r="I375" s="697">
        <f t="shared" si="93"/>
        <v>45707</v>
      </c>
      <c r="J375" s="53">
        <f t="shared" si="94"/>
        <v>47783</v>
      </c>
      <c r="K375" s="50">
        <f t="shared" si="90"/>
        <v>11048</v>
      </c>
      <c r="L375" s="51">
        <f t="shared" si="9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
      <c r="A376" s="31" t="s">
        <v>92</v>
      </c>
      <c r="B376" s="1" t="s">
        <v>456</v>
      </c>
      <c r="C376" s="30" t="str">
        <f t="shared" si="92"/>
        <v>LA England - North Yorkshire</v>
      </c>
      <c r="D376" s="51">
        <f t="shared" si="85"/>
        <v>268534</v>
      </c>
      <c r="E376" s="51">
        <f t="shared" si="86"/>
        <v>282566</v>
      </c>
      <c r="F376" s="52">
        <f t="shared" si="87"/>
        <v>623501</v>
      </c>
      <c r="G376" s="52">
        <f t="shared" si="88"/>
        <v>305722</v>
      </c>
      <c r="H376" s="52">
        <f t="shared" si="89"/>
        <v>317779</v>
      </c>
      <c r="I376" s="697">
        <f t="shared" si="93"/>
        <v>268534</v>
      </c>
      <c r="J376" s="53">
        <f t="shared" si="94"/>
        <v>282566</v>
      </c>
      <c r="K376" s="50">
        <f t="shared" si="90"/>
        <v>58787</v>
      </c>
      <c r="L376" s="51">
        <f t="shared" si="9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
      <c r="A377" s="31" t="s">
        <v>92</v>
      </c>
      <c r="B377" s="1" t="s">
        <v>457</v>
      </c>
      <c r="C377" s="30" t="str">
        <f t="shared" si="92"/>
        <v>LA England - Northumberland</v>
      </c>
      <c r="D377" s="51">
        <f t="shared" si="85"/>
        <v>138987</v>
      </c>
      <c r="E377" s="51">
        <f t="shared" si="86"/>
        <v>147599</v>
      </c>
      <c r="F377" s="52">
        <f t="shared" si="87"/>
        <v>324362</v>
      </c>
      <c r="G377" s="52">
        <f t="shared" si="88"/>
        <v>158454</v>
      </c>
      <c r="H377" s="52">
        <f t="shared" si="89"/>
        <v>165908</v>
      </c>
      <c r="I377" s="697">
        <f t="shared" si="93"/>
        <v>138987</v>
      </c>
      <c r="J377" s="53">
        <f t="shared" si="94"/>
        <v>147599</v>
      </c>
      <c r="K377" s="50">
        <f t="shared" si="90"/>
        <v>30220</v>
      </c>
      <c r="L377" s="51">
        <f t="shared" si="9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
      <c r="A378" s="31" t="s">
        <v>92</v>
      </c>
      <c r="B378" s="1" t="s">
        <v>458</v>
      </c>
      <c r="C378" s="30" t="str">
        <f t="shared" si="92"/>
        <v>LA England - Norwich</v>
      </c>
      <c r="D378" s="51">
        <f t="shared" si="85"/>
        <v>62773</v>
      </c>
      <c r="E378" s="51">
        <f t="shared" si="86"/>
        <v>64577</v>
      </c>
      <c r="F378" s="52">
        <f t="shared" si="87"/>
        <v>144525</v>
      </c>
      <c r="G378" s="52">
        <f t="shared" si="88"/>
        <v>71583</v>
      </c>
      <c r="H378" s="52">
        <f t="shared" si="89"/>
        <v>72942</v>
      </c>
      <c r="I378" s="697">
        <f t="shared" si="93"/>
        <v>62773</v>
      </c>
      <c r="J378" s="53">
        <f t="shared" si="94"/>
        <v>64577</v>
      </c>
      <c r="K378" s="50">
        <f t="shared" si="90"/>
        <v>13079</v>
      </c>
      <c r="L378" s="51">
        <f t="shared" si="9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
      <c r="A379" s="31" t="s">
        <v>92</v>
      </c>
      <c r="B379" s="1" t="s">
        <v>459</v>
      </c>
      <c r="C379" s="30" t="str">
        <f t="shared" si="92"/>
        <v>LA England - Nottingham</v>
      </c>
      <c r="D379" s="51">
        <f t="shared" si="85"/>
        <v>138669</v>
      </c>
      <c r="E379" s="51">
        <f t="shared" si="86"/>
        <v>144764</v>
      </c>
      <c r="F379" s="52">
        <f t="shared" si="87"/>
        <v>328513</v>
      </c>
      <c r="G379" s="52">
        <f t="shared" si="88"/>
        <v>161634</v>
      </c>
      <c r="H379" s="52">
        <f t="shared" si="89"/>
        <v>166879</v>
      </c>
      <c r="I379" s="697">
        <f t="shared" si="93"/>
        <v>138669</v>
      </c>
      <c r="J379" s="53">
        <f t="shared" si="94"/>
        <v>144764</v>
      </c>
      <c r="K379" s="50">
        <f t="shared" si="90"/>
        <v>34341</v>
      </c>
      <c r="L379" s="51">
        <f t="shared" si="9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
      <c r="A380" s="31" t="s">
        <v>92</v>
      </c>
      <c r="B380" s="1" t="s">
        <v>460</v>
      </c>
      <c r="C380" s="30" t="str">
        <f t="shared" si="92"/>
        <v>LA England - Nuneaton and Bedworth</v>
      </c>
      <c r="D380" s="51">
        <f t="shared" si="85"/>
        <v>56439</v>
      </c>
      <c r="E380" s="51">
        <f t="shared" si="86"/>
        <v>59535</v>
      </c>
      <c r="F380" s="52">
        <f t="shared" si="87"/>
        <v>135481</v>
      </c>
      <c r="G380" s="52">
        <f t="shared" si="88"/>
        <v>66464</v>
      </c>
      <c r="H380" s="52">
        <f t="shared" si="89"/>
        <v>69017</v>
      </c>
      <c r="I380" s="697">
        <f t="shared" si="93"/>
        <v>56439</v>
      </c>
      <c r="J380" s="53">
        <f t="shared" si="94"/>
        <v>59535</v>
      </c>
      <c r="K380" s="50">
        <f t="shared" si="90"/>
        <v>14893</v>
      </c>
      <c r="L380" s="51">
        <f t="shared" si="9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
      <c r="A381" s="31" t="s">
        <v>92</v>
      </c>
      <c r="B381" s="1" t="s">
        <v>461</v>
      </c>
      <c r="C381" s="30" t="str">
        <f t="shared" si="92"/>
        <v>LA England - Oadby and Wigston</v>
      </c>
      <c r="D381" s="51">
        <f t="shared" si="85"/>
        <v>24273</v>
      </c>
      <c r="E381" s="51">
        <f t="shared" si="86"/>
        <v>26103</v>
      </c>
      <c r="F381" s="52">
        <f t="shared" si="87"/>
        <v>58341</v>
      </c>
      <c r="G381" s="52">
        <f t="shared" si="88"/>
        <v>28391</v>
      </c>
      <c r="H381" s="52">
        <f t="shared" si="89"/>
        <v>29950</v>
      </c>
      <c r="I381" s="697">
        <f t="shared" si="93"/>
        <v>24273</v>
      </c>
      <c r="J381" s="53">
        <f t="shared" si="94"/>
        <v>26103</v>
      </c>
      <c r="K381" s="50">
        <f t="shared" si="90"/>
        <v>6244</v>
      </c>
      <c r="L381" s="51">
        <f t="shared" si="9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
      <c r="A382" s="31" t="s">
        <v>92</v>
      </c>
      <c r="B382" s="1" t="s">
        <v>462</v>
      </c>
      <c r="C382" s="30" t="str">
        <f t="shared" si="92"/>
        <v>LA England - Oldham</v>
      </c>
      <c r="D382" s="51">
        <f t="shared" si="85"/>
        <v>98613</v>
      </c>
      <c r="E382" s="51">
        <f t="shared" si="86"/>
        <v>104493</v>
      </c>
      <c r="F382" s="52">
        <f t="shared" si="87"/>
        <v>243912</v>
      </c>
      <c r="G382" s="52">
        <f t="shared" si="88"/>
        <v>119371</v>
      </c>
      <c r="H382" s="52">
        <f t="shared" si="89"/>
        <v>124541</v>
      </c>
      <c r="I382" s="697">
        <f t="shared" si="93"/>
        <v>98613</v>
      </c>
      <c r="J382" s="53">
        <f t="shared" si="94"/>
        <v>104493</v>
      </c>
      <c r="K382" s="50">
        <f t="shared" si="90"/>
        <v>31770</v>
      </c>
      <c r="L382" s="51">
        <f t="shared" si="9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
      <c r="A383" s="31" t="s">
        <v>92</v>
      </c>
      <c r="B383" s="1" t="s">
        <v>463</v>
      </c>
      <c r="C383" s="30" t="str">
        <f t="shared" si="92"/>
        <v>LA England - Oxford</v>
      </c>
      <c r="D383" s="51">
        <f t="shared" si="85"/>
        <v>70769</v>
      </c>
      <c r="E383" s="51">
        <f t="shared" si="86"/>
        <v>74287</v>
      </c>
      <c r="F383" s="52">
        <f t="shared" si="87"/>
        <v>163257</v>
      </c>
      <c r="G383" s="52">
        <f t="shared" si="88"/>
        <v>80220</v>
      </c>
      <c r="H383" s="52">
        <f t="shared" si="89"/>
        <v>83037</v>
      </c>
      <c r="I383" s="697">
        <f t="shared" si="93"/>
        <v>70769</v>
      </c>
      <c r="J383" s="53">
        <f t="shared" si="94"/>
        <v>74287</v>
      </c>
      <c r="K383" s="50">
        <f t="shared" si="90"/>
        <v>14857</v>
      </c>
      <c r="L383" s="51">
        <f t="shared" si="9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
      <c r="A384" s="31" t="s">
        <v>92</v>
      </c>
      <c r="B384" s="1" t="s">
        <v>464</v>
      </c>
      <c r="C384" s="30" t="str">
        <f t="shared" si="92"/>
        <v>LA England - Pendle</v>
      </c>
      <c r="D384" s="51">
        <f t="shared" si="85"/>
        <v>39917</v>
      </c>
      <c r="E384" s="51">
        <f t="shared" si="86"/>
        <v>41160</v>
      </c>
      <c r="F384" s="52">
        <f t="shared" si="87"/>
        <v>96110</v>
      </c>
      <c r="G384" s="52">
        <f t="shared" si="88"/>
        <v>47583</v>
      </c>
      <c r="H384" s="52">
        <f t="shared" si="89"/>
        <v>48527</v>
      </c>
      <c r="I384" s="697">
        <f t="shared" si="93"/>
        <v>39917</v>
      </c>
      <c r="J384" s="53">
        <f t="shared" si="94"/>
        <v>41160</v>
      </c>
      <c r="K384" s="50">
        <f t="shared" si="90"/>
        <v>11776</v>
      </c>
      <c r="L384" s="51">
        <f t="shared" si="9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
      <c r="A385" s="31" t="s">
        <v>92</v>
      </c>
      <c r="B385" s="1" t="s">
        <v>465</v>
      </c>
      <c r="C385" s="30" t="str">
        <f t="shared" si="92"/>
        <v>LA England - Peterborough</v>
      </c>
      <c r="D385" s="51">
        <f t="shared" si="85"/>
        <v>88638</v>
      </c>
      <c r="E385" s="51">
        <f t="shared" si="86"/>
        <v>92372</v>
      </c>
      <c r="F385" s="52">
        <f t="shared" si="87"/>
        <v>217705</v>
      </c>
      <c r="G385" s="52">
        <f t="shared" si="88"/>
        <v>107535</v>
      </c>
      <c r="H385" s="52">
        <f t="shared" si="89"/>
        <v>110170</v>
      </c>
      <c r="I385" s="697">
        <f t="shared" si="93"/>
        <v>88638</v>
      </c>
      <c r="J385" s="53">
        <f t="shared" si="94"/>
        <v>92372</v>
      </c>
      <c r="K385" s="50">
        <f t="shared" si="90"/>
        <v>28327</v>
      </c>
      <c r="L385" s="51">
        <f t="shared" si="9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
      <c r="A386" s="31" t="s">
        <v>92</v>
      </c>
      <c r="B386" s="1" t="s">
        <v>466</v>
      </c>
      <c r="C386" s="30" t="str">
        <f t="shared" si="92"/>
        <v>LA England - Plymouth</v>
      </c>
      <c r="D386" s="51">
        <f t="shared" si="85"/>
        <v>113349</v>
      </c>
      <c r="E386" s="51">
        <f t="shared" si="86"/>
        <v>119281</v>
      </c>
      <c r="F386" s="52">
        <f t="shared" si="87"/>
        <v>266862</v>
      </c>
      <c r="G386" s="52">
        <f t="shared" si="88"/>
        <v>131031</v>
      </c>
      <c r="H386" s="52">
        <f t="shared" si="89"/>
        <v>135831</v>
      </c>
      <c r="I386" s="697">
        <f t="shared" si="93"/>
        <v>113349</v>
      </c>
      <c r="J386" s="53">
        <f t="shared" si="94"/>
        <v>119281</v>
      </c>
      <c r="K386" s="50">
        <f t="shared" si="90"/>
        <v>26717</v>
      </c>
      <c r="L386" s="51">
        <f t="shared" si="9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
      <c r="A387" s="31" t="s">
        <v>92</v>
      </c>
      <c r="B387" s="1" t="s">
        <v>467</v>
      </c>
      <c r="C387" s="30" t="str">
        <f t="shared" si="92"/>
        <v>LA England - Portsmouth</v>
      </c>
      <c r="D387" s="51">
        <f t="shared" si="85"/>
        <v>89417</v>
      </c>
      <c r="E387" s="51">
        <f t="shared" si="86"/>
        <v>90745</v>
      </c>
      <c r="F387" s="52">
        <f t="shared" si="87"/>
        <v>208420</v>
      </c>
      <c r="G387" s="52">
        <f t="shared" si="88"/>
        <v>103763</v>
      </c>
      <c r="H387" s="52">
        <f t="shared" si="89"/>
        <v>104657</v>
      </c>
      <c r="I387" s="697">
        <f t="shared" si="93"/>
        <v>89417</v>
      </c>
      <c r="J387" s="53">
        <f t="shared" si="94"/>
        <v>90745</v>
      </c>
      <c r="K387" s="50">
        <f t="shared" si="90"/>
        <v>21499</v>
      </c>
      <c r="L387" s="51">
        <f t="shared" si="9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
      <c r="A388" s="31" t="s">
        <v>92</v>
      </c>
      <c r="B388" s="1" t="s">
        <v>468</v>
      </c>
      <c r="C388" s="30" t="str">
        <f t="shared" si="92"/>
        <v>LA England - Preston</v>
      </c>
      <c r="D388" s="51">
        <f t="shared" si="85"/>
        <v>64508</v>
      </c>
      <c r="E388" s="51">
        <f t="shared" si="86"/>
        <v>64618</v>
      </c>
      <c r="F388" s="52">
        <f t="shared" si="87"/>
        <v>151582</v>
      </c>
      <c r="G388" s="52">
        <f t="shared" si="88"/>
        <v>75998</v>
      </c>
      <c r="H388" s="52">
        <f t="shared" si="89"/>
        <v>75584</v>
      </c>
      <c r="I388" s="697">
        <f t="shared" si="93"/>
        <v>64508</v>
      </c>
      <c r="J388" s="53">
        <f t="shared" si="94"/>
        <v>64618</v>
      </c>
      <c r="K388" s="50">
        <f t="shared" si="90"/>
        <v>17343</v>
      </c>
      <c r="L388" s="51">
        <f t="shared" si="9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
      <c r="A389" s="31" t="s">
        <v>92</v>
      </c>
      <c r="B389" s="1" t="s">
        <v>469</v>
      </c>
      <c r="C389" s="30" t="str">
        <f t="shared" si="92"/>
        <v>LA England - Reading</v>
      </c>
      <c r="D389" s="51">
        <f t="shared" si="85"/>
        <v>74713</v>
      </c>
      <c r="E389" s="51">
        <f t="shared" si="86"/>
        <v>75126</v>
      </c>
      <c r="F389" s="52">
        <f t="shared" si="87"/>
        <v>174820</v>
      </c>
      <c r="G389" s="52">
        <f t="shared" si="88"/>
        <v>87515</v>
      </c>
      <c r="H389" s="52">
        <f t="shared" si="89"/>
        <v>87305</v>
      </c>
      <c r="I389" s="697">
        <f t="shared" si="93"/>
        <v>74713</v>
      </c>
      <c r="J389" s="53">
        <f t="shared" si="94"/>
        <v>75126</v>
      </c>
      <c r="K389" s="50">
        <f t="shared" si="90"/>
        <v>18926</v>
      </c>
      <c r="L389" s="51">
        <f t="shared" si="9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
      <c r="A390" s="31" t="s">
        <v>92</v>
      </c>
      <c r="B390" s="1" t="s">
        <v>470</v>
      </c>
      <c r="C390" s="30" t="str">
        <f t="shared" si="92"/>
        <v>LA England - Redbridge</v>
      </c>
      <c r="D390" s="51">
        <f t="shared" si="85"/>
        <v>127717</v>
      </c>
      <c r="E390" s="51">
        <f t="shared" si="86"/>
        <v>131595</v>
      </c>
      <c r="F390" s="52">
        <f t="shared" si="87"/>
        <v>310911</v>
      </c>
      <c r="G390" s="52">
        <f t="shared" si="88"/>
        <v>153994</v>
      </c>
      <c r="H390" s="52">
        <f t="shared" si="89"/>
        <v>156917</v>
      </c>
      <c r="I390" s="697">
        <f t="shared" si="93"/>
        <v>127717</v>
      </c>
      <c r="J390" s="53">
        <f t="shared" si="94"/>
        <v>131595</v>
      </c>
      <c r="K390" s="50">
        <f t="shared" si="90"/>
        <v>39341</v>
      </c>
      <c r="L390" s="51">
        <f t="shared" si="9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
      <c r="A391" s="31" t="s">
        <v>92</v>
      </c>
      <c r="B391" s="1" t="s">
        <v>471</v>
      </c>
      <c r="C391" s="30" t="str">
        <f t="shared" si="92"/>
        <v>LA England - Redcar and Cleveland</v>
      </c>
      <c r="D391" s="51">
        <f t="shared" si="85"/>
        <v>57551</v>
      </c>
      <c r="E391" s="51">
        <f t="shared" si="86"/>
        <v>61848</v>
      </c>
      <c r="F391" s="52">
        <f t="shared" si="87"/>
        <v>137175</v>
      </c>
      <c r="G391" s="52">
        <f t="shared" si="88"/>
        <v>66603</v>
      </c>
      <c r="H391" s="52">
        <f t="shared" si="89"/>
        <v>70572</v>
      </c>
      <c r="I391" s="697">
        <f t="shared" si="93"/>
        <v>57551</v>
      </c>
      <c r="J391" s="53">
        <f t="shared" si="94"/>
        <v>61848</v>
      </c>
      <c r="K391" s="50">
        <f>SUM(M391:AD391)</f>
        <v>13948</v>
      </c>
      <c r="L391" s="51">
        <f t="shared" si="9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
      <c r="A392" s="31" t="s">
        <v>92</v>
      </c>
      <c r="B392" s="1" t="s">
        <v>472</v>
      </c>
      <c r="C392" s="30" t="str">
        <f t="shared" si="92"/>
        <v>LA England - Redditch</v>
      </c>
      <c r="D392" s="51">
        <f t="shared" si="85"/>
        <v>36500</v>
      </c>
      <c r="E392" s="51">
        <f t="shared" si="86"/>
        <v>38075</v>
      </c>
      <c r="F392" s="52">
        <f t="shared" si="87"/>
        <v>87132</v>
      </c>
      <c r="G392" s="52">
        <f t="shared" si="88"/>
        <v>42934</v>
      </c>
      <c r="H392" s="52">
        <f t="shared" si="89"/>
        <v>44198</v>
      </c>
      <c r="I392" s="697">
        <f t="shared" si="93"/>
        <v>36500</v>
      </c>
      <c r="J392" s="53">
        <f t="shared" si="94"/>
        <v>38075</v>
      </c>
      <c r="K392" s="50">
        <f>SUM(M392:AD392)</f>
        <v>9734</v>
      </c>
      <c r="L392" s="51">
        <f t="shared" si="9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
      <c r="A393" s="31" t="s">
        <v>92</v>
      </c>
      <c r="B393" s="1" t="s">
        <v>473</v>
      </c>
      <c r="C393" s="30" t="str">
        <f t="shared" si="92"/>
        <v>LA England - Reigate and Banstead</v>
      </c>
      <c r="D393" s="51">
        <f t="shared" si="85"/>
        <v>63316</v>
      </c>
      <c r="E393" s="51">
        <f t="shared" si="86"/>
        <v>67081</v>
      </c>
      <c r="F393" s="52">
        <f t="shared" si="87"/>
        <v>153629</v>
      </c>
      <c r="G393" s="52">
        <f t="shared" si="88"/>
        <v>75130</v>
      </c>
      <c r="H393" s="52">
        <f t="shared" si="89"/>
        <v>78499</v>
      </c>
      <c r="I393" s="697">
        <f t="shared" si="93"/>
        <v>63316</v>
      </c>
      <c r="J393" s="53">
        <f t="shared" si="94"/>
        <v>67081</v>
      </c>
      <c r="K393" s="50">
        <f>SUM(M393:AD393)</f>
        <v>17804</v>
      </c>
      <c r="L393" s="51">
        <f t="shared" si="9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
      <c r="A394" s="31" t="s">
        <v>92</v>
      </c>
      <c r="B394" s="1" t="s">
        <v>474</v>
      </c>
      <c r="C394" s="30" t="str">
        <f t="shared" si="92"/>
        <v>LA England - Ribble Valley</v>
      </c>
      <c r="D394" s="51">
        <f t="shared" ref="D394:D457" si="95">I394</f>
        <v>27126</v>
      </c>
      <c r="E394" s="51">
        <f t="shared" ref="E394:E457" si="96">J394</f>
        <v>28691</v>
      </c>
      <c r="F394" s="52">
        <f t="shared" ref="F394:F457" si="97">G394+H394</f>
        <v>63107</v>
      </c>
      <c r="G394" s="52">
        <f t="shared" ref="G394:G457" si="98">SUM(M394:CY394)</f>
        <v>30876</v>
      </c>
      <c r="H394" s="52">
        <f t="shared" ref="H394:H457" si="99">SUM(CZ394:GL394)</f>
        <v>32231</v>
      </c>
      <c r="I394" s="697">
        <f t="shared" si="93"/>
        <v>27126</v>
      </c>
      <c r="J394" s="53">
        <f t="shared" si="94"/>
        <v>28691</v>
      </c>
      <c r="K394" s="50">
        <f t="shared" ref="K394:K457" si="100">SUM(M394:AD394)</f>
        <v>6110</v>
      </c>
      <c r="L394" s="51">
        <f t="shared" ref="L394:L457" si="10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
      <c r="A395" s="31" t="s">
        <v>92</v>
      </c>
      <c r="B395" s="1" t="s">
        <v>475</v>
      </c>
      <c r="C395" s="30" t="str">
        <f t="shared" si="92"/>
        <v>LA England - Richmond upon Thames</v>
      </c>
      <c r="D395" s="51">
        <f t="shared" si="95"/>
        <v>79080</v>
      </c>
      <c r="E395" s="51">
        <f t="shared" si="96"/>
        <v>87020</v>
      </c>
      <c r="F395" s="52">
        <f t="shared" si="97"/>
        <v>194894</v>
      </c>
      <c r="G395" s="52">
        <f t="shared" si="98"/>
        <v>93837</v>
      </c>
      <c r="H395" s="52">
        <f t="shared" si="99"/>
        <v>101057</v>
      </c>
      <c r="I395" s="697">
        <f t="shared" si="93"/>
        <v>79080</v>
      </c>
      <c r="J395" s="53">
        <f t="shared" si="94"/>
        <v>87020</v>
      </c>
      <c r="K395" s="50">
        <f t="shared" si="100"/>
        <v>22494</v>
      </c>
      <c r="L395" s="51">
        <f t="shared" si="10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
      <c r="A396" s="31" t="s">
        <v>92</v>
      </c>
      <c r="B396" s="1" t="s">
        <v>476</v>
      </c>
      <c r="C396" s="30" t="str">
        <f t="shared" ref="C396:C459" si="102">CONCATENATE(A396," - ",B396)</f>
        <v>LA England - Rochdale</v>
      </c>
      <c r="D396" s="51">
        <f t="shared" si="95"/>
        <v>92482</v>
      </c>
      <c r="E396" s="51">
        <f t="shared" si="96"/>
        <v>97729</v>
      </c>
      <c r="F396" s="52">
        <f t="shared" si="97"/>
        <v>226992</v>
      </c>
      <c r="G396" s="52">
        <f t="shared" si="98"/>
        <v>111355</v>
      </c>
      <c r="H396" s="52">
        <f t="shared" si="99"/>
        <v>115637</v>
      </c>
      <c r="I396" s="697">
        <f t="shared" si="93"/>
        <v>92482</v>
      </c>
      <c r="J396" s="53">
        <f t="shared" si="94"/>
        <v>97729</v>
      </c>
      <c r="K396" s="50">
        <f t="shared" si="100"/>
        <v>28605</v>
      </c>
      <c r="L396" s="51">
        <f t="shared" si="10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
      <c r="A397" s="31" t="s">
        <v>92</v>
      </c>
      <c r="B397" s="1" t="s">
        <v>477</v>
      </c>
      <c r="C397" s="30" t="str">
        <f t="shared" si="102"/>
        <v>LA England - Rochford</v>
      </c>
      <c r="D397" s="51">
        <f t="shared" si="95"/>
        <v>36581</v>
      </c>
      <c r="E397" s="51">
        <f t="shared" si="96"/>
        <v>39488</v>
      </c>
      <c r="F397" s="52">
        <f t="shared" si="97"/>
        <v>87216</v>
      </c>
      <c r="G397" s="52">
        <f t="shared" si="98"/>
        <v>42260</v>
      </c>
      <c r="H397" s="52">
        <f t="shared" si="99"/>
        <v>44956</v>
      </c>
      <c r="I397" s="697">
        <f t="shared" si="93"/>
        <v>36581</v>
      </c>
      <c r="J397" s="53">
        <f t="shared" si="94"/>
        <v>39488</v>
      </c>
      <c r="K397" s="50">
        <f t="shared" si="100"/>
        <v>8861</v>
      </c>
      <c r="L397" s="51">
        <f t="shared" si="10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
      <c r="A398" s="31" t="s">
        <v>92</v>
      </c>
      <c r="B398" s="1" t="s">
        <v>478</v>
      </c>
      <c r="C398" s="30" t="str">
        <f t="shared" si="102"/>
        <v>LA England - Rossendale</v>
      </c>
      <c r="D398" s="51">
        <f t="shared" si="95"/>
        <v>29892</v>
      </c>
      <c r="E398" s="51">
        <f t="shared" si="96"/>
        <v>31392</v>
      </c>
      <c r="F398" s="52">
        <f t="shared" si="97"/>
        <v>71169</v>
      </c>
      <c r="G398" s="52">
        <f t="shared" si="98"/>
        <v>34978</v>
      </c>
      <c r="H398" s="52">
        <f t="shared" si="99"/>
        <v>36191</v>
      </c>
      <c r="I398" s="697">
        <f t="shared" si="93"/>
        <v>29892</v>
      </c>
      <c r="J398" s="53">
        <f t="shared" si="94"/>
        <v>31392</v>
      </c>
      <c r="K398" s="50">
        <f t="shared" si="100"/>
        <v>7865</v>
      </c>
      <c r="L398" s="51">
        <f t="shared" si="10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
      <c r="A399" s="31" t="s">
        <v>92</v>
      </c>
      <c r="B399" s="1" t="s">
        <v>479</v>
      </c>
      <c r="C399" s="30" t="str">
        <f t="shared" si="102"/>
        <v>LA England - Rother</v>
      </c>
      <c r="D399" s="51">
        <f t="shared" si="95"/>
        <v>39594</v>
      </c>
      <c r="E399" s="51">
        <f t="shared" si="96"/>
        <v>44707</v>
      </c>
      <c r="F399" s="52">
        <f t="shared" si="97"/>
        <v>94162</v>
      </c>
      <c r="G399" s="52">
        <f t="shared" si="98"/>
        <v>44734</v>
      </c>
      <c r="H399" s="52">
        <f t="shared" si="99"/>
        <v>49428</v>
      </c>
      <c r="I399" s="697">
        <f t="shared" si="93"/>
        <v>39594</v>
      </c>
      <c r="J399" s="53">
        <f t="shared" si="94"/>
        <v>44707</v>
      </c>
      <c r="K399" s="50">
        <f t="shared" si="100"/>
        <v>8040</v>
      </c>
      <c r="L399" s="51">
        <f t="shared" si="10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
      <c r="A400" s="31" t="s">
        <v>92</v>
      </c>
      <c r="B400" s="1" t="s">
        <v>480</v>
      </c>
      <c r="C400" s="30" t="str">
        <f t="shared" si="102"/>
        <v>LA England - Rotherham</v>
      </c>
      <c r="D400" s="51">
        <f t="shared" si="95"/>
        <v>112571</v>
      </c>
      <c r="E400" s="51">
        <f t="shared" si="96"/>
        <v>118164</v>
      </c>
      <c r="F400" s="52">
        <f t="shared" si="97"/>
        <v>268354</v>
      </c>
      <c r="G400" s="52">
        <f t="shared" si="98"/>
        <v>131784</v>
      </c>
      <c r="H400" s="52">
        <f t="shared" si="99"/>
        <v>136570</v>
      </c>
      <c r="I400" s="697">
        <f t="shared" si="93"/>
        <v>112571</v>
      </c>
      <c r="J400" s="53">
        <f t="shared" si="94"/>
        <v>118164</v>
      </c>
      <c r="K400" s="50">
        <f t="shared" si="100"/>
        <v>29238</v>
      </c>
      <c r="L400" s="51">
        <f t="shared" si="10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
      <c r="A401" s="31" t="s">
        <v>92</v>
      </c>
      <c r="B401" s="1" t="s">
        <v>481</v>
      </c>
      <c r="C401" s="30" t="str">
        <f t="shared" si="102"/>
        <v>LA England - Rugby</v>
      </c>
      <c r="D401" s="51">
        <f t="shared" si="95"/>
        <v>49351</v>
      </c>
      <c r="E401" s="51">
        <f t="shared" si="96"/>
        <v>50208</v>
      </c>
      <c r="F401" s="52">
        <f t="shared" si="97"/>
        <v>116436</v>
      </c>
      <c r="G401" s="52">
        <f t="shared" si="98"/>
        <v>57920</v>
      </c>
      <c r="H401" s="52">
        <f t="shared" si="99"/>
        <v>58516</v>
      </c>
      <c r="I401" s="697">
        <f t="shared" si="93"/>
        <v>49351</v>
      </c>
      <c r="J401" s="53">
        <f t="shared" si="94"/>
        <v>50208</v>
      </c>
      <c r="K401" s="50">
        <f t="shared" si="100"/>
        <v>13169</v>
      </c>
      <c r="L401" s="51">
        <f t="shared" si="10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
      <c r="A402" s="31" t="s">
        <v>92</v>
      </c>
      <c r="B402" s="1" t="s">
        <v>482</v>
      </c>
      <c r="C402" s="30" t="str">
        <f t="shared" si="102"/>
        <v>LA England - Runnymede</v>
      </c>
      <c r="D402" s="51">
        <f t="shared" si="95"/>
        <v>36858</v>
      </c>
      <c r="E402" s="51">
        <f t="shared" si="96"/>
        <v>40105</v>
      </c>
      <c r="F402" s="52">
        <f t="shared" si="97"/>
        <v>88524</v>
      </c>
      <c r="G402" s="52">
        <f t="shared" si="98"/>
        <v>42769</v>
      </c>
      <c r="H402" s="52">
        <f t="shared" si="99"/>
        <v>45755</v>
      </c>
      <c r="I402" s="697">
        <f t="shared" si="93"/>
        <v>36858</v>
      </c>
      <c r="J402" s="53">
        <f t="shared" si="94"/>
        <v>40105</v>
      </c>
      <c r="K402" s="50">
        <f t="shared" si="100"/>
        <v>8844</v>
      </c>
      <c r="L402" s="51">
        <f t="shared" si="10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
      <c r="A403" s="31" t="s">
        <v>92</v>
      </c>
      <c r="B403" s="1" t="s">
        <v>483</v>
      </c>
      <c r="C403" s="30" t="str">
        <f t="shared" si="102"/>
        <v>LA England - Rushcliffe</v>
      </c>
      <c r="D403" s="51">
        <f t="shared" si="95"/>
        <v>51330</v>
      </c>
      <c r="E403" s="51">
        <f t="shared" si="96"/>
        <v>54223</v>
      </c>
      <c r="F403" s="52">
        <f t="shared" si="97"/>
        <v>121582</v>
      </c>
      <c r="G403" s="52">
        <f t="shared" si="98"/>
        <v>59659</v>
      </c>
      <c r="H403" s="52">
        <f t="shared" si="99"/>
        <v>61923</v>
      </c>
      <c r="I403" s="697">
        <f t="shared" si="93"/>
        <v>51330</v>
      </c>
      <c r="J403" s="53">
        <f t="shared" si="94"/>
        <v>54223</v>
      </c>
      <c r="K403" s="50">
        <f t="shared" si="100"/>
        <v>12833</v>
      </c>
      <c r="L403" s="51">
        <f t="shared" si="10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
      <c r="A404" s="31" t="s">
        <v>92</v>
      </c>
      <c r="B404" s="1" t="s">
        <v>484</v>
      </c>
      <c r="C404" s="30" t="str">
        <f t="shared" si="102"/>
        <v>LA England - Rushmoor</v>
      </c>
      <c r="D404" s="51">
        <f t="shared" si="95"/>
        <v>43152</v>
      </c>
      <c r="E404" s="51">
        <f t="shared" si="96"/>
        <v>43179</v>
      </c>
      <c r="F404" s="52">
        <f t="shared" si="97"/>
        <v>101060</v>
      </c>
      <c r="G404" s="52">
        <f t="shared" si="98"/>
        <v>50789</v>
      </c>
      <c r="H404" s="52">
        <f t="shared" si="99"/>
        <v>50271</v>
      </c>
      <c r="I404" s="697">
        <f t="shared" si="93"/>
        <v>43152</v>
      </c>
      <c r="J404" s="53">
        <f t="shared" si="94"/>
        <v>43179</v>
      </c>
      <c r="K404" s="50">
        <f t="shared" si="100"/>
        <v>11046</v>
      </c>
      <c r="L404" s="51">
        <f t="shared" si="10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
      <c r="A405" s="31" t="s">
        <v>92</v>
      </c>
      <c r="B405" s="1" t="s">
        <v>485</v>
      </c>
      <c r="C405" s="30" t="str">
        <f t="shared" si="102"/>
        <v>LA England - Rutland</v>
      </c>
      <c r="D405" s="51">
        <f t="shared" si="95"/>
        <v>18850</v>
      </c>
      <c r="E405" s="51">
        <f t="shared" si="96"/>
        <v>17915</v>
      </c>
      <c r="F405" s="52">
        <f t="shared" si="97"/>
        <v>41151</v>
      </c>
      <c r="G405" s="52">
        <f t="shared" si="98"/>
        <v>21127</v>
      </c>
      <c r="H405" s="52">
        <f t="shared" si="99"/>
        <v>20024</v>
      </c>
      <c r="I405" s="697">
        <f t="shared" si="93"/>
        <v>18850</v>
      </c>
      <c r="J405" s="53">
        <f t="shared" si="94"/>
        <v>17915</v>
      </c>
      <c r="K405" s="50">
        <f t="shared" si="100"/>
        <v>4185</v>
      </c>
      <c r="L405" s="51">
        <f t="shared" si="10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
      <c r="A406" s="31" t="s">
        <v>92</v>
      </c>
      <c r="B406" s="1" t="s">
        <v>486</v>
      </c>
      <c r="C406" s="30" t="str">
        <f t="shared" si="102"/>
        <v>LA England - Salford</v>
      </c>
      <c r="D406" s="51">
        <f t="shared" si="95"/>
        <v>118542</v>
      </c>
      <c r="E406" s="51">
        <f t="shared" si="96"/>
        <v>118096</v>
      </c>
      <c r="F406" s="52">
        <f t="shared" si="97"/>
        <v>278064</v>
      </c>
      <c r="G406" s="52">
        <f t="shared" si="98"/>
        <v>139829</v>
      </c>
      <c r="H406" s="52">
        <f t="shared" si="99"/>
        <v>138235</v>
      </c>
      <c r="I406" s="697">
        <f t="shared" si="93"/>
        <v>118542</v>
      </c>
      <c r="J406" s="53">
        <f t="shared" si="94"/>
        <v>118096</v>
      </c>
      <c r="K406" s="50">
        <f t="shared" si="100"/>
        <v>30968</v>
      </c>
      <c r="L406" s="51">
        <f t="shared" si="10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
      <c r="A407" s="31" t="s">
        <v>92</v>
      </c>
      <c r="B407" s="1" t="s">
        <v>487</v>
      </c>
      <c r="C407" s="30" t="str">
        <f t="shared" si="102"/>
        <v>LA England - Sandwell</v>
      </c>
      <c r="D407" s="51">
        <f t="shared" si="95"/>
        <v>140797</v>
      </c>
      <c r="E407" s="51">
        <f t="shared" si="96"/>
        <v>146638</v>
      </c>
      <c r="F407" s="52">
        <f t="shared" si="97"/>
        <v>344210</v>
      </c>
      <c r="G407" s="52">
        <f t="shared" si="98"/>
        <v>170114</v>
      </c>
      <c r="H407" s="52">
        <f t="shared" si="99"/>
        <v>174096</v>
      </c>
      <c r="I407" s="697">
        <f t="shared" si="93"/>
        <v>140797</v>
      </c>
      <c r="J407" s="53">
        <f t="shared" si="94"/>
        <v>146638</v>
      </c>
      <c r="K407" s="50">
        <f t="shared" si="100"/>
        <v>44342</v>
      </c>
      <c r="L407" s="51">
        <f t="shared" si="10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
      <c r="A408" s="31" t="s">
        <v>92</v>
      </c>
      <c r="B408" s="1" t="s">
        <v>488</v>
      </c>
      <c r="C408" s="30" t="str">
        <f t="shared" si="102"/>
        <v>LA England - Sefton</v>
      </c>
      <c r="D408" s="51">
        <f t="shared" si="95"/>
        <v>118377</v>
      </c>
      <c r="E408" s="51">
        <f t="shared" si="96"/>
        <v>127630</v>
      </c>
      <c r="F408" s="52">
        <f t="shared" si="97"/>
        <v>281027</v>
      </c>
      <c r="G408" s="52">
        <f t="shared" si="98"/>
        <v>136313</v>
      </c>
      <c r="H408" s="52">
        <f t="shared" si="99"/>
        <v>144714</v>
      </c>
      <c r="I408" s="697">
        <f t="shared" si="93"/>
        <v>118377</v>
      </c>
      <c r="J408" s="53">
        <f t="shared" si="94"/>
        <v>127630</v>
      </c>
      <c r="K408" s="50">
        <f t="shared" si="100"/>
        <v>27464</v>
      </c>
      <c r="L408" s="51">
        <f t="shared" si="10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
      <c r="A409" s="31" t="s">
        <v>92</v>
      </c>
      <c r="B409" s="1" t="s">
        <v>489</v>
      </c>
      <c r="C409" s="30" t="str">
        <f t="shared" si="102"/>
        <v>LA England - Sevenoaks</v>
      </c>
      <c r="D409" s="51">
        <f t="shared" si="95"/>
        <v>49503</v>
      </c>
      <c r="E409" s="51">
        <f t="shared" si="96"/>
        <v>54128</v>
      </c>
      <c r="F409" s="52">
        <f t="shared" si="97"/>
        <v>121106</v>
      </c>
      <c r="G409" s="52">
        <f t="shared" si="98"/>
        <v>58375</v>
      </c>
      <c r="H409" s="52">
        <f t="shared" si="99"/>
        <v>62731</v>
      </c>
      <c r="I409" s="697">
        <f t="shared" si="93"/>
        <v>49503</v>
      </c>
      <c r="J409" s="53">
        <f t="shared" si="94"/>
        <v>54128</v>
      </c>
      <c r="K409" s="50">
        <f t="shared" si="100"/>
        <v>13761</v>
      </c>
      <c r="L409" s="51">
        <f t="shared" si="10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
      <c r="A410" s="31" t="s">
        <v>92</v>
      </c>
      <c r="B410" s="1" t="s">
        <v>490</v>
      </c>
      <c r="C410" s="30" t="str">
        <f t="shared" si="102"/>
        <v>LA England - Sheffield</v>
      </c>
      <c r="D410" s="51">
        <f t="shared" si="95"/>
        <v>241649</v>
      </c>
      <c r="E410" s="51">
        <f t="shared" si="96"/>
        <v>249031</v>
      </c>
      <c r="F410" s="52">
        <f t="shared" si="97"/>
        <v>566242</v>
      </c>
      <c r="G410" s="52">
        <f t="shared" si="98"/>
        <v>280173</v>
      </c>
      <c r="H410" s="52">
        <f t="shared" si="99"/>
        <v>286069</v>
      </c>
      <c r="I410" s="697">
        <f t="shared" si="93"/>
        <v>241649</v>
      </c>
      <c r="J410" s="53">
        <f t="shared" si="94"/>
        <v>249031</v>
      </c>
      <c r="K410" s="50">
        <f t="shared" si="100"/>
        <v>58188</v>
      </c>
      <c r="L410" s="51">
        <f t="shared" si="10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
      <c r="A411" s="31" t="s">
        <v>92</v>
      </c>
      <c r="B411" s="1" t="s">
        <v>491</v>
      </c>
      <c r="C411" s="30" t="str">
        <f t="shared" si="102"/>
        <v>LA England - Shropshire</v>
      </c>
      <c r="D411" s="51">
        <f t="shared" si="95"/>
        <v>142166</v>
      </c>
      <c r="E411" s="51">
        <f t="shared" si="96"/>
        <v>147588</v>
      </c>
      <c r="F411" s="52">
        <f t="shared" si="97"/>
        <v>327178</v>
      </c>
      <c r="G411" s="52">
        <f t="shared" si="98"/>
        <v>161354</v>
      </c>
      <c r="H411" s="52">
        <f t="shared" si="99"/>
        <v>165824</v>
      </c>
      <c r="I411" s="697">
        <f t="shared" si="93"/>
        <v>142166</v>
      </c>
      <c r="J411" s="53">
        <f t="shared" si="94"/>
        <v>147588</v>
      </c>
      <c r="K411" s="50">
        <f t="shared" si="100"/>
        <v>30212</v>
      </c>
      <c r="L411" s="51">
        <f t="shared" si="10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
      <c r="A412" s="31" t="s">
        <v>92</v>
      </c>
      <c r="B412" s="1" t="s">
        <v>492</v>
      </c>
      <c r="C412" s="30" t="str">
        <f t="shared" si="102"/>
        <v>LA England - Slough</v>
      </c>
      <c r="D412" s="51">
        <f t="shared" si="95"/>
        <v>63886</v>
      </c>
      <c r="E412" s="51">
        <f t="shared" si="96"/>
        <v>65733</v>
      </c>
      <c r="F412" s="52">
        <f t="shared" si="97"/>
        <v>159182</v>
      </c>
      <c r="G412" s="52">
        <f t="shared" si="98"/>
        <v>78924</v>
      </c>
      <c r="H412" s="52">
        <f t="shared" si="99"/>
        <v>80258</v>
      </c>
      <c r="I412" s="697">
        <f t="shared" si="93"/>
        <v>63886</v>
      </c>
      <c r="J412" s="53">
        <f t="shared" si="94"/>
        <v>65733</v>
      </c>
      <c r="K412" s="50">
        <f t="shared" si="100"/>
        <v>22483</v>
      </c>
      <c r="L412" s="51">
        <f t="shared" si="10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
      <c r="A413" s="31" t="s">
        <v>92</v>
      </c>
      <c r="B413" s="1" t="s">
        <v>493</v>
      </c>
      <c r="C413" s="30" t="str">
        <f t="shared" si="102"/>
        <v>LA England - Solihull</v>
      </c>
      <c r="D413" s="51">
        <f t="shared" si="95"/>
        <v>89722</v>
      </c>
      <c r="E413" s="51">
        <f t="shared" si="96"/>
        <v>96710</v>
      </c>
      <c r="F413" s="52">
        <f t="shared" si="97"/>
        <v>217678</v>
      </c>
      <c r="G413" s="52">
        <f t="shared" si="98"/>
        <v>105819</v>
      </c>
      <c r="H413" s="52">
        <f t="shared" si="99"/>
        <v>111859</v>
      </c>
      <c r="I413" s="697">
        <f t="shared" si="93"/>
        <v>89722</v>
      </c>
      <c r="J413" s="53">
        <f t="shared" si="94"/>
        <v>96710</v>
      </c>
      <c r="K413" s="50">
        <f t="shared" si="100"/>
        <v>24693</v>
      </c>
      <c r="L413" s="51">
        <f t="shared" si="10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
      <c r="A414" s="31" t="s">
        <v>92</v>
      </c>
      <c r="B414" s="1" t="s">
        <v>494</v>
      </c>
      <c r="C414" s="30" t="str">
        <f t="shared" si="102"/>
        <v>LA England - Somerset</v>
      </c>
      <c r="D414" s="51">
        <f t="shared" si="95"/>
        <v>246047</v>
      </c>
      <c r="E414" s="51">
        <f t="shared" si="96"/>
        <v>260122</v>
      </c>
      <c r="F414" s="52">
        <f t="shared" si="97"/>
        <v>576852</v>
      </c>
      <c r="G414" s="52">
        <f t="shared" si="98"/>
        <v>282176</v>
      </c>
      <c r="H414" s="52">
        <f t="shared" si="99"/>
        <v>294676</v>
      </c>
      <c r="I414" s="697">
        <f t="shared" ref="I414:I477" si="103">SUM(Y414:CY414)</f>
        <v>246047</v>
      </c>
      <c r="J414" s="53">
        <f t="shared" ref="J414:J477" si="104">SUM(DL414:GL414)</f>
        <v>260122</v>
      </c>
      <c r="K414" s="50">
        <f t="shared" si="100"/>
        <v>56523</v>
      </c>
      <c r="L414" s="51">
        <f t="shared" si="10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
      <c r="A415" s="31" t="s">
        <v>92</v>
      </c>
      <c r="B415" s="1" t="s">
        <v>495</v>
      </c>
      <c r="C415" s="30" t="str">
        <f t="shared" si="102"/>
        <v>LA England - South Cambridgeshire</v>
      </c>
      <c r="D415" s="51">
        <f t="shared" si="95"/>
        <v>69009</v>
      </c>
      <c r="E415" s="51">
        <f t="shared" si="96"/>
        <v>72623</v>
      </c>
      <c r="F415" s="52">
        <f t="shared" si="97"/>
        <v>165633</v>
      </c>
      <c r="G415" s="52">
        <f t="shared" si="98"/>
        <v>81130</v>
      </c>
      <c r="H415" s="52">
        <f t="shared" si="99"/>
        <v>84503</v>
      </c>
      <c r="I415" s="697">
        <f t="shared" si="103"/>
        <v>69009</v>
      </c>
      <c r="J415" s="53">
        <f t="shared" si="104"/>
        <v>72623</v>
      </c>
      <c r="K415" s="50">
        <f t="shared" si="100"/>
        <v>18678</v>
      </c>
      <c r="L415" s="51">
        <f t="shared" si="10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
      <c r="A416" s="31" t="s">
        <v>92</v>
      </c>
      <c r="B416" s="1" t="s">
        <v>496</v>
      </c>
      <c r="C416" s="30" t="str">
        <f t="shared" si="102"/>
        <v>LA England - South Derbyshire</v>
      </c>
      <c r="D416" s="51">
        <f t="shared" si="95"/>
        <v>46579</v>
      </c>
      <c r="E416" s="51">
        <f t="shared" si="96"/>
        <v>49164</v>
      </c>
      <c r="F416" s="52">
        <f t="shared" si="97"/>
        <v>111133</v>
      </c>
      <c r="G416" s="52">
        <f t="shared" si="98"/>
        <v>54368</v>
      </c>
      <c r="H416" s="52">
        <f t="shared" si="99"/>
        <v>56765</v>
      </c>
      <c r="I416" s="697">
        <f t="shared" si="103"/>
        <v>46579</v>
      </c>
      <c r="J416" s="53">
        <f t="shared" si="104"/>
        <v>49164</v>
      </c>
      <c r="K416" s="50">
        <f t="shared" si="100"/>
        <v>11982</v>
      </c>
      <c r="L416" s="51">
        <f t="shared" si="10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
      <c r="A417" s="31" t="s">
        <v>92</v>
      </c>
      <c r="B417" s="1" t="s">
        <v>497</v>
      </c>
      <c r="C417" s="30" t="str">
        <f t="shared" si="102"/>
        <v>LA England - South Gloucestershire</v>
      </c>
      <c r="D417" s="51">
        <f t="shared" si="95"/>
        <v>125158</v>
      </c>
      <c r="E417" s="51">
        <f t="shared" si="96"/>
        <v>129346</v>
      </c>
      <c r="F417" s="52">
        <f t="shared" si="97"/>
        <v>294765</v>
      </c>
      <c r="G417" s="52">
        <f t="shared" si="98"/>
        <v>145963</v>
      </c>
      <c r="H417" s="52">
        <f t="shared" si="99"/>
        <v>148802</v>
      </c>
      <c r="I417" s="697">
        <f t="shared" si="103"/>
        <v>125158</v>
      </c>
      <c r="J417" s="53">
        <f t="shared" si="104"/>
        <v>129346</v>
      </c>
      <c r="K417" s="50">
        <f t="shared" si="100"/>
        <v>30927</v>
      </c>
      <c r="L417" s="51">
        <f t="shared" si="10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
      <c r="A418" s="31" t="s">
        <v>92</v>
      </c>
      <c r="B418" s="1" t="s">
        <v>498</v>
      </c>
      <c r="C418" s="30" t="str">
        <f t="shared" si="102"/>
        <v>LA England - South Hams</v>
      </c>
      <c r="D418" s="51">
        <f t="shared" si="95"/>
        <v>38238</v>
      </c>
      <c r="E418" s="51">
        <f t="shared" si="96"/>
        <v>41531</v>
      </c>
      <c r="F418" s="52">
        <f t="shared" si="97"/>
        <v>89812</v>
      </c>
      <c r="G418" s="52">
        <f t="shared" si="98"/>
        <v>43356</v>
      </c>
      <c r="H418" s="52">
        <f t="shared" si="99"/>
        <v>46456</v>
      </c>
      <c r="I418" s="697">
        <f t="shared" si="103"/>
        <v>38238</v>
      </c>
      <c r="J418" s="53">
        <f t="shared" si="104"/>
        <v>41531</v>
      </c>
      <c r="K418" s="50">
        <f t="shared" si="100"/>
        <v>8023</v>
      </c>
      <c r="L418" s="51">
        <f t="shared" si="10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
      <c r="A419" s="31" t="s">
        <v>92</v>
      </c>
      <c r="B419" s="1" t="s">
        <v>499</v>
      </c>
      <c r="C419" s="30" t="str">
        <f t="shared" si="102"/>
        <v>LA England - South Holland</v>
      </c>
      <c r="D419" s="51">
        <f t="shared" si="95"/>
        <v>41218</v>
      </c>
      <c r="E419" s="51">
        <f t="shared" si="96"/>
        <v>43397</v>
      </c>
      <c r="F419" s="52">
        <f t="shared" si="97"/>
        <v>96983</v>
      </c>
      <c r="G419" s="52">
        <f t="shared" si="98"/>
        <v>47572</v>
      </c>
      <c r="H419" s="52">
        <f t="shared" si="99"/>
        <v>49411</v>
      </c>
      <c r="I419" s="697">
        <f t="shared" si="103"/>
        <v>41218</v>
      </c>
      <c r="J419" s="53">
        <f t="shared" si="104"/>
        <v>43397</v>
      </c>
      <c r="K419" s="50">
        <f t="shared" si="100"/>
        <v>9563</v>
      </c>
      <c r="L419" s="51">
        <f t="shared" si="10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
      <c r="A420" s="31" t="s">
        <v>92</v>
      </c>
      <c r="B420" s="1" t="s">
        <v>500</v>
      </c>
      <c r="C420" s="30" t="str">
        <f t="shared" si="102"/>
        <v>LA England - South Kesteven</v>
      </c>
      <c r="D420" s="51">
        <f t="shared" si="95"/>
        <v>60478</v>
      </c>
      <c r="E420" s="51">
        <f t="shared" si="96"/>
        <v>65436</v>
      </c>
      <c r="F420" s="52">
        <f t="shared" si="97"/>
        <v>144249</v>
      </c>
      <c r="G420" s="52">
        <f t="shared" si="98"/>
        <v>69829</v>
      </c>
      <c r="H420" s="52">
        <f t="shared" si="99"/>
        <v>74420</v>
      </c>
      <c r="I420" s="697">
        <f t="shared" si="103"/>
        <v>60478</v>
      </c>
      <c r="J420" s="53">
        <f t="shared" si="104"/>
        <v>65436</v>
      </c>
      <c r="K420" s="50">
        <f t="shared" si="100"/>
        <v>14619</v>
      </c>
      <c r="L420" s="51">
        <f t="shared" si="10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
      <c r="A421" s="31" t="s">
        <v>92</v>
      </c>
      <c r="B421" s="1" t="s">
        <v>501</v>
      </c>
      <c r="C421" s="30" t="str">
        <f t="shared" si="102"/>
        <v>LA England - South Norfolk</v>
      </c>
      <c r="D421" s="51">
        <f t="shared" si="95"/>
        <v>60990</v>
      </c>
      <c r="E421" s="51">
        <f t="shared" si="96"/>
        <v>65035</v>
      </c>
      <c r="F421" s="52">
        <f t="shared" si="97"/>
        <v>144593</v>
      </c>
      <c r="G421" s="52">
        <f t="shared" si="98"/>
        <v>70458</v>
      </c>
      <c r="H421" s="52">
        <f t="shared" si="99"/>
        <v>74135</v>
      </c>
      <c r="I421" s="697">
        <f t="shared" si="103"/>
        <v>60990</v>
      </c>
      <c r="J421" s="53">
        <f t="shared" si="104"/>
        <v>65035</v>
      </c>
      <c r="K421" s="50">
        <f t="shared" si="100"/>
        <v>14513</v>
      </c>
      <c r="L421" s="51">
        <f t="shared" si="10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
      <c r="A422" s="31" t="s">
        <v>92</v>
      </c>
      <c r="B422" s="1" t="s">
        <v>502</v>
      </c>
      <c r="C422" s="30" t="str">
        <f t="shared" si="102"/>
        <v>LA England - South Oxfordshire</v>
      </c>
      <c r="D422" s="51">
        <f t="shared" si="95"/>
        <v>64305</v>
      </c>
      <c r="E422" s="51">
        <f t="shared" si="96"/>
        <v>66945</v>
      </c>
      <c r="F422" s="52">
        <f t="shared" si="97"/>
        <v>151820</v>
      </c>
      <c r="G422" s="52">
        <f t="shared" si="98"/>
        <v>74852</v>
      </c>
      <c r="H422" s="52">
        <f t="shared" si="99"/>
        <v>76968</v>
      </c>
      <c r="I422" s="697">
        <f t="shared" si="103"/>
        <v>64305</v>
      </c>
      <c r="J422" s="53">
        <f t="shared" si="104"/>
        <v>66945</v>
      </c>
      <c r="K422" s="50">
        <f t="shared" si="100"/>
        <v>16021</v>
      </c>
      <c r="L422" s="51">
        <f t="shared" si="10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
      <c r="A423" s="31" t="s">
        <v>92</v>
      </c>
      <c r="B423" s="1" t="s">
        <v>503</v>
      </c>
      <c r="C423" s="30" t="str">
        <f t="shared" si="102"/>
        <v>LA England - South Ribble</v>
      </c>
      <c r="D423" s="51">
        <f t="shared" si="95"/>
        <v>47524</v>
      </c>
      <c r="E423" s="51">
        <f t="shared" si="96"/>
        <v>50277</v>
      </c>
      <c r="F423" s="52">
        <f t="shared" si="97"/>
        <v>112166</v>
      </c>
      <c r="G423" s="52">
        <f t="shared" si="98"/>
        <v>54874</v>
      </c>
      <c r="H423" s="52">
        <f t="shared" si="99"/>
        <v>57292</v>
      </c>
      <c r="I423" s="697">
        <f t="shared" si="103"/>
        <v>47524</v>
      </c>
      <c r="J423" s="53">
        <f t="shared" si="104"/>
        <v>50277</v>
      </c>
      <c r="K423" s="50">
        <f t="shared" si="100"/>
        <v>11277</v>
      </c>
      <c r="L423" s="51">
        <f t="shared" si="10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
      <c r="A424" s="31" t="s">
        <v>92</v>
      </c>
      <c r="B424" s="1" t="s">
        <v>504</v>
      </c>
      <c r="C424" s="30" t="str">
        <f t="shared" si="102"/>
        <v>LA England - South Staffordshire</v>
      </c>
      <c r="D424" s="51">
        <f t="shared" si="95"/>
        <v>49200</v>
      </c>
      <c r="E424" s="51">
        <f t="shared" si="96"/>
        <v>49461</v>
      </c>
      <c r="F424" s="52">
        <f t="shared" si="97"/>
        <v>111527</v>
      </c>
      <c r="G424" s="52">
        <f t="shared" si="98"/>
        <v>55746</v>
      </c>
      <c r="H424" s="52">
        <f t="shared" si="99"/>
        <v>55781</v>
      </c>
      <c r="I424" s="697">
        <f t="shared" si="103"/>
        <v>49200</v>
      </c>
      <c r="J424" s="53">
        <f t="shared" si="104"/>
        <v>49461</v>
      </c>
      <c r="K424" s="50">
        <f t="shared" si="100"/>
        <v>9996</v>
      </c>
      <c r="L424" s="51">
        <f t="shared" si="10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
      <c r="A425" s="31" t="s">
        <v>92</v>
      </c>
      <c r="B425" s="1" t="s">
        <v>505</v>
      </c>
      <c r="C425" s="30" t="str">
        <f t="shared" si="102"/>
        <v>LA England - South Tyneside</v>
      </c>
      <c r="D425" s="51">
        <f t="shared" si="95"/>
        <v>62101</v>
      </c>
      <c r="E425" s="51">
        <f t="shared" si="96"/>
        <v>66747</v>
      </c>
      <c r="F425" s="52">
        <f t="shared" si="97"/>
        <v>148667</v>
      </c>
      <c r="G425" s="52">
        <f t="shared" si="98"/>
        <v>72355</v>
      </c>
      <c r="H425" s="52">
        <f t="shared" si="99"/>
        <v>76312</v>
      </c>
      <c r="I425" s="697">
        <f t="shared" si="103"/>
        <v>62101</v>
      </c>
      <c r="J425" s="53">
        <f t="shared" si="104"/>
        <v>66747</v>
      </c>
      <c r="K425" s="50">
        <f t="shared" si="100"/>
        <v>15451</v>
      </c>
      <c r="L425" s="51">
        <f t="shared" si="10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
      <c r="A426" s="31" t="s">
        <v>92</v>
      </c>
      <c r="B426" s="1" t="s">
        <v>506</v>
      </c>
      <c r="C426" s="30" t="str">
        <f t="shared" si="102"/>
        <v>LA England - Southampton</v>
      </c>
      <c r="D426" s="51">
        <f t="shared" si="95"/>
        <v>109121</v>
      </c>
      <c r="E426" s="51">
        <f t="shared" si="96"/>
        <v>109781</v>
      </c>
      <c r="F426" s="52">
        <f t="shared" si="97"/>
        <v>252689</v>
      </c>
      <c r="G426" s="52">
        <f t="shared" si="98"/>
        <v>126412</v>
      </c>
      <c r="H426" s="52">
        <f t="shared" si="99"/>
        <v>126277</v>
      </c>
      <c r="I426" s="697">
        <f t="shared" si="103"/>
        <v>109121</v>
      </c>
      <c r="J426" s="53">
        <f t="shared" si="104"/>
        <v>109781</v>
      </c>
      <c r="K426" s="50">
        <f t="shared" si="100"/>
        <v>25461</v>
      </c>
      <c r="L426" s="51">
        <f t="shared" si="10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
      <c r="A427" s="31" t="s">
        <v>92</v>
      </c>
      <c r="B427" s="1" t="s">
        <v>507</v>
      </c>
      <c r="C427" s="30" t="str">
        <f t="shared" si="102"/>
        <v>LA England - Southend-on-Sea</v>
      </c>
      <c r="D427" s="51">
        <f t="shared" si="95"/>
        <v>75266</v>
      </c>
      <c r="E427" s="51">
        <f t="shared" si="96"/>
        <v>80229</v>
      </c>
      <c r="F427" s="52">
        <f t="shared" si="97"/>
        <v>180915</v>
      </c>
      <c r="G427" s="52">
        <f t="shared" si="98"/>
        <v>88198</v>
      </c>
      <c r="H427" s="52">
        <f t="shared" si="99"/>
        <v>92717</v>
      </c>
      <c r="I427" s="697">
        <f t="shared" si="103"/>
        <v>75266</v>
      </c>
      <c r="J427" s="53">
        <f t="shared" si="104"/>
        <v>80229</v>
      </c>
      <c r="K427" s="50">
        <f t="shared" si="100"/>
        <v>19552</v>
      </c>
      <c r="L427" s="51">
        <f t="shared" si="10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
      <c r="A428" s="31" t="s">
        <v>92</v>
      </c>
      <c r="B428" s="1" t="s">
        <v>508</v>
      </c>
      <c r="C428" s="30" t="str">
        <f t="shared" si="102"/>
        <v>LA England - Southwark</v>
      </c>
      <c r="D428" s="51">
        <f t="shared" si="95"/>
        <v>132019</v>
      </c>
      <c r="E428" s="51">
        <f t="shared" si="96"/>
        <v>141966</v>
      </c>
      <c r="F428" s="52">
        <f t="shared" si="97"/>
        <v>311913</v>
      </c>
      <c r="G428" s="52">
        <f t="shared" si="98"/>
        <v>151277</v>
      </c>
      <c r="H428" s="52">
        <f t="shared" si="99"/>
        <v>160636</v>
      </c>
      <c r="I428" s="697">
        <f t="shared" si="103"/>
        <v>132019</v>
      </c>
      <c r="J428" s="53">
        <f t="shared" si="104"/>
        <v>141966</v>
      </c>
      <c r="K428" s="50">
        <f t="shared" si="100"/>
        <v>29064</v>
      </c>
      <c r="L428" s="51">
        <f t="shared" si="10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
      <c r="A429" s="31" t="s">
        <v>92</v>
      </c>
      <c r="B429" s="1" t="s">
        <v>509</v>
      </c>
      <c r="C429" s="30" t="str">
        <f t="shared" si="102"/>
        <v>LA England - Spelthorne</v>
      </c>
      <c r="D429" s="51">
        <f t="shared" si="95"/>
        <v>43187</v>
      </c>
      <c r="E429" s="51">
        <f t="shared" si="96"/>
        <v>45399</v>
      </c>
      <c r="F429" s="52">
        <f t="shared" si="97"/>
        <v>103551</v>
      </c>
      <c r="G429" s="52">
        <f t="shared" si="98"/>
        <v>50846</v>
      </c>
      <c r="H429" s="52">
        <f t="shared" si="99"/>
        <v>52705</v>
      </c>
      <c r="I429" s="697">
        <f t="shared" si="103"/>
        <v>43187</v>
      </c>
      <c r="J429" s="53">
        <f t="shared" si="104"/>
        <v>45399</v>
      </c>
      <c r="K429" s="50">
        <f t="shared" si="100"/>
        <v>11384</v>
      </c>
      <c r="L429" s="51">
        <f t="shared" si="10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
      <c r="A430" s="31" t="s">
        <v>92</v>
      </c>
      <c r="B430" s="1" t="s">
        <v>510</v>
      </c>
      <c r="C430" s="30" t="str">
        <f t="shared" si="102"/>
        <v>LA England - St Albans</v>
      </c>
      <c r="D430" s="51">
        <f t="shared" si="95"/>
        <v>60661</v>
      </c>
      <c r="E430" s="51">
        <f t="shared" si="96"/>
        <v>64670</v>
      </c>
      <c r="F430" s="52">
        <f t="shared" si="97"/>
        <v>148358</v>
      </c>
      <c r="G430" s="52">
        <f t="shared" si="98"/>
        <v>72473</v>
      </c>
      <c r="H430" s="52">
        <f t="shared" si="99"/>
        <v>75885</v>
      </c>
      <c r="I430" s="697">
        <f t="shared" si="103"/>
        <v>60661</v>
      </c>
      <c r="J430" s="53">
        <f t="shared" si="104"/>
        <v>64670</v>
      </c>
      <c r="K430" s="50">
        <f t="shared" si="100"/>
        <v>18485</v>
      </c>
      <c r="L430" s="51">
        <f t="shared" si="10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
      <c r="A431" s="31" t="s">
        <v>92</v>
      </c>
      <c r="B431" s="1" t="s">
        <v>511</v>
      </c>
      <c r="C431" s="30" t="str">
        <f t="shared" si="102"/>
        <v>LA England - St. Helens</v>
      </c>
      <c r="D431" s="51">
        <f t="shared" si="95"/>
        <v>78177</v>
      </c>
      <c r="E431" s="51">
        <f t="shared" si="96"/>
        <v>82351</v>
      </c>
      <c r="F431" s="52">
        <f t="shared" si="97"/>
        <v>184728</v>
      </c>
      <c r="G431" s="52">
        <f t="shared" si="98"/>
        <v>90663</v>
      </c>
      <c r="H431" s="52">
        <f t="shared" si="99"/>
        <v>94065</v>
      </c>
      <c r="I431" s="697">
        <f t="shared" si="103"/>
        <v>78177</v>
      </c>
      <c r="J431" s="53">
        <f t="shared" si="104"/>
        <v>82351</v>
      </c>
      <c r="K431" s="50">
        <f t="shared" si="100"/>
        <v>18955</v>
      </c>
      <c r="L431" s="51">
        <f t="shared" si="10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
      <c r="A432" s="31" t="s">
        <v>92</v>
      </c>
      <c r="B432" s="1" t="s">
        <v>512</v>
      </c>
      <c r="C432" s="30" t="str">
        <f t="shared" si="102"/>
        <v>LA England - Stafford</v>
      </c>
      <c r="D432" s="51">
        <f t="shared" si="95"/>
        <v>59548</v>
      </c>
      <c r="E432" s="51">
        <f t="shared" si="96"/>
        <v>61933</v>
      </c>
      <c r="F432" s="52">
        <f t="shared" si="97"/>
        <v>138670</v>
      </c>
      <c r="G432" s="52">
        <f t="shared" si="98"/>
        <v>68380</v>
      </c>
      <c r="H432" s="52">
        <f t="shared" si="99"/>
        <v>70290</v>
      </c>
      <c r="I432" s="697">
        <f t="shared" si="103"/>
        <v>59548</v>
      </c>
      <c r="J432" s="53">
        <f t="shared" si="104"/>
        <v>61933</v>
      </c>
      <c r="K432" s="50">
        <f t="shared" si="100"/>
        <v>13455</v>
      </c>
      <c r="L432" s="51">
        <f t="shared" si="10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
      <c r="A433" s="31" t="s">
        <v>92</v>
      </c>
      <c r="B433" s="1" t="s">
        <v>513</v>
      </c>
      <c r="C433" s="30" t="str">
        <f t="shared" si="102"/>
        <v>LA England - Staffordshire Moorlands</v>
      </c>
      <c r="D433" s="51">
        <f t="shared" si="95"/>
        <v>41674</v>
      </c>
      <c r="E433" s="51">
        <f t="shared" si="96"/>
        <v>43461</v>
      </c>
      <c r="F433" s="52">
        <f t="shared" si="97"/>
        <v>95899</v>
      </c>
      <c r="G433" s="52">
        <f t="shared" si="98"/>
        <v>47233</v>
      </c>
      <c r="H433" s="52">
        <f t="shared" si="99"/>
        <v>48666</v>
      </c>
      <c r="I433" s="697">
        <f t="shared" si="103"/>
        <v>41674</v>
      </c>
      <c r="J433" s="53">
        <f t="shared" si="104"/>
        <v>43461</v>
      </c>
      <c r="K433" s="50">
        <f t="shared" si="100"/>
        <v>8746</v>
      </c>
      <c r="L433" s="51">
        <f t="shared" si="10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
      <c r="A434" s="31" t="s">
        <v>92</v>
      </c>
      <c r="B434" s="1" t="s">
        <v>514</v>
      </c>
      <c r="C434" s="30" t="str">
        <f t="shared" si="102"/>
        <v>LA England - Stevenage</v>
      </c>
      <c r="D434" s="51">
        <f t="shared" si="95"/>
        <v>37147</v>
      </c>
      <c r="E434" s="51">
        <f t="shared" si="96"/>
        <v>38712</v>
      </c>
      <c r="F434" s="52">
        <f t="shared" si="97"/>
        <v>89737</v>
      </c>
      <c r="G434" s="52">
        <f t="shared" si="98"/>
        <v>44356</v>
      </c>
      <c r="H434" s="52">
        <f t="shared" si="99"/>
        <v>45381</v>
      </c>
      <c r="I434" s="697">
        <f t="shared" si="103"/>
        <v>37147</v>
      </c>
      <c r="J434" s="53">
        <f t="shared" si="104"/>
        <v>38712</v>
      </c>
      <c r="K434" s="50">
        <f t="shared" si="100"/>
        <v>10664</v>
      </c>
      <c r="L434" s="51">
        <f t="shared" si="10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
      <c r="A435" s="31" t="s">
        <v>92</v>
      </c>
      <c r="B435" s="1" t="s">
        <v>515</v>
      </c>
      <c r="C435" s="30" t="str">
        <f t="shared" si="102"/>
        <v>LA England - Stockport</v>
      </c>
      <c r="D435" s="51">
        <f t="shared" si="95"/>
        <v>123257</v>
      </c>
      <c r="E435" s="51">
        <f t="shared" si="96"/>
        <v>131623</v>
      </c>
      <c r="F435" s="52">
        <f t="shared" si="97"/>
        <v>297107</v>
      </c>
      <c r="G435" s="52">
        <f t="shared" si="98"/>
        <v>144724</v>
      </c>
      <c r="H435" s="52">
        <f t="shared" si="99"/>
        <v>152383</v>
      </c>
      <c r="I435" s="697">
        <f t="shared" si="103"/>
        <v>123257</v>
      </c>
      <c r="J435" s="53">
        <f t="shared" si="104"/>
        <v>131623</v>
      </c>
      <c r="K435" s="50">
        <f t="shared" si="100"/>
        <v>32601</v>
      </c>
      <c r="L435" s="51">
        <f t="shared" si="10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
      <c r="A436" s="31" t="s">
        <v>92</v>
      </c>
      <c r="B436" s="1" t="s">
        <v>516</v>
      </c>
      <c r="C436" s="30" t="str">
        <f t="shared" si="102"/>
        <v>LA England - Stockton-on-Tees</v>
      </c>
      <c r="D436" s="51">
        <f t="shared" si="95"/>
        <v>83952</v>
      </c>
      <c r="E436" s="51">
        <f t="shared" si="96"/>
        <v>87590</v>
      </c>
      <c r="F436" s="52">
        <f t="shared" si="97"/>
        <v>199966</v>
      </c>
      <c r="G436" s="52">
        <f t="shared" si="98"/>
        <v>98511</v>
      </c>
      <c r="H436" s="52">
        <f t="shared" si="99"/>
        <v>101455</v>
      </c>
      <c r="I436" s="697">
        <f t="shared" si="103"/>
        <v>83952</v>
      </c>
      <c r="J436" s="53">
        <f t="shared" si="104"/>
        <v>87590</v>
      </c>
      <c r="K436" s="50">
        <f t="shared" si="100"/>
        <v>22355</v>
      </c>
      <c r="L436" s="51">
        <f t="shared" si="10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
      <c r="A437" s="31" t="s">
        <v>92</v>
      </c>
      <c r="B437" s="1" t="s">
        <v>517</v>
      </c>
      <c r="C437" s="30" t="str">
        <f t="shared" si="102"/>
        <v>LA England - Stoke-on-Trent</v>
      </c>
      <c r="D437" s="51">
        <f t="shared" si="95"/>
        <v>109626</v>
      </c>
      <c r="E437" s="51">
        <f t="shared" si="96"/>
        <v>110764</v>
      </c>
      <c r="F437" s="52">
        <f t="shared" si="97"/>
        <v>259965</v>
      </c>
      <c r="G437" s="52">
        <f t="shared" si="98"/>
        <v>129616</v>
      </c>
      <c r="H437" s="52">
        <f t="shared" si="99"/>
        <v>130349</v>
      </c>
      <c r="I437" s="697">
        <f t="shared" si="103"/>
        <v>109626</v>
      </c>
      <c r="J437" s="53">
        <f t="shared" si="104"/>
        <v>110764</v>
      </c>
      <c r="K437" s="50">
        <f t="shared" si="100"/>
        <v>30043</v>
      </c>
      <c r="L437" s="51">
        <f t="shared" si="10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
      <c r="A438" s="31" t="s">
        <v>92</v>
      </c>
      <c r="B438" s="1" t="s">
        <v>518</v>
      </c>
      <c r="C438" s="30" t="str">
        <f t="shared" si="102"/>
        <v>LA England - Stratford-on-Avon</v>
      </c>
      <c r="D438" s="51">
        <f t="shared" si="95"/>
        <v>58777</v>
      </c>
      <c r="E438" s="51">
        <f t="shared" si="96"/>
        <v>63145</v>
      </c>
      <c r="F438" s="52">
        <f t="shared" si="97"/>
        <v>138583</v>
      </c>
      <c r="G438" s="52">
        <f t="shared" si="98"/>
        <v>67296</v>
      </c>
      <c r="H438" s="52">
        <f t="shared" si="99"/>
        <v>71287</v>
      </c>
      <c r="I438" s="697">
        <f t="shared" si="103"/>
        <v>58777</v>
      </c>
      <c r="J438" s="53">
        <f t="shared" si="104"/>
        <v>63145</v>
      </c>
      <c r="K438" s="50">
        <f t="shared" si="100"/>
        <v>13125</v>
      </c>
      <c r="L438" s="51">
        <f t="shared" si="10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
      <c r="A439" s="31" t="s">
        <v>92</v>
      </c>
      <c r="B439" s="1" t="s">
        <v>519</v>
      </c>
      <c r="C439" s="30" t="str">
        <f t="shared" si="102"/>
        <v>LA England - Stroud</v>
      </c>
      <c r="D439" s="51">
        <f t="shared" si="95"/>
        <v>52300</v>
      </c>
      <c r="E439" s="51">
        <f t="shared" si="96"/>
        <v>55553</v>
      </c>
      <c r="F439" s="52">
        <f t="shared" si="97"/>
        <v>123205</v>
      </c>
      <c r="G439" s="52">
        <f t="shared" si="98"/>
        <v>60231</v>
      </c>
      <c r="H439" s="52">
        <f t="shared" si="99"/>
        <v>62974</v>
      </c>
      <c r="I439" s="697">
        <f t="shared" si="103"/>
        <v>52300</v>
      </c>
      <c r="J439" s="53">
        <f t="shared" si="104"/>
        <v>55553</v>
      </c>
      <c r="K439" s="50">
        <f t="shared" si="100"/>
        <v>12335</v>
      </c>
      <c r="L439" s="51">
        <f t="shared" si="10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
      <c r="A440" s="31" t="s">
        <v>92</v>
      </c>
      <c r="B440" s="1" t="s">
        <v>520</v>
      </c>
      <c r="C440" s="30" t="str">
        <f t="shared" si="102"/>
        <v>LA England - Sunderland</v>
      </c>
      <c r="D440" s="51">
        <f t="shared" si="95"/>
        <v>116534</v>
      </c>
      <c r="E440" s="51">
        <f t="shared" si="96"/>
        <v>124914</v>
      </c>
      <c r="F440" s="52">
        <f t="shared" si="97"/>
        <v>277354</v>
      </c>
      <c r="G440" s="52">
        <f t="shared" si="98"/>
        <v>135038</v>
      </c>
      <c r="H440" s="52">
        <f t="shared" si="99"/>
        <v>142316</v>
      </c>
      <c r="I440" s="697">
        <f t="shared" si="103"/>
        <v>116534</v>
      </c>
      <c r="J440" s="53">
        <f t="shared" si="104"/>
        <v>124914</v>
      </c>
      <c r="K440" s="50">
        <f t="shared" si="100"/>
        <v>28182</v>
      </c>
      <c r="L440" s="51">
        <f t="shared" si="10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
      <c r="A441" s="31" t="s">
        <v>92</v>
      </c>
      <c r="B441" s="1" t="s">
        <v>521</v>
      </c>
      <c r="C441" s="30" t="str">
        <f t="shared" si="102"/>
        <v>LA England - Surrey Heath</v>
      </c>
      <c r="D441" s="51">
        <f t="shared" si="95"/>
        <v>38631</v>
      </c>
      <c r="E441" s="51">
        <f t="shared" si="96"/>
        <v>40439</v>
      </c>
      <c r="F441" s="52">
        <f t="shared" si="97"/>
        <v>91237</v>
      </c>
      <c r="G441" s="52">
        <f t="shared" si="98"/>
        <v>44936</v>
      </c>
      <c r="H441" s="52">
        <f t="shared" si="99"/>
        <v>46301</v>
      </c>
      <c r="I441" s="697">
        <f t="shared" si="103"/>
        <v>38631</v>
      </c>
      <c r="J441" s="53">
        <f t="shared" si="104"/>
        <v>40439</v>
      </c>
      <c r="K441" s="50">
        <f t="shared" si="100"/>
        <v>9838</v>
      </c>
      <c r="L441" s="51">
        <f t="shared" si="10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
      <c r="A442" s="31" t="s">
        <v>92</v>
      </c>
      <c r="B442" s="1" t="s">
        <v>522</v>
      </c>
      <c r="C442" s="30" t="str">
        <f t="shared" si="102"/>
        <v>LA England - Sutton</v>
      </c>
      <c r="D442" s="51">
        <f t="shared" si="95"/>
        <v>84925</v>
      </c>
      <c r="E442" s="51">
        <f t="shared" si="96"/>
        <v>92387</v>
      </c>
      <c r="F442" s="52">
        <f t="shared" si="97"/>
        <v>210053</v>
      </c>
      <c r="G442" s="52">
        <f t="shared" si="98"/>
        <v>101742</v>
      </c>
      <c r="H442" s="52">
        <f t="shared" si="99"/>
        <v>108311</v>
      </c>
      <c r="I442" s="697">
        <f t="shared" si="103"/>
        <v>84925</v>
      </c>
      <c r="J442" s="53">
        <f t="shared" si="104"/>
        <v>92387</v>
      </c>
      <c r="K442" s="50">
        <f t="shared" si="100"/>
        <v>25444</v>
      </c>
      <c r="L442" s="51">
        <f t="shared" si="10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
      <c r="A443" s="31" t="s">
        <v>92</v>
      </c>
      <c r="B443" s="1" t="s">
        <v>523</v>
      </c>
      <c r="C443" s="30" t="str">
        <f t="shared" si="102"/>
        <v>LA England - Swale</v>
      </c>
      <c r="D443" s="51">
        <f t="shared" si="95"/>
        <v>65120</v>
      </c>
      <c r="E443" s="51">
        <f t="shared" si="96"/>
        <v>66864</v>
      </c>
      <c r="F443" s="52">
        <f t="shared" si="97"/>
        <v>154619</v>
      </c>
      <c r="G443" s="52">
        <f t="shared" si="98"/>
        <v>76731</v>
      </c>
      <c r="H443" s="52">
        <f t="shared" si="99"/>
        <v>77888</v>
      </c>
      <c r="I443" s="697">
        <f t="shared" si="103"/>
        <v>65120</v>
      </c>
      <c r="J443" s="53">
        <f t="shared" si="104"/>
        <v>66864</v>
      </c>
      <c r="K443" s="50">
        <f t="shared" si="100"/>
        <v>17481</v>
      </c>
      <c r="L443" s="51">
        <f t="shared" si="10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
      <c r="A444" s="31" t="s">
        <v>92</v>
      </c>
      <c r="B444" s="1" t="s">
        <v>524</v>
      </c>
      <c r="C444" s="30" t="str">
        <f t="shared" si="102"/>
        <v>LA England - Swindon</v>
      </c>
      <c r="D444" s="51">
        <f t="shared" si="95"/>
        <v>99347</v>
      </c>
      <c r="E444" s="51">
        <f t="shared" si="96"/>
        <v>101401</v>
      </c>
      <c r="F444" s="52">
        <f t="shared" si="97"/>
        <v>235657</v>
      </c>
      <c r="G444" s="52">
        <f t="shared" si="98"/>
        <v>117144</v>
      </c>
      <c r="H444" s="52">
        <f t="shared" si="99"/>
        <v>118513</v>
      </c>
      <c r="I444" s="697">
        <f t="shared" si="103"/>
        <v>99347</v>
      </c>
      <c r="J444" s="53">
        <f t="shared" si="104"/>
        <v>101401</v>
      </c>
      <c r="K444" s="50">
        <f t="shared" si="100"/>
        <v>26674</v>
      </c>
      <c r="L444" s="51">
        <f t="shared" si="10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
      <c r="A445" s="31" t="s">
        <v>92</v>
      </c>
      <c r="B445" s="1" t="s">
        <v>525</v>
      </c>
      <c r="C445" s="30" t="str">
        <f t="shared" si="102"/>
        <v>LA England - Tameside</v>
      </c>
      <c r="D445" s="51">
        <f t="shared" si="95"/>
        <v>96717</v>
      </c>
      <c r="E445" s="51">
        <f t="shared" si="96"/>
        <v>101885</v>
      </c>
      <c r="F445" s="52">
        <f t="shared" si="97"/>
        <v>232753</v>
      </c>
      <c r="G445" s="52">
        <f t="shared" si="98"/>
        <v>114289</v>
      </c>
      <c r="H445" s="52">
        <f t="shared" si="99"/>
        <v>118464</v>
      </c>
      <c r="I445" s="697">
        <f t="shared" si="103"/>
        <v>96717</v>
      </c>
      <c r="J445" s="53">
        <f t="shared" si="104"/>
        <v>101885</v>
      </c>
      <c r="K445" s="50">
        <f t="shared" si="100"/>
        <v>26540</v>
      </c>
      <c r="L445" s="51">
        <f t="shared" si="10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
      <c r="A446" s="31" t="s">
        <v>92</v>
      </c>
      <c r="B446" s="1" t="s">
        <v>526</v>
      </c>
      <c r="C446" s="30" t="str">
        <f t="shared" si="102"/>
        <v>LA England - Tamworth</v>
      </c>
      <c r="D446" s="51">
        <f t="shared" si="95"/>
        <v>33355</v>
      </c>
      <c r="E446" s="51">
        <f t="shared" si="96"/>
        <v>35118</v>
      </c>
      <c r="F446" s="52">
        <f t="shared" si="97"/>
        <v>79639</v>
      </c>
      <c r="G446" s="52">
        <f t="shared" si="98"/>
        <v>39099</v>
      </c>
      <c r="H446" s="52">
        <f t="shared" si="99"/>
        <v>40540</v>
      </c>
      <c r="I446" s="697">
        <f t="shared" si="103"/>
        <v>33355</v>
      </c>
      <c r="J446" s="53">
        <f t="shared" si="104"/>
        <v>35118</v>
      </c>
      <c r="K446" s="50">
        <f t="shared" si="100"/>
        <v>8724</v>
      </c>
      <c r="L446" s="51">
        <f t="shared" si="10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
      <c r="A447" s="31" t="s">
        <v>92</v>
      </c>
      <c r="B447" s="1" t="s">
        <v>527</v>
      </c>
      <c r="C447" s="30" t="str">
        <f t="shared" si="102"/>
        <v>LA England - Tandridge</v>
      </c>
      <c r="D447" s="51">
        <f t="shared" si="95"/>
        <v>36275</v>
      </c>
      <c r="E447" s="51">
        <f t="shared" si="96"/>
        <v>39849</v>
      </c>
      <c r="F447" s="52">
        <f t="shared" si="97"/>
        <v>88707</v>
      </c>
      <c r="G447" s="52">
        <f t="shared" si="98"/>
        <v>42751</v>
      </c>
      <c r="H447" s="52">
        <f t="shared" si="99"/>
        <v>45956</v>
      </c>
      <c r="I447" s="697">
        <f t="shared" si="103"/>
        <v>36275</v>
      </c>
      <c r="J447" s="53">
        <f t="shared" si="104"/>
        <v>39849</v>
      </c>
      <c r="K447" s="50">
        <f t="shared" si="100"/>
        <v>9814</v>
      </c>
      <c r="L447" s="51">
        <f t="shared" si="10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
      <c r="A448" s="31" t="s">
        <v>92</v>
      </c>
      <c r="B448" s="1" t="s">
        <v>528</v>
      </c>
      <c r="C448" s="30" t="str">
        <f t="shared" si="102"/>
        <v>LA England - Teignbridge</v>
      </c>
      <c r="D448" s="51">
        <f t="shared" si="95"/>
        <v>57930</v>
      </c>
      <c r="E448" s="51">
        <f t="shared" si="96"/>
        <v>62351</v>
      </c>
      <c r="F448" s="52">
        <f t="shared" si="97"/>
        <v>135952</v>
      </c>
      <c r="G448" s="52">
        <f t="shared" si="98"/>
        <v>66022</v>
      </c>
      <c r="H448" s="52">
        <f t="shared" si="99"/>
        <v>69930</v>
      </c>
      <c r="I448" s="697">
        <f t="shared" si="103"/>
        <v>57930</v>
      </c>
      <c r="J448" s="53">
        <f t="shared" si="104"/>
        <v>62351</v>
      </c>
      <c r="K448" s="50">
        <f t="shared" si="100"/>
        <v>12499</v>
      </c>
      <c r="L448" s="51">
        <f t="shared" si="10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
      <c r="A449" s="31" t="s">
        <v>92</v>
      </c>
      <c r="B449" s="1" t="s">
        <v>529</v>
      </c>
      <c r="C449" s="30" t="str">
        <f t="shared" si="102"/>
        <v>LA England - Telford and Wrekin</v>
      </c>
      <c r="D449" s="51">
        <f t="shared" si="95"/>
        <v>78682</v>
      </c>
      <c r="E449" s="51">
        <f t="shared" si="96"/>
        <v>82527</v>
      </c>
      <c r="F449" s="52">
        <f t="shared" si="97"/>
        <v>188871</v>
      </c>
      <c r="G449" s="52">
        <f t="shared" si="98"/>
        <v>92843</v>
      </c>
      <c r="H449" s="52">
        <f t="shared" si="99"/>
        <v>96028</v>
      </c>
      <c r="I449" s="697">
        <f t="shared" si="103"/>
        <v>78682</v>
      </c>
      <c r="J449" s="53">
        <f t="shared" si="104"/>
        <v>82527</v>
      </c>
      <c r="K449" s="50">
        <f t="shared" si="100"/>
        <v>21652</v>
      </c>
      <c r="L449" s="51">
        <f t="shared" si="10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
      <c r="A450" s="31" t="s">
        <v>92</v>
      </c>
      <c r="B450" s="1" t="s">
        <v>530</v>
      </c>
      <c r="C450" s="30" t="str">
        <f t="shared" si="102"/>
        <v>LA England - Tendring</v>
      </c>
      <c r="D450" s="51">
        <f t="shared" si="95"/>
        <v>63954</v>
      </c>
      <c r="E450" s="51">
        <f t="shared" si="96"/>
        <v>69884</v>
      </c>
      <c r="F450" s="52">
        <f t="shared" si="97"/>
        <v>151451</v>
      </c>
      <c r="G450" s="52">
        <f t="shared" si="98"/>
        <v>72970</v>
      </c>
      <c r="H450" s="52">
        <f t="shared" si="99"/>
        <v>78481</v>
      </c>
      <c r="I450" s="697">
        <f t="shared" si="103"/>
        <v>63954</v>
      </c>
      <c r="J450" s="53">
        <f t="shared" si="104"/>
        <v>69884</v>
      </c>
      <c r="K450" s="50">
        <f t="shared" si="100"/>
        <v>13695</v>
      </c>
      <c r="L450" s="51">
        <f t="shared" si="10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
      <c r="A451" s="31" t="s">
        <v>92</v>
      </c>
      <c r="B451" s="1" t="s">
        <v>531</v>
      </c>
      <c r="C451" s="30" t="str">
        <f t="shared" si="102"/>
        <v>LA England - Test Valley</v>
      </c>
      <c r="D451" s="51">
        <f t="shared" si="95"/>
        <v>55639</v>
      </c>
      <c r="E451" s="51">
        <f t="shared" si="96"/>
        <v>58999</v>
      </c>
      <c r="F451" s="52">
        <f t="shared" si="97"/>
        <v>132871</v>
      </c>
      <c r="G451" s="52">
        <f t="shared" si="98"/>
        <v>64891</v>
      </c>
      <c r="H451" s="52">
        <f t="shared" si="99"/>
        <v>67980</v>
      </c>
      <c r="I451" s="697">
        <f t="shared" si="103"/>
        <v>55639</v>
      </c>
      <c r="J451" s="53">
        <f t="shared" si="104"/>
        <v>58999</v>
      </c>
      <c r="K451" s="50">
        <f t="shared" si="100"/>
        <v>13765</v>
      </c>
      <c r="L451" s="51">
        <f t="shared" si="10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
      <c r="A452" s="31" t="s">
        <v>92</v>
      </c>
      <c r="B452" s="1" t="s">
        <v>532</v>
      </c>
      <c r="C452" s="30" t="str">
        <f t="shared" si="102"/>
        <v>LA England - Tewkesbury</v>
      </c>
      <c r="D452" s="51">
        <f t="shared" si="95"/>
        <v>40045</v>
      </c>
      <c r="E452" s="51">
        <f t="shared" si="96"/>
        <v>43434</v>
      </c>
      <c r="F452" s="52">
        <f t="shared" si="97"/>
        <v>97000</v>
      </c>
      <c r="G452" s="52">
        <f t="shared" si="98"/>
        <v>47040</v>
      </c>
      <c r="H452" s="52">
        <f t="shared" si="99"/>
        <v>49960</v>
      </c>
      <c r="I452" s="697">
        <f t="shared" si="103"/>
        <v>40045</v>
      </c>
      <c r="J452" s="53">
        <f t="shared" si="104"/>
        <v>43434</v>
      </c>
      <c r="K452" s="50">
        <f t="shared" si="100"/>
        <v>10294</v>
      </c>
      <c r="L452" s="51">
        <f t="shared" si="10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
      <c r="A453" s="31" t="s">
        <v>92</v>
      </c>
      <c r="B453" s="1" t="s">
        <v>533</v>
      </c>
      <c r="C453" s="30" t="str">
        <f t="shared" si="102"/>
        <v>LA England - Thanet</v>
      </c>
      <c r="D453" s="51">
        <f t="shared" si="95"/>
        <v>58014</v>
      </c>
      <c r="E453" s="51">
        <f t="shared" si="96"/>
        <v>64141</v>
      </c>
      <c r="F453" s="52">
        <f t="shared" si="97"/>
        <v>140689</v>
      </c>
      <c r="G453" s="52">
        <f t="shared" si="98"/>
        <v>67694</v>
      </c>
      <c r="H453" s="52">
        <f t="shared" si="99"/>
        <v>72995</v>
      </c>
      <c r="I453" s="697">
        <f t="shared" si="103"/>
        <v>58014</v>
      </c>
      <c r="J453" s="53">
        <f t="shared" si="104"/>
        <v>64141</v>
      </c>
      <c r="K453" s="50">
        <f t="shared" si="100"/>
        <v>14788</v>
      </c>
      <c r="L453" s="51">
        <f t="shared" si="10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
      <c r="A454" s="31" t="s">
        <v>92</v>
      </c>
      <c r="B454" s="1" t="s">
        <v>534</v>
      </c>
      <c r="C454" s="30" t="str">
        <f t="shared" si="102"/>
        <v>LA England - Three Rivers</v>
      </c>
      <c r="D454" s="51">
        <f t="shared" si="95"/>
        <v>38916</v>
      </c>
      <c r="E454" s="51">
        <f t="shared" si="96"/>
        <v>41622</v>
      </c>
      <c r="F454" s="52">
        <f t="shared" si="97"/>
        <v>94123</v>
      </c>
      <c r="G454" s="52">
        <f t="shared" si="98"/>
        <v>45800</v>
      </c>
      <c r="H454" s="52">
        <f t="shared" si="99"/>
        <v>48323</v>
      </c>
      <c r="I454" s="697">
        <f t="shared" si="103"/>
        <v>38916</v>
      </c>
      <c r="J454" s="53">
        <f t="shared" si="104"/>
        <v>41622</v>
      </c>
      <c r="K454" s="50">
        <f t="shared" si="100"/>
        <v>10794</v>
      </c>
      <c r="L454" s="51">
        <f t="shared" si="10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
      <c r="A455" s="31" t="s">
        <v>92</v>
      </c>
      <c r="B455" s="1" t="s">
        <v>535</v>
      </c>
      <c r="C455" s="30" t="str">
        <f t="shared" si="102"/>
        <v>LA England - Thurrock</v>
      </c>
      <c r="D455" s="51">
        <f t="shared" si="95"/>
        <v>71148</v>
      </c>
      <c r="E455" s="51">
        <f t="shared" si="96"/>
        <v>75561</v>
      </c>
      <c r="F455" s="52">
        <f t="shared" si="97"/>
        <v>176877</v>
      </c>
      <c r="G455" s="52">
        <f t="shared" si="98"/>
        <v>86665</v>
      </c>
      <c r="H455" s="52">
        <f t="shared" si="99"/>
        <v>90212</v>
      </c>
      <c r="I455" s="697">
        <f t="shared" si="103"/>
        <v>71148</v>
      </c>
      <c r="J455" s="53">
        <f t="shared" si="104"/>
        <v>75561</v>
      </c>
      <c r="K455" s="50">
        <f t="shared" si="100"/>
        <v>23083</v>
      </c>
      <c r="L455" s="51">
        <f t="shared" si="10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
      <c r="A456" s="31" t="s">
        <v>92</v>
      </c>
      <c r="B456" s="1" t="s">
        <v>536</v>
      </c>
      <c r="C456" s="30" t="str">
        <f t="shared" si="102"/>
        <v>LA England - Tonbridge and Malling</v>
      </c>
      <c r="D456" s="51">
        <f t="shared" si="95"/>
        <v>54817</v>
      </c>
      <c r="E456" s="51">
        <f t="shared" si="96"/>
        <v>59095</v>
      </c>
      <c r="F456" s="52">
        <f t="shared" si="97"/>
        <v>133661</v>
      </c>
      <c r="G456" s="52">
        <f t="shared" si="98"/>
        <v>64931</v>
      </c>
      <c r="H456" s="52">
        <f t="shared" si="99"/>
        <v>68730</v>
      </c>
      <c r="I456" s="697">
        <f t="shared" si="103"/>
        <v>54817</v>
      </c>
      <c r="J456" s="53">
        <f t="shared" si="104"/>
        <v>59095</v>
      </c>
      <c r="K456" s="50">
        <f t="shared" si="100"/>
        <v>15652</v>
      </c>
      <c r="L456" s="51">
        <f t="shared" si="10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
      <c r="A457" s="31" t="s">
        <v>92</v>
      </c>
      <c r="B457" s="1" t="s">
        <v>537</v>
      </c>
      <c r="C457" s="30" t="str">
        <f t="shared" si="102"/>
        <v>LA England - Torbay</v>
      </c>
      <c r="D457" s="51">
        <f t="shared" si="95"/>
        <v>59701</v>
      </c>
      <c r="E457" s="51">
        <f t="shared" si="96"/>
        <v>63696</v>
      </c>
      <c r="F457" s="52">
        <f t="shared" si="97"/>
        <v>139479</v>
      </c>
      <c r="G457" s="52">
        <f t="shared" si="98"/>
        <v>67916</v>
      </c>
      <c r="H457" s="52">
        <f t="shared" si="99"/>
        <v>71563</v>
      </c>
      <c r="I457" s="697">
        <f t="shared" si="103"/>
        <v>59701</v>
      </c>
      <c r="J457" s="53">
        <f t="shared" si="104"/>
        <v>63696</v>
      </c>
      <c r="K457" s="50">
        <f t="shared" si="100"/>
        <v>12882</v>
      </c>
      <c r="L457" s="51">
        <f t="shared" si="10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
      <c r="A458" s="31" t="s">
        <v>92</v>
      </c>
      <c r="B458" s="1" t="s">
        <v>538</v>
      </c>
      <c r="C458" s="30" t="str">
        <f t="shared" si="102"/>
        <v>LA England - Torridge</v>
      </c>
      <c r="D458" s="51">
        <f t="shared" ref="D458:D496" si="105">I458</f>
        <v>29623</v>
      </c>
      <c r="E458" s="51">
        <f t="shared" ref="E458:E496" si="106">J458</f>
        <v>31353</v>
      </c>
      <c r="F458" s="52">
        <f t="shared" ref="F458:F496" si="107">G458+H458</f>
        <v>68635</v>
      </c>
      <c r="G458" s="52">
        <f t="shared" ref="G458:G496" si="108">SUM(M458:CY458)</f>
        <v>33615</v>
      </c>
      <c r="H458" s="52">
        <f t="shared" ref="H458:H496" si="109">SUM(CZ458:GL458)</f>
        <v>35020</v>
      </c>
      <c r="I458" s="697">
        <f t="shared" si="103"/>
        <v>29623</v>
      </c>
      <c r="J458" s="53">
        <f t="shared" si="104"/>
        <v>31353</v>
      </c>
      <c r="K458" s="50">
        <f t="shared" ref="K458:K496" si="110">SUM(M458:AD458)</f>
        <v>6223</v>
      </c>
      <c r="L458" s="51">
        <f t="shared" ref="L458:L496" si="11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
      <c r="A459" s="31" t="s">
        <v>92</v>
      </c>
      <c r="B459" s="1" t="s">
        <v>539</v>
      </c>
      <c r="C459" s="30" t="str">
        <f t="shared" si="102"/>
        <v>LA England - Tower Hamlets</v>
      </c>
      <c r="D459" s="51">
        <f t="shared" si="105"/>
        <v>141512</v>
      </c>
      <c r="E459" s="51">
        <f t="shared" si="106"/>
        <v>140605</v>
      </c>
      <c r="F459" s="52">
        <f t="shared" si="107"/>
        <v>325789</v>
      </c>
      <c r="G459" s="52">
        <f t="shared" si="108"/>
        <v>163842</v>
      </c>
      <c r="H459" s="52">
        <f t="shared" si="109"/>
        <v>161947</v>
      </c>
      <c r="I459" s="697">
        <f t="shared" si="103"/>
        <v>141512</v>
      </c>
      <c r="J459" s="53">
        <f t="shared" si="104"/>
        <v>140605</v>
      </c>
      <c r="K459" s="50">
        <f t="shared" si="110"/>
        <v>32726</v>
      </c>
      <c r="L459" s="51">
        <f t="shared" si="11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
      <c r="A460" s="31" t="s">
        <v>92</v>
      </c>
      <c r="B460" s="1" t="s">
        <v>540</v>
      </c>
      <c r="C460" s="30" t="str">
        <f t="shared" ref="C460:C496" si="112">CONCATENATE(A460," - ",B460)</f>
        <v>LA England - Trafford</v>
      </c>
      <c r="D460" s="51">
        <f t="shared" si="105"/>
        <v>96658</v>
      </c>
      <c r="E460" s="51">
        <f t="shared" si="106"/>
        <v>103418</v>
      </c>
      <c r="F460" s="52">
        <f t="shared" si="107"/>
        <v>236301</v>
      </c>
      <c r="G460" s="52">
        <f t="shared" si="108"/>
        <v>115249</v>
      </c>
      <c r="H460" s="52">
        <f t="shared" si="109"/>
        <v>121052</v>
      </c>
      <c r="I460" s="697">
        <f t="shared" si="103"/>
        <v>96658</v>
      </c>
      <c r="J460" s="53">
        <f t="shared" si="104"/>
        <v>103418</v>
      </c>
      <c r="K460" s="50">
        <f t="shared" si="110"/>
        <v>28380</v>
      </c>
      <c r="L460" s="51">
        <f t="shared" si="11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
      <c r="A461" s="31" t="s">
        <v>92</v>
      </c>
      <c r="B461" s="1" t="s">
        <v>541</v>
      </c>
      <c r="C461" s="30" t="str">
        <f t="shared" si="112"/>
        <v>LA England - Tunbridge Wells</v>
      </c>
      <c r="D461" s="51">
        <f t="shared" si="105"/>
        <v>47994</v>
      </c>
      <c r="E461" s="51">
        <f t="shared" si="106"/>
        <v>51604</v>
      </c>
      <c r="F461" s="52">
        <f t="shared" si="107"/>
        <v>116028</v>
      </c>
      <c r="G461" s="52">
        <f t="shared" si="108"/>
        <v>56457</v>
      </c>
      <c r="H461" s="52">
        <f t="shared" si="109"/>
        <v>59571</v>
      </c>
      <c r="I461" s="697">
        <f t="shared" si="103"/>
        <v>47994</v>
      </c>
      <c r="J461" s="53">
        <f t="shared" si="104"/>
        <v>51604</v>
      </c>
      <c r="K461" s="50">
        <f t="shared" si="110"/>
        <v>13283</v>
      </c>
      <c r="L461" s="51">
        <f t="shared" si="11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
      <c r="A462" s="31" t="s">
        <v>92</v>
      </c>
      <c r="B462" s="1" t="s">
        <v>542</v>
      </c>
      <c r="C462" s="30" t="str">
        <f t="shared" si="112"/>
        <v>LA England - Uttlesford</v>
      </c>
      <c r="D462" s="51">
        <f t="shared" si="105"/>
        <v>38622</v>
      </c>
      <c r="E462" s="51">
        <f t="shared" si="106"/>
        <v>40859</v>
      </c>
      <c r="F462" s="52">
        <f t="shared" si="107"/>
        <v>92578</v>
      </c>
      <c r="G462" s="52">
        <f t="shared" si="108"/>
        <v>45371</v>
      </c>
      <c r="H462" s="52">
        <f t="shared" si="109"/>
        <v>47207</v>
      </c>
      <c r="I462" s="697">
        <f t="shared" si="103"/>
        <v>38622</v>
      </c>
      <c r="J462" s="53">
        <f t="shared" si="104"/>
        <v>40859</v>
      </c>
      <c r="K462" s="50">
        <f t="shared" si="110"/>
        <v>10303</v>
      </c>
      <c r="L462" s="51">
        <f t="shared" si="11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
      <c r="A463" s="31" t="s">
        <v>92</v>
      </c>
      <c r="B463" s="1" t="s">
        <v>543</v>
      </c>
      <c r="C463" s="30" t="str">
        <f t="shared" si="112"/>
        <v>LA England - Vale of White Horse</v>
      </c>
      <c r="D463" s="51">
        <f t="shared" si="105"/>
        <v>60084</v>
      </c>
      <c r="E463" s="51">
        <f t="shared" si="106"/>
        <v>61682</v>
      </c>
      <c r="F463" s="52">
        <f t="shared" si="107"/>
        <v>142116</v>
      </c>
      <c r="G463" s="52">
        <f t="shared" si="108"/>
        <v>70559</v>
      </c>
      <c r="H463" s="52">
        <f t="shared" si="109"/>
        <v>71557</v>
      </c>
      <c r="I463" s="697">
        <f t="shared" si="103"/>
        <v>60084</v>
      </c>
      <c r="J463" s="53">
        <f t="shared" si="104"/>
        <v>61682</v>
      </c>
      <c r="K463" s="50">
        <f t="shared" si="110"/>
        <v>16102</v>
      </c>
      <c r="L463" s="51">
        <f t="shared" si="11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
      <c r="A464" s="31" t="s">
        <v>92</v>
      </c>
      <c r="B464" s="1" t="s">
        <v>544</v>
      </c>
      <c r="C464" s="30" t="str">
        <f t="shared" si="112"/>
        <v>LA England - Wakefield</v>
      </c>
      <c r="D464" s="51">
        <f t="shared" si="105"/>
        <v>150371</v>
      </c>
      <c r="E464" s="51">
        <f t="shared" si="106"/>
        <v>157384</v>
      </c>
      <c r="F464" s="52">
        <f t="shared" si="107"/>
        <v>357729</v>
      </c>
      <c r="G464" s="52">
        <f t="shared" si="108"/>
        <v>176034</v>
      </c>
      <c r="H464" s="52">
        <f t="shared" si="109"/>
        <v>181695</v>
      </c>
      <c r="I464" s="697">
        <f t="shared" si="103"/>
        <v>150371</v>
      </c>
      <c r="J464" s="53">
        <f t="shared" si="104"/>
        <v>157384</v>
      </c>
      <c r="K464" s="50">
        <f t="shared" si="110"/>
        <v>38413</v>
      </c>
      <c r="L464" s="51">
        <f t="shared" si="11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
      <c r="A465" s="31" t="s">
        <v>92</v>
      </c>
      <c r="B465" s="1" t="s">
        <v>545</v>
      </c>
      <c r="C465" s="30" t="str">
        <f t="shared" si="112"/>
        <v>LA England - Walsall</v>
      </c>
      <c r="D465" s="51">
        <f t="shared" si="105"/>
        <v>116677</v>
      </c>
      <c r="E465" s="51">
        <f t="shared" si="106"/>
        <v>123499</v>
      </c>
      <c r="F465" s="52">
        <f t="shared" si="107"/>
        <v>286105</v>
      </c>
      <c r="G465" s="52">
        <f t="shared" si="108"/>
        <v>140018</v>
      </c>
      <c r="H465" s="52">
        <f t="shared" si="109"/>
        <v>146087</v>
      </c>
      <c r="I465" s="697">
        <f t="shared" si="103"/>
        <v>116677</v>
      </c>
      <c r="J465" s="53">
        <f t="shared" si="104"/>
        <v>123499</v>
      </c>
      <c r="K465" s="50">
        <f t="shared" si="110"/>
        <v>35297</v>
      </c>
      <c r="L465" s="51">
        <f t="shared" si="11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
      <c r="A466" s="31" t="s">
        <v>92</v>
      </c>
      <c r="B466" s="1" t="s">
        <v>546</v>
      </c>
      <c r="C466" s="30" t="str">
        <f t="shared" si="112"/>
        <v>LA England - Waltham Forest</v>
      </c>
      <c r="D466" s="51">
        <f t="shared" si="105"/>
        <v>112978</v>
      </c>
      <c r="E466" s="51">
        <f t="shared" si="106"/>
        <v>120076</v>
      </c>
      <c r="F466" s="52">
        <f t="shared" si="107"/>
        <v>275887</v>
      </c>
      <c r="G466" s="52">
        <f t="shared" si="108"/>
        <v>134906</v>
      </c>
      <c r="H466" s="52">
        <f t="shared" si="109"/>
        <v>140981</v>
      </c>
      <c r="I466" s="697">
        <f t="shared" si="103"/>
        <v>112978</v>
      </c>
      <c r="J466" s="53">
        <f t="shared" si="104"/>
        <v>120076</v>
      </c>
      <c r="K466" s="50">
        <f t="shared" si="110"/>
        <v>31796</v>
      </c>
      <c r="L466" s="51">
        <f t="shared" si="11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
      <c r="A467" s="31" t="s">
        <v>92</v>
      </c>
      <c r="B467" s="1" t="s">
        <v>547</v>
      </c>
      <c r="C467" s="30" t="str">
        <f t="shared" si="112"/>
        <v>LA England - Wandsworth</v>
      </c>
      <c r="D467" s="51">
        <f t="shared" si="105"/>
        <v>134844</v>
      </c>
      <c r="E467" s="51">
        <f t="shared" si="106"/>
        <v>153151</v>
      </c>
      <c r="F467" s="52">
        <f t="shared" si="107"/>
        <v>329035</v>
      </c>
      <c r="G467" s="52">
        <f t="shared" si="108"/>
        <v>155750</v>
      </c>
      <c r="H467" s="52">
        <f t="shared" si="109"/>
        <v>173285</v>
      </c>
      <c r="I467" s="697">
        <f t="shared" si="103"/>
        <v>134844</v>
      </c>
      <c r="J467" s="53">
        <f t="shared" si="104"/>
        <v>153151</v>
      </c>
      <c r="K467" s="50">
        <f t="shared" si="110"/>
        <v>29978</v>
      </c>
      <c r="L467" s="51">
        <f t="shared" si="11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
      <c r="A468" s="31" t="s">
        <v>92</v>
      </c>
      <c r="B468" s="1" t="s">
        <v>548</v>
      </c>
      <c r="C468" s="30" t="str">
        <f t="shared" si="112"/>
        <v>LA England - Warrington</v>
      </c>
      <c r="D468" s="51">
        <f t="shared" si="105"/>
        <v>90188</v>
      </c>
      <c r="E468" s="51">
        <f t="shared" si="106"/>
        <v>93221</v>
      </c>
      <c r="F468" s="52">
        <f t="shared" si="107"/>
        <v>211580</v>
      </c>
      <c r="G468" s="52">
        <f t="shared" si="108"/>
        <v>104613</v>
      </c>
      <c r="H468" s="52">
        <f t="shared" si="109"/>
        <v>106967</v>
      </c>
      <c r="I468" s="697">
        <f t="shared" si="103"/>
        <v>90188</v>
      </c>
      <c r="J468" s="53">
        <f t="shared" si="104"/>
        <v>93221</v>
      </c>
      <c r="K468" s="50">
        <f t="shared" si="110"/>
        <v>22329</v>
      </c>
      <c r="L468" s="51">
        <f t="shared" si="11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
      <c r="A469" s="31" t="s">
        <v>92</v>
      </c>
      <c r="B469" s="1" t="s">
        <v>549</v>
      </c>
      <c r="C469" s="30" t="str">
        <f t="shared" si="112"/>
        <v>LA England - Warwick</v>
      </c>
      <c r="D469" s="51">
        <f t="shared" si="105"/>
        <v>65369</v>
      </c>
      <c r="E469" s="51">
        <f t="shared" si="106"/>
        <v>66486</v>
      </c>
      <c r="F469" s="52">
        <f t="shared" si="107"/>
        <v>151158</v>
      </c>
      <c r="G469" s="52">
        <f t="shared" si="108"/>
        <v>75257</v>
      </c>
      <c r="H469" s="52">
        <f t="shared" si="109"/>
        <v>75901</v>
      </c>
      <c r="I469" s="697">
        <f t="shared" si="103"/>
        <v>65369</v>
      </c>
      <c r="J469" s="53">
        <f t="shared" si="104"/>
        <v>66486</v>
      </c>
      <c r="K469" s="50">
        <f t="shared" si="110"/>
        <v>14875</v>
      </c>
      <c r="L469" s="51">
        <f t="shared" si="11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
      <c r="A470" s="31" t="s">
        <v>92</v>
      </c>
      <c r="B470" s="1" t="s">
        <v>550</v>
      </c>
      <c r="C470" s="30" t="str">
        <f t="shared" si="112"/>
        <v>LA England - Watford</v>
      </c>
      <c r="D470" s="51">
        <f t="shared" si="105"/>
        <v>42296</v>
      </c>
      <c r="E470" s="51">
        <f t="shared" si="106"/>
        <v>44386</v>
      </c>
      <c r="F470" s="52">
        <f t="shared" si="107"/>
        <v>103031</v>
      </c>
      <c r="G470" s="52">
        <f t="shared" si="108"/>
        <v>50602</v>
      </c>
      <c r="H470" s="52">
        <f t="shared" si="109"/>
        <v>52429</v>
      </c>
      <c r="I470" s="697">
        <f t="shared" si="103"/>
        <v>42296</v>
      </c>
      <c r="J470" s="53">
        <f t="shared" si="104"/>
        <v>44386</v>
      </c>
      <c r="K470" s="50">
        <f t="shared" si="110"/>
        <v>12355</v>
      </c>
      <c r="L470" s="51">
        <f t="shared" si="11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
      <c r="A471" s="31" t="s">
        <v>92</v>
      </c>
      <c r="B471" s="1" t="s">
        <v>551</v>
      </c>
      <c r="C471" s="30" t="str">
        <f t="shared" si="112"/>
        <v>LA England - Waverley</v>
      </c>
      <c r="D471" s="51">
        <f t="shared" si="105"/>
        <v>53759</v>
      </c>
      <c r="E471" s="51">
        <f t="shared" si="106"/>
        <v>58491</v>
      </c>
      <c r="F471" s="52">
        <f t="shared" si="107"/>
        <v>130063</v>
      </c>
      <c r="G471" s="52">
        <f t="shared" si="108"/>
        <v>62934</v>
      </c>
      <c r="H471" s="52">
        <f t="shared" si="109"/>
        <v>67129</v>
      </c>
      <c r="I471" s="697">
        <f t="shared" si="103"/>
        <v>53759</v>
      </c>
      <c r="J471" s="53">
        <f t="shared" si="104"/>
        <v>58491</v>
      </c>
      <c r="K471" s="50">
        <f t="shared" si="110"/>
        <v>14760</v>
      </c>
      <c r="L471" s="51">
        <f t="shared" si="11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
      <c r="A472" s="31" t="s">
        <v>92</v>
      </c>
      <c r="B472" s="1" t="s">
        <v>552</v>
      </c>
      <c r="C472" s="30" t="str">
        <f t="shared" si="112"/>
        <v>LA England - Wealden</v>
      </c>
      <c r="D472" s="51">
        <f t="shared" si="105"/>
        <v>68371</v>
      </c>
      <c r="E472" s="51">
        <f t="shared" si="106"/>
        <v>75040</v>
      </c>
      <c r="F472" s="52">
        <f t="shared" si="107"/>
        <v>163012</v>
      </c>
      <c r="G472" s="52">
        <f t="shared" si="108"/>
        <v>78460</v>
      </c>
      <c r="H472" s="52">
        <f t="shared" si="109"/>
        <v>84552</v>
      </c>
      <c r="I472" s="697">
        <f t="shared" si="103"/>
        <v>68371</v>
      </c>
      <c r="J472" s="53">
        <f t="shared" si="104"/>
        <v>75040</v>
      </c>
      <c r="K472" s="50">
        <f t="shared" si="110"/>
        <v>15683</v>
      </c>
      <c r="L472" s="51">
        <f t="shared" si="11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
      <c r="A473" s="31" t="s">
        <v>92</v>
      </c>
      <c r="B473" s="1" t="s">
        <v>553</v>
      </c>
      <c r="C473" s="30" t="str">
        <f t="shared" si="112"/>
        <v>LA England - Welwyn Hatfield</v>
      </c>
      <c r="D473" s="51">
        <f t="shared" si="105"/>
        <v>50742</v>
      </c>
      <c r="E473" s="51">
        <f t="shared" si="106"/>
        <v>52538</v>
      </c>
      <c r="F473" s="52">
        <f t="shared" si="107"/>
        <v>120213</v>
      </c>
      <c r="G473" s="52">
        <f t="shared" si="108"/>
        <v>59463</v>
      </c>
      <c r="H473" s="52">
        <f t="shared" si="109"/>
        <v>60750</v>
      </c>
      <c r="I473" s="697">
        <f t="shared" si="103"/>
        <v>50742</v>
      </c>
      <c r="J473" s="53">
        <f t="shared" si="104"/>
        <v>52538</v>
      </c>
      <c r="K473" s="50">
        <f t="shared" si="110"/>
        <v>13015</v>
      </c>
      <c r="L473" s="51">
        <f t="shared" si="11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
      <c r="A474" s="31" t="s">
        <v>92</v>
      </c>
      <c r="B474" s="1" t="s">
        <v>554</v>
      </c>
      <c r="C474" s="30" t="str">
        <f t="shared" si="112"/>
        <v>LA England - West Berkshire</v>
      </c>
      <c r="D474" s="51">
        <f t="shared" si="105"/>
        <v>68770</v>
      </c>
      <c r="E474" s="51">
        <f t="shared" si="106"/>
        <v>71568</v>
      </c>
      <c r="F474" s="52">
        <f t="shared" si="107"/>
        <v>162215</v>
      </c>
      <c r="G474" s="52">
        <f t="shared" si="108"/>
        <v>80000</v>
      </c>
      <c r="H474" s="52">
        <f t="shared" si="109"/>
        <v>82215</v>
      </c>
      <c r="I474" s="697">
        <f t="shared" si="103"/>
        <v>68770</v>
      </c>
      <c r="J474" s="53">
        <f t="shared" si="104"/>
        <v>71568</v>
      </c>
      <c r="K474" s="50">
        <f t="shared" si="110"/>
        <v>17772</v>
      </c>
      <c r="L474" s="51">
        <f t="shared" si="11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
      <c r="A475" s="31" t="s">
        <v>92</v>
      </c>
      <c r="B475" s="1" t="s">
        <v>555</v>
      </c>
      <c r="C475" s="30" t="str">
        <f t="shared" si="112"/>
        <v>LA England - West Devon</v>
      </c>
      <c r="D475" s="51">
        <f t="shared" si="105"/>
        <v>25400</v>
      </c>
      <c r="E475" s="51">
        <f t="shared" si="106"/>
        <v>26680</v>
      </c>
      <c r="F475" s="52">
        <f t="shared" si="107"/>
        <v>58190</v>
      </c>
      <c r="G475" s="52">
        <f t="shared" si="108"/>
        <v>28479</v>
      </c>
      <c r="H475" s="52">
        <f t="shared" si="109"/>
        <v>29711</v>
      </c>
      <c r="I475" s="697">
        <f t="shared" si="103"/>
        <v>25400</v>
      </c>
      <c r="J475" s="53">
        <f t="shared" si="104"/>
        <v>26680</v>
      </c>
      <c r="K475" s="50">
        <f t="shared" si="110"/>
        <v>5050</v>
      </c>
      <c r="L475" s="51">
        <f t="shared" si="11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
      <c r="A476" s="31" t="s">
        <v>92</v>
      </c>
      <c r="B476" s="1" t="s">
        <v>556</v>
      </c>
      <c r="C476" s="30" t="str">
        <f t="shared" si="112"/>
        <v>LA England - West Lancashire</v>
      </c>
      <c r="D476" s="51">
        <f t="shared" si="105"/>
        <v>50062</v>
      </c>
      <c r="E476" s="51">
        <f t="shared" si="106"/>
        <v>55174</v>
      </c>
      <c r="F476" s="52">
        <f t="shared" si="107"/>
        <v>119367</v>
      </c>
      <c r="G476" s="52">
        <f t="shared" si="108"/>
        <v>57283</v>
      </c>
      <c r="H476" s="52">
        <f t="shared" si="109"/>
        <v>62084</v>
      </c>
      <c r="I476" s="697">
        <f t="shared" si="103"/>
        <v>50062</v>
      </c>
      <c r="J476" s="53">
        <f t="shared" si="104"/>
        <v>55174</v>
      </c>
      <c r="K476" s="50">
        <f t="shared" si="110"/>
        <v>11323</v>
      </c>
      <c r="L476" s="51">
        <f t="shared" si="11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
      <c r="A477" s="31" t="s">
        <v>92</v>
      </c>
      <c r="B477" s="1" t="s">
        <v>557</v>
      </c>
      <c r="C477" s="30" t="str">
        <f t="shared" si="112"/>
        <v>LA England - West Lindsey</v>
      </c>
      <c r="D477" s="51">
        <f t="shared" si="105"/>
        <v>41346</v>
      </c>
      <c r="E477" s="51">
        <f t="shared" si="106"/>
        <v>43511</v>
      </c>
      <c r="F477" s="52">
        <f t="shared" si="107"/>
        <v>96817</v>
      </c>
      <c r="G477" s="52">
        <f t="shared" si="108"/>
        <v>47535</v>
      </c>
      <c r="H477" s="52">
        <f t="shared" si="109"/>
        <v>49282</v>
      </c>
      <c r="I477" s="697">
        <f t="shared" si="103"/>
        <v>41346</v>
      </c>
      <c r="J477" s="53">
        <f t="shared" si="104"/>
        <v>43511</v>
      </c>
      <c r="K477" s="50">
        <f t="shared" si="110"/>
        <v>9478</v>
      </c>
      <c r="L477" s="51">
        <f t="shared" si="11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
      <c r="A478" s="31" t="s">
        <v>92</v>
      </c>
      <c r="B478" s="1" t="s">
        <v>558</v>
      </c>
      <c r="C478" s="30" t="str">
        <f t="shared" si="112"/>
        <v>LA England - West Northamptonshire</v>
      </c>
      <c r="D478" s="51">
        <f t="shared" si="105"/>
        <v>180622</v>
      </c>
      <c r="E478" s="51">
        <f t="shared" si="106"/>
        <v>186694</v>
      </c>
      <c r="F478" s="52">
        <f t="shared" si="107"/>
        <v>429013</v>
      </c>
      <c r="G478" s="52">
        <f t="shared" si="108"/>
        <v>212074</v>
      </c>
      <c r="H478" s="52">
        <f t="shared" si="109"/>
        <v>216939</v>
      </c>
      <c r="I478" s="697">
        <f t="shared" ref="I478:I523" si="113">SUM(Y478:CY478)</f>
        <v>180622</v>
      </c>
      <c r="J478" s="53">
        <f t="shared" ref="J478:J523" si="114">SUM(DL478:GL478)</f>
        <v>186694</v>
      </c>
      <c r="K478" s="50">
        <f t="shared" si="110"/>
        <v>47533</v>
      </c>
      <c r="L478" s="51">
        <f t="shared" si="11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
      <c r="A479" s="31" t="s">
        <v>92</v>
      </c>
      <c r="B479" s="1" t="s">
        <v>559</v>
      </c>
      <c r="C479" s="30" t="str">
        <f t="shared" si="112"/>
        <v>LA England - West Oxfordshire</v>
      </c>
      <c r="D479" s="51">
        <f t="shared" si="105"/>
        <v>49729</v>
      </c>
      <c r="E479" s="51">
        <f t="shared" si="106"/>
        <v>51960</v>
      </c>
      <c r="F479" s="52">
        <f t="shared" si="107"/>
        <v>116928</v>
      </c>
      <c r="G479" s="52">
        <f t="shared" si="108"/>
        <v>57569</v>
      </c>
      <c r="H479" s="52">
        <f t="shared" si="109"/>
        <v>59359</v>
      </c>
      <c r="I479" s="697">
        <f t="shared" si="113"/>
        <v>49729</v>
      </c>
      <c r="J479" s="53">
        <f t="shared" si="114"/>
        <v>51960</v>
      </c>
      <c r="K479" s="50">
        <f t="shared" si="110"/>
        <v>11970</v>
      </c>
      <c r="L479" s="51">
        <f t="shared" si="11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
      <c r="A480" s="31" t="s">
        <v>92</v>
      </c>
      <c r="B480" s="1" t="s">
        <v>560</v>
      </c>
      <c r="C480" s="30" t="str">
        <f t="shared" si="112"/>
        <v>LA England - West Suffolk</v>
      </c>
      <c r="D480" s="51">
        <f t="shared" si="105"/>
        <v>78586</v>
      </c>
      <c r="E480" s="51">
        <f t="shared" si="106"/>
        <v>79135</v>
      </c>
      <c r="F480" s="52">
        <f t="shared" si="107"/>
        <v>182228</v>
      </c>
      <c r="G480" s="52">
        <f t="shared" si="108"/>
        <v>91277</v>
      </c>
      <c r="H480" s="52">
        <f t="shared" si="109"/>
        <v>90951</v>
      </c>
      <c r="I480" s="697">
        <f t="shared" si="113"/>
        <v>78586</v>
      </c>
      <c r="J480" s="53">
        <f t="shared" si="114"/>
        <v>79135</v>
      </c>
      <c r="K480" s="50">
        <f t="shared" si="110"/>
        <v>18607</v>
      </c>
      <c r="L480" s="51">
        <f t="shared" si="11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
      <c r="A481" s="31" t="s">
        <v>92</v>
      </c>
      <c r="B481" s="1" t="s">
        <v>561</v>
      </c>
      <c r="C481" s="30" t="str">
        <f t="shared" si="112"/>
        <v>LA England - Westminster</v>
      </c>
      <c r="D481" s="51">
        <f t="shared" si="105"/>
        <v>92044</v>
      </c>
      <c r="E481" s="51">
        <f t="shared" si="106"/>
        <v>99509</v>
      </c>
      <c r="F481" s="52">
        <f t="shared" si="107"/>
        <v>211365</v>
      </c>
      <c r="G481" s="52">
        <f t="shared" si="108"/>
        <v>102207</v>
      </c>
      <c r="H481" s="52">
        <f t="shared" si="109"/>
        <v>109158</v>
      </c>
      <c r="I481" s="697">
        <f t="shared" si="113"/>
        <v>92044</v>
      </c>
      <c r="J481" s="53">
        <f t="shared" si="114"/>
        <v>99509</v>
      </c>
      <c r="K481" s="50">
        <f t="shared" si="110"/>
        <v>15496</v>
      </c>
      <c r="L481" s="51">
        <f t="shared" si="11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
      <c r="A482" s="31" t="s">
        <v>92</v>
      </c>
      <c r="B482" s="1" t="s">
        <v>562</v>
      </c>
      <c r="C482" s="30" t="str">
        <f t="shared" si="112"/>
        <v>LA England - Westmorland and Furness</v>
      </c>
      <c r="D482" s="51">
        <f t="shared" si="105"/>
        <v>99847</v>
      </c>
      <c r="E482" s="51">
        <f t="shared" si="106"/>
        <v>103218</v>
      </c>
      <c r="F482" s="52">
        <f t="shared" si="107"/>
        <v>227643</v>
      </c>
      <c r="G482" s="52">
        <f t="shared" si="108"/>
        <v>112393</v>
      </c>
      <c r="H482" s="52">
        <f t="shared" si="109"/>
        <v>115250</v>
      </c>
      <c r="I482" s="697">
        <f t="shared" si="113"/>
        <v>99847</v>
      </c>
      <c r="J482" s="53">
        <f t="shared" si="114"/>
        <v>103218</v>
      </c>
      <c r="K482" s="50">
        <f t="shared" si="110"/>
        <v>20106</v>
      </c>
      <c r="L482" s="51">
        <f t="shared" si="11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
      <c r="A483" s="31" t="s">
        <v>92</v>
      </c>
      <c r="B483" s="1" t="s">
        <v>563</v>
      </c>
      <c r="C483" s="30" t="str">
        <f t="shared" si="112"/>
        <v>LA England - Wigan</v>
      </c>
      <c r="D483" s="51">
        <f t="shared" si="105"/>
        <v>142142</v>
      </c>
      <c r="E483" s="51">
        <f t="shared" si="106"/>
        <v>146354</v>
      </c>
      <c r="F483" s="52">
        <f t="shared" si="107"/>
        <v>334110</v>
      </c>
      <c r="G483" s="52">
        <f t="shared" si="108"/>
        <v>165612</v>
      </c>
      <c r="H483" s="52">
        <f t="shared" si="109"/>
        <v>168498</v>
      </c>
      <c r="I483" s="697">
        <f t="shared" si="113"/>
        <v>142142</v>
      </c>
      <c r="J483" s="53">
        <f t="shared" si="114"/>
        <v>146354</v>
      </c>
      <c r="K483" s="50">
        <f t="shared" si="110"/>
        <v>35791</v>
      </c>
      <c r="L483" s="51">
        <f t="shared" si="11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
      <c r="A484" s="31" t="s">
        <v>92</v>
      </c>
      <c r="B484" s="1" t="s">
        <v>564</v>
      </c>
      <c r="C484" s="30" t="str">
        <f t="shared" si="112"/>
        <v>LA England - Wiltshire</v>
      </c>
      <c r="D484" s="51">
        <f t="shared" si="105"/>
        <v>220643</v>
      </c>
      <c r="E484" s="51">
        <f t="shared" si="106"/>
        <v>228443</v>
      </c>
      <c r="F484" s="52">
        <f t="shared" si="107"/>
        <v>515885</v>
      </c>
      <c r="G484" s="52">
        <f t="shared" si="108"/>
        <v>254963</v>
      </c>
      <c r="H484" s="52">
        <f t="shared" si="109"/>
        <v>260922</v>
      </c>
      <c r="I484" s="697">
        <f t="shared" si="113"/>
        <v>220643</v>
      </c>
      <c r="J484" s="53">
        <f t="shared" si="114"/>
        <v>228443</v>
      </c>
      <c r="K484" s="50">
        <f t="shared" si="110"/>
        <v>52690</v>
      </c>
      <c r="L484" s="51">
        <f t="shared" si="11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
      <c r="A485" s="31" t="s">
        <v>92</v>
      </c>
      <c r="B485" s="1" t="s">
        <v>565</v>
      </c>
      <c r="C485" s="30" t="str">
        <f t="shared" si="112"/>
        <v>LA England - Winchester</v>
      </c>
      <c r="D485" s="51">
        <f t="shared" si="105"/>
        <v>54952</v>
      </c>
      <c r="E485" s="51">
        <f t="shared" si="106"/>
        <v>58559</v>
      </c>
      <c r="F485" s="52">
        <f t="shared" si="107"/>
        <v>130268</v>
      </c>
      <c r="G485" s="52">
        <f t="shared" si="108"/>
        <v>63583</v>
      </c>
      <c r="H485" s="52">
        <f t="shared" si="109"/>
        <v>66685</v>
      </c>
      <c r="I485" s="697">
        <f t="shared" si="113"/>
        <v>54952</v>
      </c>
      <c r="J485" s="53">
        <f t="shared" si="114"/>
        <v>58559</v>
      </c>
      <c r="K485" s="50">
        <f t="shared" si="110"/>
        <v>13800</v>
      </c>
      <c r="L485" s="51">
        <f t="shared" si="11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
      <c r="A486" s="31" t="s">
        <v>92</v>
      </c>
      <c r="B486" s="1" t="s">
        <v>566</v>
      </c>
      <c r="C486" s="30" t="str">
        <f t="shared" si="112"/>
        <v>LA England - Windsor and Maidenhead</v>
      </c>
      <c r="D486" s="51">
        <f t="shared" si="105"/>
        <v>65611</v>
      </c>
      <c r="E486" s="51">
        <f t="shared" si="106"/>
        <v>68038</v>
      </c>
      <c r="F486" s="52">
        <f t="shared" si="107"/>
        <v>154738</v>
      </c>
      <c r="G486" s="52">
        <f t="shared" si="108"/>
        <v>76388</v>
      </c>
      <c r="H486" s="52">
        <f t="shared" si="109"/>
        <v>78350</v>
      </c>
      <c r="I486" s="697">
        <f t="shared" si="113"/>
        <v>65611</v>
      </c>
      <c r="J486" s="53">
        <f t="shared" si="114"/>
        <v>68038</v>
      </c>
      <c r="K486" s="50">
        <f t="shared" si="110"/>
        <v>17834</v>
      </c>
      <c r="L486" s="51">
        <f t="shared" si="11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
      <c r="A487" s="31" t="s">
        <v>92</v>
      </c>
      <c r="B487" s="1" t="s">
        <v>567</v>
      </c>
      <c r="C487" s="30" t="str">
        <f t="shared" si="112"/>
        <v>LA England - Wirral</v>
      </c>
      <c r="D487" s="51">
        <f t="shared" si="105"/>
        <v>134091</v>
      </c>
      <c r="E487" s="51">
        <f t="shared" si="106"/>
        <v>145723</v>
      </c>
      <c r="F487" s="52">
        <f t="shared" si="107"/>
        <v>322453</v>
      </c>
      <c r="G487" s="52">
        <f t="shared" si="108"/>
        <v>156079</v>
      </c>
      <c r="H487" s="52">
        <f t="shared" si="109"/>
        <v>166374</v>
      </c>
      <c r="I487" s="697">
        <f t="shared" si="113"/>
        <v>134091</v>
      </c>
      <c r="J487" s="53">
        <f t="shared" si="114"/>
        <v>145723</v>
      </c>
      <c r="K487" s="50">
        <f t="shared" si="110"/>
        <v>33797</v>
      </c>
      <c r="L487" s="51">
        <f t="shared" si="11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
      <c r="A488" s="31" t="s">
        <v>92</v>
      </c>
      <c r="B488" s="1" t="s">
        <v>568</v>
      </c>
      <c r="C488" s="30" t="str">
        <f t="shared" si="112"/>
        <v>LA England - Woking</v>
      </c>
      <c r="D488" s="51">
        <f t="shared" si="105"/>
        <v>43770</v>
      </c>
      <c r="E488" s="51">
        <f t="shared" si="106"/>
        <v>45004</v>
      </c>
      <c r="F488" s="52">
        <f t="shared" si="107"/>
        <v>104179</v>
      </c>
      <c r="G488" s="52">
        <f t="shared" si="108"/>
        <v>51709</v>
      </c>
      <c r="H488" s="52">
        <f t="shared" si="109"/>
        <v>52470</v>
      </c>
      <c r="I488" s="697">
        <f t="shared" si="113"/>
        <v>43770</v>
      </c>
      <c r="J488" s="53">
        <f t="shared" si="114"/>
        <v>45004</v>
      </c>
      <c r="K488" s="50">
        <f t="shared" si="110"/>
        <v>12007</v>
      </c>
      <c r="L488" s="51">
        <f t="shared" si="11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
      <c r="A489" s="31" t="s">
        <v>92</v>
      </c>
      <c r="B489" s="1" t="s">
        <v>569</v>
      </c>
      <c r="C489" s="30" t="str">
        <f t="shared" si="112"/>
        <v>LA England - Wokingham</v>
      </c>
      <c r="D489" s="51">
        <f t="shared" si="105"/>
        <v>74736</v>
      </c>
      <c r="E489" s="51">
        <f t="shared" si="106"/>
        <v>78601</v>
      </c>
      <c r="F489" s="52">
        <f t="shared" si="107"/>
        <v>180967</v>
      </c>
      <c r="G489" s="52">
        <f t="shared" si="108"/>
        <v>88984</v>
      </c>
      <c r="H489" s="52">
        <f t="shared" si="109"/>
        <v>91983</v>
      </c>
      <c r="I489" s="697">
        <f t="shared" si="113"/>
        <v>74736</v>
      </c>
      <c r="J489" s="53">
        <f t="shared" si="114"/>
        <v>78601</v>
      </c>
      <c r="K489" s="50">
        <f t="shared" si="110"/>
        <v>21784</v>
      </c>
      <c r="L489" s="51">
        <f t="shared" si="11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
      <c r="A490" s="31" t="s">
        <v>92</v>
      </c>
      <c r="B490" s="1" t="s">
        <v>570</v>
      </c>
      <c r="C490" s="30" t="str">
        <f t="shared" si="112"/>
        <v>LA England - Wolverhampton</v>
      </c>
      <c r="D490" s="51">
        <f t="shared" si="105"/>
        <v>109926</v>
      </c>
      <c r="E490" s="51">
        <f t="shared" si="106"/>
        <v>115317</v>
      </c>
      <c r="F490" s="52">
        <f t="shared" si="107"/>
        <v>267651</v>
      </c>
      <c r="G490" s="52">
        <f t="shared" si="108"/>
        <v>131809</v>
      </c>
      <c r="H490" s="52">
        <f t="shared" si="109"/>
        <v>135842</v>
      </c>
      <c r="I490" s="697">
        <f t="shared" si="113"/>
        <v>109926</v>
      </c>
      <c r="J490" s="53">
        <f t="shared" si="114"/>
        <v>115317</v>
      </c>
      <c r="K490" s="50">
        <f t="shared" si="110"/>
        <v>32870</v>
      </c>
      <c r="L490" s="51">
        <f t="shared" si="11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
      <c r="A491" s="31" t="s">
        <v>92</v>
      </c>
      <c r="B491" s="1" t="s">
        <v>571</v>
      </c>
      <c r="C491" s="30" t="str">
        <f t="shared" si="112"/>
        <v>LA England - Worcester</v>
      </c>
      <c r="D491" s="51">
        <f t="shared" si="105"/>
        <v>43949</v>
      </c>
      <c r="E491" s="51">
        <f t="shared" si="106"/>
        <v>46769</v>
      </c>
      <c r="F491" s="52">
        <f t="shared" si="107"/>
        <v>104120</v>
      </c>
      <c r="G491" s="52">
        <f t="shared" si="108"/>
        <v>50821</v>
      </c>
      <c r="H491" s="52">
        <f t="shared" si="109"/>
        <v>53299</v>
      </c>
      <c r="I491" s="697">
        <f t="shared" si="113"/>
        <v>43949</v>
      </c>
      <c r="J491" s="53">
        <f t="shared" si="114"/>
        <v>46769</v>
      </c>
      <c r="K491" s="50">
        <f t="shared" si="110"/>
        <v>10489</v>
      </c>
      <c r="L491" s="51">
        <f t="shared" si="11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
      <c r="A492" s="31" t="s">
        <v>92</v>
      </c>
      <c r="B492" s="1" t="s">
        <v>572</v>
      </c>
      <c r="C492" s="30" t="str">
        <f t="shared" si="112"/>
        <v>LA England - Worthing</v>
      </c>
      <c r="D492" s="51">
        <f t="shared" si="105"/>
        <v>47079</v>
      </c>
      <c r="E492" s="51">
        <f t="shared" si="106"/>
        <v>51112</v>
      </c>
      <c r="F492" s="52">
        <f t="shared" si="107"/>
        <v>112044</v>
      </c>
      <c r="G492" s="52">
        <f t="shared" si="108"/>
        <v>54118</v>
      </c>
      <c r="H492" s="52">
        <f t="shared" si="109"/>
        <v>57926</v>
      </c>
      <c r="I492" s="697">
        <f t="shared" si="113"/>
        <v>47079</v>
      </c>
      <c r="J492" s="53">
        <f t="shared" si="114"/>
        <v>51112</v>
      </c>
      <c r="K492" s="50">
        <f t="shared" si="110"/>
        <v>10857</v>
      </c>
      <c r="L492" s="51">
        <f t="shared" si="11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
      <c r="A493" s="31" t="s">
        <v>92</v>
      </c>
      <c r="B493" s="1" t="s">
        <v>573</v>
      </c>
      <c r="C493" s="30" t="str">
        <f t="shared" si="112"/>
        <v>LA England - Wychavon</v>
      </c>
      <c r="D493" s="51">
        <f t="shared" si="105"/>
        <v>57477</v>
      </c>
      <c r="E493" s="51">
        <f t="shared" si="106"/>
        <v>60738</v>
      </c>
      <c r="F493" s="52">
        <f t="shared" si="107"/>
        <v>134536</v>
      </c>
      <c r="G493" s="52">
        <f t="shared" si="108"/>
        <v>65827</v>
      </c>
      <c r="H493" s="52">
        <f t="shared" si="109"/>
        <v>68709</v>
      </c>
      <c r="I493" s="697">
        <f t="shared" si="113"/>
        <v>57477</v>
      </c>
      <c r="J493" s="53">
        <f t="shared" si="114"/>
        <v>60738</v>
      </c>
      <c r="K493" s="50">
        <f t="shared" si="110"/>
        <v>12845</v>
      </c>
      <c r="L493" s="51">
        <f t="shared" si="11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
      <c r="A494" s="31" t="s">
        <v>92</v>
      </c>
      <c r="B494" s="1" t="s">
        <v>574</v>
      </c>
      <c r="C494" s="30" t="str">
        <f t="shared" si="112"/>
        <v>LA England - Wyre</v>
      </c>
      <c r="D494" s="51">
        <f t="shared" si="105"/>
        <v>49179</v>
      </c>
      <c r="E494" s="51">
        <f t="shared" si="106"/>
        <v>52705</v>
      </c>
      <c r="F494" s="52">
        <f t="shared" si="107"/>
        <v>114809</v>
      </c>
      <c r="G494" s="52">
        <f t="shared" si="108"/>
        <v>55883</v>
      </c>
      <c r="H494" s="52">
        <f t="shared" si="109"/>
        <v>58926</v>
      </c>
      <c r="I494" s="697">
        <f t="shared" si="113"/>
        <v>49179</v>
      </c>
      <c r="J494" s="53">
        <f t="shared" si="114"/>
        <v>52705</v>
      </c>
      <c r="K494" s="50">
        <f t="shared" si="110"/>
        <v>10526</v>
      </c>
      <c r="L494" s="51">
        <f t="shared" si="11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
      <c r="A495" s="31" t="s">
        <v>92</v>
      </c>
      <c r="B495" s="1" t="s">
        <v>575</v>
      </c>
      <c r="C495" s="30" t="str">
        <f t="shared" si="112"/>
        <v>LA England - Wyre Forest</v>
      </c>
      <c r="D495" s="51">
        <f t="shared" si="105"/>
        <v>43727</v>
      </c>
      <c r="E495" s="51">
        <f t="shared" si="106"/>
        <v>46168</v>
      </c>
      <c r="F495" s="52">
        <f t="shared" si="107"/>
        <v>102328</v>
      </c>
      <c r="G495" s="52">
        <f t="shared" si="108"/>
        <v>50175</v>
      </c>
      <c r="H495" s="52">
        <f t="shared" si="109"/>
        <v>52153</v>
      </c>
      <c r="I495" s="697">
        <f t="shared" si="113"/>
        <v>43727</v>
      </c>
      <c r="J495" s="53">
        <f t="shared" si="114"/>
        <v>46168</v>
      </c>
      <c r="K495" s="50">
        <f t="shared" si="110"/>
        <v>9962</v>
      </c>
      <c r="L495" s="51">
        <f t="shared" si="11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
      <c r="A496" s="31" t="s">
        <v>92</v>
      </c>
      <c r="B496" s="1" t="s">
        <v>576</v>
      </c>
      <c r="C496" s="30" t="str">
        <f t="shared" si="112"/>
        <v>LA England - York</v>
      </c>
      <c r="D496" s="51">
        <f t="shared" si="105"/>
        <v>86592</v>
      </c>
      <c r="E496" s="51">
        <f t="shared" si="106"/>
        <v>95601</v>
      </c>
      <c r="F496" s="52">
        <f t="shared" si="107"/>
        <v>204551</v>
      </c>
      <c r="G496" s="52">
        <f t="shared" si="108"/>
        <v>98072</v>
      </c>
      <c r="H496" s="52">
        <f t="shared" si="109"/>
        <v>106479</v>
      </c>
      <c r="I496" s="697">
        <f t="shared" si="113"/>
        <v>86592</v>
      </c>
      <c r="J496" s="53">
        <f t="shared" si="114"/>
        <v>95601</v>
      </c>
      <c r="K496" s="50">
        <f t="shared" si="110"/>
        <v>17692</v>
      </c>
      <c r="L496" s="51">
        <f t="shared" si="11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25" customFormat="1" ht="15" x14ac:dyDescent="0.25">
      <c r="A497" s="121"/>
      <c r="B497" s="131"/>
      <c r="C497" s="121"/>
      <c r="D497" s="148">
        <f>SUM(D201:D496)</f>
        <v>23982304</v>
      </c>
      <c r="E497" s="148">
        <f>SUM(E201:E496)</f>
        <v>25305672</v>
      </c>
      <c r="F497" s="148">
        <f>SUM(F201:F496)</f>
        <v>57106398</v>
      </c>
      <c r="G497" s="148">
        <f t="shared" ref="G497:L497" si="115">SUM(G201:G496)</f>
        <v>27983290</v>
      </c>
      <c r="H497" s="148">
        <f t="shared" si="115"/>
        <v>29123108</v>
      </c>
      <c r="I497" s="148">
        <f t="shared" si="115"/>
        <v>23982304</v>
      </c>
      <c r="J497" s="148">
        <f t="shared" si="115"/>
        <v>25305672</v>
      </c>
      <c r="K497" s="148">
        <f t="shared" si="115"/>
        <v>6087888</v>
      </c>
      <c r="L497" s="148">
        <f t="shared" si="115"/>
        <v>5799018</v>
      </c>
      <c r="M497" s="124"/>
      <c r="N497" s="124"/>
      <c r="O497" s="124"/>
      <c r="P497" s="124"/>
      <c r="Q497" s="124"/>
      <c r="R497" s="124"/>
      <c r="S497" s="124"/>
      <c r="T497" s="124"/>
      <c r="U497" s="124"/>
      <c r="V497" s="124"/>
      <c r="W497" s="124"/>
      <c r="X497" s="124"/>
      <c r="Y497" s="124"/>
      <c r="Z497" s="124"/>
      <c r="AA497" s="124"/>
      <c r="AB497" s="124"/>
      <c r="AC497" s="124"/>
      <c r="AD497" s="124"/>
      <c r="AE497" s="124"/>
      <c r="AF497" s="124"/>
      <c r="AG497" s="124"/>
      <c r="AH497" s="124"/>
      <c r="AI497" s="124"/>
      <c r="AJ497" s="124"/>
      <c r="AK497" s="124"/>
      <c r="AL497" s="124"/>
      <c r="AM497" s="124"/>
      <c r="AN497" s="124"/>
      <c r="AO497" s="124"/>
      <c r="AP497" s="124"/>
      <c r="AQ497" s="124"/>
      <c r="AR497" s="124"/>
      <c r="AS497" s="124"/>
      <c r="AT497" s="124"/>
      <c r="AU497" s="124"/>
      <c r="AV497" s="124"/>
      <c r="AW497" s="124"/>
      <c r="AX497" s="124"/>
      <c r="AY497" s="124"/>
      <c r="AZ497" s="124"/>
      <c r="BA497" s="124"/>
      <c r="BB497" s="124"/>
      <c r="BC497" s="124"/>
      <c r="BD497" s="124"/>
      <c r="BE497" s="124"/>
      <c r="BF497" s="124"/>
      <c r="BG497" s="124"/>
      <c r="BH497" s="124"/>
      <c r="BI497" s="124"/>
      <c r="BJ497" s="124"/>
      <c r="BK497" s="124"/>
      <c r="BL497" s="124"/>
      <c r="BM497" s="124"/>
      <c r="BN497" s="124"/>
      <c r="BO497" s="124"/>
      <c r="BP497" s="124"/>
      <c r="BQ497" s="124"/>
      <c r="BR497" s="124"/>
      <c r="BS497" s="124"/>
      <c r="BT497" s="124"/>
      <c r="BU497" s="124"/>
      <c r="BV497" s="124"/>
      <c r="BW497" s="124"/>
      <c r="BX497" s="124"/>
      <c r="BY497" s="124"/>
      <c r="BZ497" s="124"/>
      <c r="CA497" s="124"/>
      <c r="CB497" s="124"/>
      <c r="CC497" s="124"/>
      <c r="CD497" s="124"/>
      <c r="CE497" s="124"/>
      <c r="CF497" s="124"/>
      <c r="CG497" s="124"/>
      <c r="CH497" s="124"/>
      <c r="CI497" s="124"/>
      <c r="CJ497" s="124"/>
      <c r="CK497" s="124"/>
      <c r="CL497" s="124"/>
      <c r="CM497" s="124"/>
      <c r="CN497" s="124"/>
      <c r="CO497" s="124"/>
      <c r="CP497" s="124"/>
      <c r="CQ497" s="124"/>
      <c r="CR497" s="124"/>
      <c r="CS497" s="124"/>
      <c r="CT497" s="124"/>
      <c r="CU497" s="124"/>
      <c r="CV497" s="124"/>
      <c r="CW497" s="124"/>
      <c r="CX497" s="124"/>
      <c r="CY497" s="124"/>
      <c r="CZ497" s="124"/>
      <c r="DA497" s="124"/>
      <c r="DB497" s="124"/>
      <c r="DC497" s="124"/>
      <c r="DD497" s="124"/>
      <c r="DE497" s="124"/>
      <c r="DF497" s="124"/>
      <c r="DG497" s="124"/>
      <c r="DH497" s="124"/>
      <c r="DI497" s="124"/>
      <c r="DJ497" s="124"/>
      <c r="DK497" s="124"/>
      <c r="DL497" s="124"/>
      <c r="DM497" s="124"/>
      <c r="DN497" s="124"/>
      <c r="DO497" s="124"/>
      <c r="DP497" s="124"/>
      <c r="DQ497" s="124"/>
      <c r="DR497" s="124"/>
      <c r="DS497" s="124"/>
      <c r="DT497" s="124"/>
      <c r="DU497" s="124"/>
      <c r="DV497" s="124"/>
      <c r="DW497" s="124"/>
      <c r="DX497" s="124"/>
      <c r="DY497" s="124"/>
      <c r="DZ497" s="124"/>
      <c r="EA497" s="124"/>
      <c r="EB497" s="124"/>
      <c r="EC497" s="124"/>
      <c r="ED497" s="124"/>
      <c r="EE497" s="124"/>
      <c r="EF497" s="124"/>
      <c r="EG497" s="124"/>
      <c r="EH497" s="124"/>
      <c r="EI497" s="124"/>
      <c r="EJ497" s="124"/>
      <c r="EK497" s="124"/>
      <c r="EL497" s="124"/>
      <c r="EM497" s="124"/>
      <c r="EN497" s="124"/>
      <c r="EO497" s="124"/>
      <c r="EP497" s="124"/>
      <c r="EQ497" s="124"/>
      <c r="ER497" s="124"/>
      <c r="ES497" s="124"/>
      <c r="ET497" s="124"/>
      <c r="EU497" s="124"/>
      <c r="EV497" s="124"/>
      <c r="EW497" s="124"/>
      <c r="EX497" s="124"/>
      <c r="EY497" s="124"/>
      <c r="EZ497" s="124"/>
      <c r="FA497" s="124"/>
      <c r="FB497" s="124"/>
      <c r="FC497" s="124"/>
      <c r="FD497" s="124"/>
      <c r="FE497" s="124"/>
      <c r="FF497" s="124"/>
      <c r="FG497" s="124"/>
      <c r="FH497" s="124"/>
      <c r="FI497" s="124"/>
      <c r="FJ497" s="124"/>
      <c r="FK497" s="124"/>
      <c r="FL497" s="124"/>
      <c r="FM497" s="124"/>
      <c r="FN497" s="124"/>
      <c r="FO497" s="124"/>
      <c r="FP497" s="124"/>
      <c r="FQ497" s="124"/>
      <c r="FR497" s="124"/>
      <c r="FS497" s="124"/>
      <c r="FT497" s="124"/>
      <c r="FU497" s="124"/>
      <c r="FV497" s="124"/>
      <c r="FW497" s="124"/>
      <c r="FX497" s="124"/>
      <c r="FY497" s="124"/>
      <c r="FZ497" s="124"/>
      <c r="GA497" s="124"/>
      <c r="GB497" s="124"/>
      <c r="GC497" s="124"/>
      <c r="GD497" s="124"/>
      <c r="GE497" s="124"/>
      <c r="GF497" s="124"/>
      <c r="GG497" s="124"/>
      <c r="GH497" s="124"/>
      <c r="GI497" s="124"/>
      <c r="GJ497" s="124"/>
      <c r="GK497" s="124"/>
      <c r="GL497" s="123"/>
    </row>
    <row r="498" spans="1:194" s="1" customFormat="1" x14ac:dyDescent="0.2">
      <c r="A498" s="31" t="s">
        <v>577</v>
      </c>
      <c r="B498" s="1" t="s">
        <v>578</v>
      </c>
      <c r="C498" s="30" t="str">
        <f t="shared" ref="C498:C531" si="116">CONCATENATE(A498," - ",B498)</f>
        <v>LA wales - Blaenau Gwent</v>
      </c>
      <c r="D498" s="51">
        <f t="shared" ref="D498:E501" si="117">I498</f>
        <v>28450</v>
      </c>
      <c r="E498" s="51">
        <f t="shared" si="117"/>
        <v>29858</v>
      </c>
      <c r="F498" s="52">
        <f>G498+H498</f>
        <v>67014</v>
      </c>
      <c r="G498" s="52">
        <f>SUM(M498:CY498)</f>
        <v>32977</v>
      </c>
      <c r="H498" s="52">
        <f>SUM(CZ498:GL498)</f>
        <v>34037</v>
      </c>
      <c r="I498" s="696">
        <f t="shared" si="113"/>
        <v>28450</v>
      </c>
      <c r="J498" s="53">
        <f t="shared" si="114"/>
        <v>29858</v>
      </c>
      <c r="K498" s="50">
        <f>SUM(M498:AD498)</f>
        <v>6768</v>
      </c>
      <c r="L498" s="51">
        <f>SUM(CZ498:DQ498)</f>
        <v>6422</v>
      </c>
      <c r="M498" s="700">
        <v>391</v>
      </c>
      <c r="N498" s="700">
        <v>334</v>
      </c>
      <c r="O498" s="700">
        <v>374</v>
      </c>
      <c r="P498" s="700">
        <v>393</v>
      </c>
      <c r="Q498" s="700">
        <v>365</v>
      </c>
      <c r="R498" s="700">
        <v>333</v>
      </c>
      <c r="S498" s="700">
        <v>365</v>
      </c>
      <c r="T498" s="700">
        <v>388</v>
      </c>
      <c r="U498" s="700">
        <v>394</v>
      </c>
      <c r="V498" s="700">
        <v>392</v>
      </c>
      <c r="W498" s="700">
        <v>375</v>
      </c>
      <c r="X498" s="700">
        <v>423</v>
      </c>
      <c r="Y498" s="700">
        <v>403</v>
      </c>
      <c r="Z498" s="700">
        <v>425</v>
      </c>
      <c r="AA498" s="700">
        <v>394</v>
      </c>
      <c r="AB498" s="700">
        <v>319</v>
      </c>
      <c r="AC498" s="700">
        <v>337</v>
      </c>
      <c r="AD498" s="700">
        <v>363</v>
      </c>
      <c r="AE498" s="700">
        <v>363</v>
      </c>
      <c r="AF498" s="700">
        <v>317</v>
      </c>
      <c r="AG498" s="700">
        <v>288</v>
      </c>
      <c r="AH498" s="700">
        <v>332</v>
      </c>
      <c r="AI498" s="700">
        <v>374</v>
      </c>
      <c r="AJ498" s="700">
        <v>338</v>
      </c>
      <c r="AK498" s="700">
        <v>389</v>
      </c>
      <c r="AL498" s="700">
        <v>412</v>
      </c>
      <c r="AM498" s="700">
        <v>367</v>
      </c>
      <c r="AN498" s="700">
        <v>361</v>
      </c>
      <c r="AO498" s="700">
        <v>441</v>
      </c>
      <c r="AP498" s="700">
        <v>438</v>
      </c>
      <c r="AQ498" s="700">
        <v>468</v>
      </c>
      <c r="AR498" s="700">
        <v>465</v>
      </c>
      <c r="AS498" s="700">
        <v>442</v>
      </c>
      <c r="AT498" s="700">
        <v>467</v>
      </c>
      <c r="AU498" s="700">
        <v>398</v>
      </c>
      <c r="AV498" s="700">
        <v>423</v>
      </c>
      <c r="AW498" s="700">
        <v>418</v>
      </c>
      <c r="AX498" s="700">
        <v>449</v>
      </c>
      <c r="AY498" s="700">
        <v>389</v>
      </c>
      <c r="AZ498" s="700">
        <v>409</v>
      </c>
      <c r="BA498" s="700">
        <v>365</v>
      </c>
      <c r="BB498" s="700">
        <v>396</v>
      </c>
      <c r="BC498" s="700">
        <v>373</v>
      </c>
      <c r="BD498" s="700">
        <v>369</v>
      </c>
      <c r="BE498" s="700">
        <v>348</v>
      </c>
      <c r="BF498" s="700">
        <v>299</v>
      </c>
      <c r="BG498" s="700">
        <v>345</v>
      </c>
      <c r="BH498" s="700">
        <v>417</v>
      </c>
      <c r="BI498" s="700">
        <v>386</v>
      </c>
      <c r="BJ498" s="700">
        <v>430</v>
      </c>
      <c r="BK498" s="700">
        <v>495</v>
      </c>
      <c r="BL498" s="700">
        <v>469</v>
      </c>
      <c r="BM498" s="700">
        <v>471</v>
      </c>
      <c r="BN498" s="700">
        <v>521</v>
      </c>
      <c r="BO498" s="700">
        <v>498</v>
      </c>
      <c r="BP498" s="700">
        <v>491</v>
      </c>
      <c r="BQ498" s="700">
        <v>525</v>
      </c>
      <c r="BR498" s="700">
        <v>529</v>
      </c>
      <c r="BS498" s="700">
        <v>512</v>
      </c>
      <c r="BT498" s="700">
        <v>493</v>
      </c>
      <c r="BU498" s="700">
        <v>503</v>
      </c>
      <c r="BV498" s="700">
        <v>432</v>
      </c>
      <c r="BW498" s="700">
        <v>445</v>
      </c>
      <c r="BX498" s="700">
        <v>434</v>
      </c>
      <c r="BY498" s="700">
        <v>364</v>
      </c>
      <c r="BZ498" s="700">
        <v>441</v>
      </c>
      <c r="CA498" s="700">
        <v>389</v>
      </c>
      <c r="CB498" s="700">
        <v>372</v>
      </c>
      <c r="CC498" s="700">
        <v>364</v>
      </c>
      <c r="CD498" s="700">
        <v>375</v>
      </c>
      <c r="CE498" s="700">
        <v>341</v>
      </c>
      <c r="CF498" s="700">
        <v>358</v>
      </c>
      <c r="CG498" s="700">
        <v>351</v>
      </c>
      <c r="CH498" s="700">
        <v>359</v>
      </c>
      <c r="CI498" s="700">
        <v>343</v>
      </c>
      <c r="CJ498" s="700">
        <v>401</v>
      </c>
      <c r="CK498" s="700">
        <v>297</v>
      </c>
      <c r="CL498" s="700">
        <v>262</v>
      </c>
      <c r="CM498" s="700">
        <v>235</v>
      </c>
      <c r="CN498" s="700">
        <v>261</v>
      </c>
      <c r="CO498" s="700">
        <v>210</v>
      </c>
      <c r="CP498" s="700">
        <v>179</v>
      </c>
      <c r="CQ498" s="700">
        <v>155</v>
      </c>
      <c r="CR498" s="700">
        <v>164</v>
      </c>
      <c r="CS498" s="700">
        <v>135</v>
      </c>
      <c r="CT498" s="700">
        <v>101</v>
      </c>
      <c r="CU498" s="700">
        <v>100</v>
      </c>
      <c r="CV498" s="700">
        <v>87</v>
      </c>
      <c r="CW498" s="700">
        <v>55</v>
      </c>
      <c r="CX498" s="700">
        <v>58</v>
      </c>
      <c r="CY498" s="700">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
      <c r="A499" s="31" t="s">
        <v>80</v>
      </c>
      <c r="B499" s="1" t="s">
        <v>579</v>
      </c>
      <c r="C499" s="30" t="str">
        <f t="shared" si="116"/>
        <v>LA Wales - Bridgend</v>
      </c>
      <c r="D499" s="51">
        <f t="shared" si="117"/>
        <v>62440</v>
      </c>
      <c r="E499" s="51">
        <f t="shared" si="117"/>
        <v>64704</v>
      </c>
      <c r="F499" s="52">
        <f>G499+H499</f>
        <v>146136</v>
      </c>
      <c r="G499" s="52">
        <f>SUM(M499:CY499)</f>
        <v>72202</v>
      </c>
      <c r="H499" s="52">
        <f>SUM(CZ499:GL499)</f>
        <v>73934</v>
      </c>
      <c r="I499" s="697">
        <f t="shared" si="113"/>
        <v>62440</v>
      </c>
      <c r="J499" s="53">
        <f t="shared" si="114"/>
        <v>64704</v>
      </c>
      <c r="K499" s="50">
        <f>SUM(M499:AD499)</f>
        <v>15080</v>
      </c>
      <c r="L499" s="51">
        <f>SUM(CZ499:DQ499)</f>
        <v>14112</v>
      </c>
      <c r="M499" s="700">
        <v>731</v>
      </c>
      <c r="N499" s="700">
        <v>689</v>
      </c>
      <c r="O499" s="700">
        <v>714</v>
      </c>
      <c r="P499" s="700">
        <v>751</v>
      </c>
      <c r="Q499" s="700">
        <v>788</v>
      </c>
      <c r="R499" s="700">
        <v>823</v>
      </c>
      <c r="S499" s="700">
        <v>811</v>
      </c>
      <c r="T499" s="700">
        <v>852</v>
      </c>
      <c r="U499" s="700">
        <v>862</v>
      </c>
      <c r="V499" s="700">
        <v>879</v>
      </c>
      <c r="W499" s="700">
        <v>884</v>
      </c>
      <c r="X499" s="700">
        <v>978</v>
      </c>
      <c r="Y499" s="700">
        <v>895</v>
      </c>
      <c r="Z499" s="700">
        <v>924</v>
      </c>
      <c r="AA499" s="700">
        <v>890</v>
      </c>
      <c r="AB499" s="700">
        <v>868</v>
      </c>
      <c r="AC499" s="700">
        <v>836</v>
      </c>
      <c r="AD499" s="700">
        <v>905</v>
      </c>
      <c r="AE499" s="700">
        <v>777</v>
      </c>
      <c r="AF499" s="700">
        <v>641</v>
      </c>
      <c r="AG499" s="700">
        <v>674</v>
      </c>
      <c r="AH499" s="700">
        <v>686</v>
      </c>
      <c r="AI499" s="700">
        <v>727</v>
      </c>
      <c r="AJ499" s="700">
        <v>840</v>
      </c>
      <c r="AK499" s="700">
        <v>858</v>
      </c>
      <c r="AL499" s="700">
        <v>945</v>
      </c>
      <c r="AM499" s="700">
        <v>890</v>
      </c>
      <c r="AN499" s="700">
        <v>816</v>
      </c>
      <c r="AO499" s="700">
        <v>944</v>
      </c>
      <c r="AP499" s="700">
        <v>857</v>
      </c>
      <c r="AQ499" s="700">
        <v>968</v>
      </c>
      <c r="AR499" s="700">
        <v>910</v>
      </c>
      <c r="AS499" s="700">
        <v>982</v>
      </c>
      <c r="AT499" s="700">
        <v>986</v>
      </c>
      <c r="AU499" s="700">
        <v>996</v>
      </c>
      <c r="AV499" s="700">
        <v>984</v>
      </c>
      <c r="AW499" s="700">
        <v>944</v>
      </c>
      <c r="AX499" s="700">
        <v>937</v>
      </c>
      <c r="AY499" s="700">
        <v>874</v>
      </c>
      <c r="AZ499" s="700">
        <v>882</v>
      </c>
      <c r="BA499" s="700">
        <v>860</v>
      </c>
      <c r="BB499" s="700">
        <v>916</v>
      </c>
      <c r="BC499" s="700">
        <v>935</v>
      </c>
      <c r="BD499" s="700">
        <v>885</v>
      </c>
      <c r="BE499" s="700">
        <v>798</v>
      </c>
      <c r="BF499" s="700">
        <v>764</v>
      </c>
      <c r="BG499" s="700">
        <v>821</v>
      </c>
      <c r="BH499" s="700">
        <v>816</v>
      </c>
      <c r="BI499" s="700">
        <v>884</v>
      </c>
      <c r="BJ499" s="700">
        <v>901</v>
      </c>
      <c r="BK499" s="700">
        <v>1009</v>
      </c>
      <c r="BL499" s="700">
        <v>1091</v>
      </c>
      <c r="BM499" s="700">
        <v>977</v>
      </c>
      <c r="BN499" s="700">
        <v>1017</v>
      </c>
      <c r="BO499" s="700">
        <v>1078</v>
      </c>
      <c r="BP499" s="700">
        <v>1056</v>
      </c>
      <c r="BQ499" s="700">
        <v>1081</v>
      </c>
      <c r="BR499" s="700">
        <v>1062</v>
      </c>
      <c r="BS499" s="700">
        <v>1067</v>
      </c>
      <c r="BT499" s="700">
        <v>1000</v>
      </c>
      <c r="BU499" s="700">
        <v>1035</v>
      </c>
      <c r="BV499" s="700">
        <v>984</v>
      </c>
      <c r="BW499" s="700">
        <v>918</v>
      </c>
      <c r="BX499" s="700">
        <v>903</v>
      </c>
      <c r="BY499" s="700">
        <v>907</v>
      </c>
      <c r="BZ499" s="700">
        <v>835</v>
      </c>
      <c r="CA499" s="700">
        <v>831</v>
      </c>
      <c r="CB499" s="700">
        <v>766</v>
      </c>
      <c r="CC499" s="700">
        <v>742</v>
      </c>
      <c r="CD499" s="700">
        <v>776</v>
      </c>
      <c r="CE499" s="700">
        <v>736</v>
      </c>
      <c r="CF499" s="700">
        <v>767</v>
      </c>
      <c r="CG499" s="700">
        <v>726</v>
      </c>
      <c r="CH499" s="700">
        <v>780</v>
      </c>
      <c r="CI499" s="700">
        <v>754</v>
      </c>
      <c r="CJ499" s="700">
        <v>809</v>
      </c>
      <c r="CK499" s="700">
        <v>632</v>
      </c>
      <c r="CL499" s="700">
        <v>617</v>
      </c>
      <c r="CM499" s="700">
        <v>572</v>
      </c>
      <c r="CN499" s="700">
        <v>506</v>
      </c>
      <c r="CO499" s="700">
        <v>443</v>
      </c>
      <c r="CP499" s="700">
        <v>449</v>
      </c>
      <c r="CQ499" s="700">
        <v>367</v>
      </c>
      <c r="CR499" s="700">
        <v>336</v>
      </c>
      <c r="CS499" s="700">
        <v>314</v>
      </c>
      <c r="CT499" s="700">
        <v>257</v>
      </c>
      <c r="CU499" s="700">
        <v>226</v>
      </c>
      <c r="CV499" s="700">
        <v>223</v>
      </c>
      <c r="CW499" s="700">
        <v>154</v>
      </c>
      <c r="CX499" s="700">
        <v>144</v>
      </c>
      <c r="CY499" s="700">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
      <c r="A500" s="31" t="s">
        <v>80</v>
      </c>
      <c r="B500" s="1" t="s">
        <v>580</v>
      </c>
      <c r="C500" s="30" t="str">
        <f t="shared" si="116"/>
        <v>LA Wales - Caerphilly</v>
      </c>
      <c r="D500" s="51">
        <f t="shared" si="117"/>
        <v>74052</v>
      </c>
      <c r="E500" s="51">
        <f t="shared" si="117"/>
        <v>78556</v>
      </c>
      <c r="F500" s="52">
        <f>G500+H500</f>
        <v>176130</v>
      </c>
      <c r="G500" s="52">
        <f>SUM(M500:CY500)</f>
        <v>85945</v>
      </c>
      <c r="H500" s="52">
        <f>SUM(CZ500:GL500)</f>
        <v>90185</v>
      </c>
      <c r="I500" s="697">
        <f t="shared" si="113"/>
        <v>74052</v>
      </c>
      <c r="J500" s="53">
        <f t="shared" si="114"/>
        <v>78556</v>
      </c>
      <c r="K500" s="50">
        <f>SUM(M500:AD500)</f>
        <v>18415</v>
      </c>
      <c r="L500" s="51">
        <f>SUM(CZ500:DQ500)</f>
        <v>17818</v>
      </c>
      <c r="M500" s="700">
        <v>834</v>
      </c>
      <c r="N500" s="700">
        <v>824</v>
      </c>
      <c r="O500" s="700">
        <v>908</v>
      </c>
      <c r="P500" s="700">
        <v>935</v>
      </c>
      <c r="Q500" s="700">
        <v>1007</v>
      </c>
      <c r="R500" s="700">
        <v>996</v>
      </c>
      <c r="S500" s="700">
        <v>1029</v>
      </c>
      <c r="T500" s="700">
        <v>1072</v>
      </c>
      <c r="U500" s="700">
        <v>1068</v>
      </c>
      <c r="V500" s="700">
        <v>1056</v>
      </c>
      <c r="W500" s="700">
        <v>1069</v>
      </c>
      <c r="X500" s="700">
        <v>1095</v>
      </c>
      <c r="Y500" s="700">
        <v>1148</v>
      </c>
      <c r="Z500" s="700">
        <v>1126</v>
      </c>
      <c r="AA500" s="700">
        <v>1141</v>
      </c>
      <c r="AB500" s="700">
        <v>1053</v>
      </c>
      <c r="AC500" s="700">
        <v>1026</v>
      </c>
      <c r="AD500" s="700">
        <v>1028</v>
      </c>
      <c r="AE500" s="700">
        <v>1108</v>
      </c>
      <c r="AF500" s="700">
        <v>875</v>
      </c>
      <c r="AG500" s="700">
        <v>817</v>
      </c>
      <c r="AH500" s="700">
        <v>888</v>
      </c>
      <c r="AI500" s="700">
        <v>942</v>
      </c>
      <c r="AJ500" s="700">
        <v>891</v>
      </c>
      <c r="AK500" s="700">
        <v>901</v>
      </c>
      <c r="AL500" s="700">
        <v>1103</v>
      </c>
      <c r="AM500" s="700">
        <v>1005</v>
      </c>
      <c r="AN500" s="700">
        <v>987</v>
      </c>
      <c r="AO500" s="700">
        <v>1032</v>
      </c>
      <c r="AP500" s="700">
        <v>1030</v>
      </c>
      <c r="AQ500" s="700">
        <v>1074</v>
      </c>
      <c r="AR500" s="700">
        <v>1182</v>
      </c>
      <c r="AS500" s="700">
        <v>1115</v>
      </c>
      <c r="AT500" s="700">
        <v>1132</v>
      </c>
      <c r="AU500" s="700">
        <v>1167</v>
      </c>
      <c r="AV500" s="700">
        <v>1071</v>
      </c>
      <c r="AW500" s="700">
        <v>1140</v>
      </c>
      <c r="AX500" s="700">
        <v>1077</v>
      </c>
      <c r="AY500" s="700">
        <v>1079</v>
      </c>
      <c r="AZ500" s="700">
        <v>1060</v>
      </c>
      <c r="BA500" s="700">
        <v>1012</v>
      </c>
      <c r="BB500" s="700">
        <v>1070</v>
      </c>
      <c r="BC500" s="700">
        <v>1085</v>
      </c>
      <c r="BD500" s="700">
        <v>1002</v>
      </c>
      <c r="BE500" s="700">
        <v>958</v>
      </c>
      <c r="BF500" s="700">
        <v>997</v>
      </c>
      <c r="BG500" s="700">
        <v>992</v>
      </c>
      <c r="BH500" s="700">
        <v>988</v>
      </c>
      <c r="BI500" s="700">
        <v>1077</v>
      </c>
      <c r="BJ500" s="700">
        <v>1113</v>
      </c>
      <c r="BK500" s="700">
        <v>1157</v>
      </c>
      <c r="BL500" s="700">
        <v>1232</v>
      </c>
      <c r="BM500" s="700">
        <v>1129</v>
      </c>
      <c r="BN500" s="700">
        <v>1299</v>
      </c>
      <c r="BO500" s="700">
        <v>1259</v>
      </c>
      <c r="BP500" s="700">
        <v>1214</v>
      </c>
      <c r="BQ500" s="700">
        <v>1265</v>
      </c>
      <c r="BR500" s="700">
        <v>1277</v>
      </c>
      <c r="BS500" s="700">
        <v>1255</v>
      </c>
      <c r="BT500" s="700">
        <v>1273</v>
      </c>
      <c r="BU500" s="700">
        <v>1181</v>
      </c>
      <c r="BV500" s="700">
        <v>1146</v>
      </c>
      <c r="BW500" s="700">
        <v>1118</v>
      </c>
      <c r="BX500" s="700">
        <v>1064</v>
      </c>
      <c r="BY500" s="700">
        <v>1058</v>
      </c>
      <c r="BZ500" s="700">
        <v>1029</v>
      </c>
      <c r="CA500" s="700">
        <v>925</v>
      </c>
      <c r="CB500" s="700">
        <v>870</v>
      </c>
      <c r="CC500" s="700">
        <v>989</v>
      </c>
      <c r="CD500" s="700">
        <v>948</v>
      </c>
      <c r="CE500" s="700">
        <v>880</v>
      </c>
      <c r="CF500" s="700">
        <v>910</v>
      </c>
      <c r="CG500" s="700">
        <v>938</v>
      </c>
      <c r="CH500" s="700">
        <v>837</v>
      </c>
      <c r="CI500" s="700">
        <v>970</v>
      </c>
      <c r="CJ500" s="700">
        <v>989</v>
      </c>
      <c r="CK500" s="700">
        <v>740</v>
      </c>
      <c r="CL500" s="700">
        <v>691</v>
      </c>
      <c r="CM500" s="700">
        <v>645</v>
      </c>
      <c r="CN500" s="700">
        <v>570</v>
      </c>
      <c r="CO500" s="700">
        <v>578</v>
      </c>
      <c r="CP500" s="700">
        <v>442</v>
      </c>
      <c r="CQ500" s="700">
        <v>426</v>
      </c>
      <c r="CR500" s="700">
        <v>410</v>
      </c>
      <c r="CS500" s="700">
        <v>355</v>
      </c>
      <c r="CT500" s="700">
        <v>296</v>
      </c>
      <c r="CU500" s="700">
        <v>259</v>
      </c>
      <c r="CV500" s="700">
        <v>215</v>
      </c>
      <c r="CW500" s="700">
        <v>176</v>
      </c>
      <c r="CX500" s="700">
        <v>150</v>
      </c>
      <c r="CY500" s="700">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
      <c r="A501" s="31" t="s">
        <v>80</v>
      </c>
      <c r="B501" s="1" t="s">
        <v>581</v>
      </c>
      <c r="C501" s="30" t="str">
        <f t="shared" si="116"/>
        <v>LA Wales - Cardiff</v>
      </c>
      <c r="D501" s="51">
        <f t="shared" si="117"/>
        <v>157036</v>
      </c>
      <c r="E501" s="51">
        <f t="shared" si="117"/>
        <v>165394</v>
      </c>
      <c r="F501" s="52">
        <f>G501+H501</f>
        <v>372089</v>
      </c>
      <c r="G501" s="52">
        <f>SUM(M501:CY501)</f>
        <v>182357</v>
      </c>
      <c r="H501" s="52">
        <f>SUM(CZ501:GL501)</f>
        <v>189732</v>
      </c>
      <c r="I501" s="697">
        <f t="shared" si="113"/>
        <v>157036</v>
      </c>
      <c r="J501" s="53">
        <f t="shared" si="114"/>
        <v>165394</v>
      </c>
      <c r="K501" s="50">
        <f>SUM(M501:AD501)</f>
        <v>38330</v>
      </c>
      <c r="L501" s="51">
        <f>SUM(CZ501:DQ501)</f>
        <v>36776</v>
      </c>
      <c r="M501" s="700">
        <v>1950</v>
      </c>
      <c r="N501" s="700">
        <v>1875</v>
      </c>
      <c r="O501" s="700">
        <v>1880</v>
      </c>
      <c r="P501" s="700">
        <v>1977</v>
      </c>
      <c r="Q501" s="700">
        <v>2035</v>
      </c>
      <c r="R501" s="700">
        <v>2099</v>
      </c>
      <c r="S501" s="700">
        <v>2234</v>
      </c>
      <c r="T501" s="700">
        <v>2194</v>
      </c>
      <c r="U501" s="700">
        <v>2213</v>
      </c>
      <c r="V501" s="700">
        <v>2181</v>
      </c>
      <c r="W501" s="700">
        <v>2303</v>
      </c>
      <c r="X501" s="700">
        <v>2380</v>
      </c>
      <c r="Y501" s="700">
        <v>2271</v>
      </c>
      <c r="Z501" s="700">
        <v>2188</v>
      </c>
      <c r="AA501" s="700">
        <v>2173</v>
      </c>
      <c r="AB501" s="700">
        <v>2117</v>
      </c>
      <c r="AC501" s="700">
        <v>2130</v>
      </c>
      <c r="AD501" s="700">
        <v>2130</v>
      </c>
      <c r="AE501" s="700">
        <v>2327</v>
      </c>
      <c r="AF501" s="700">
        <v>4164</v>
      </c>
      <c r="AG501" s="700">
        <v>4565</v>
      </c>
      <c r="AH501" s="700">
        <v>4249</v>
      </c>
      <c r="AI501" s="700">
        <v>3797</v>
      </c>
      <c r="AJ501" s="700">
        <v>3628</v>
      </c>
      <c r="AK501" s="700">
        <v>3513</v>
      </c>
      <c r="AL501" s="700">
        <v>3439</v>
      </c>
      <c r="AM501" s="700">
        <v>3420</v>
      </c>
      <c r="AN501" s="700">
        <v>3228</v>
      </c>
      <c r="AO501" s="700">
        <v>3077</v>
      </c>
      <c r="AP501" s="700">
        <v>2999</v>
      </c>
      <c r="AQ501" s="700">
        <v>2824</v>
      </c>
      <c r="AR501" s="700">
        <v>2846</v>
      </c>
      <c r="AS501" s="700">
        <v>2776</v>
      </c>
      <c r="AT501" s="700">
        <v>2588</v>
      </c>
      <c r="AU501" s="700">
        <v>2705</v>
      </c>
      <c r="AV501" s="700">
        <v>2608</v>
      </c>
      <c r="AW501" s="700">
        <v>2669</v>
      </c>
      <c r="AX501" s="700">
        <v>2467</v>
      </c>
      <c r="AY501" s="700">
        <v>2494</v>
      </c>
      <c r="AZ501" s="700">
        <v>2498</v>
      </c>
      <c r="BA501" s="700">
        <v>2343</v>
      </c>
      <c r="BB501" s="700">
        <v>2361</v>
      </c>
      <c r="BC501" s="700">
        <v>2324</v>
      </c>
      <c r="BD501" s="700">
        <v>2260</v>
      </c>
      <c r="BE501" s="700">
        <v>2022</v>
      </c>
      <c r="BF501" s="700">
        <v>2128</v>
      </c>
      <c r="BG501" s="700">
        <v>2019</v>
      </c>
      <c r="BH501" s="700">
        <v>2027</v>
      </c>
      <c r="BI501" s="700">
        <v>2070</v>
      </c>
      <c r="BJ501" s="700">
        <v>1928</v>
      </c>
      <c r="BK501" s="700">
        <v>1966</v>
      </c>
      <c r="BL501" s="700">
        <v>2100</v>
      </c>
      <c r="BM501" s="700">
        <v>2061</v>
      </c>
      <c r="BN501" s="700">
        <v>2078</v>
      </c>
      <c r="BO501" s="700">
        <v>1992</v>
      </c>
      <c r="BP501" s="700">
        <v>2070</v>
      </c>
      <c r="BQ501" s="700">
        <v>1888</v>
      </c>
      <c r="BR501" s="700">
        <v>2027</v>
      </c>
      <c r="BS501" s="700">
        <v>1976</v>
      </c>
      <c r="BT501" s="700">
        <v>1918</v>
      </c>
      <c r="BU501" s="700">
        <v>1994</v>
      </c>
      <c r="BV501" s="700">
        <v>1814</v>
      </c>
      <c r="BW501" s="700">
        <v>1830</v>
      </c>
      <c r="BX501" s="700">
        <v>1808</v>
      </c>
      <c r="BY501" s="700">
        <v>1654</v>
      </c>
      <c r="BZ501" s="700">
        <v>1666</v>
      </c>
      <c r="CA501" s="700">
        <v>1538</v>
      </c>
      <c r="CB501" s="700">
        <v>1449</v>
      </c>
      <c r="CC501" s="700">
        <v>1467</v>
      </c>
      <c r="CD501" s="700">
        <v>1364</v>
      </c>
      <c r="CE501" s="700">
        <v>1286</v>
      </c>
      <c r="CF501" s="700">
        <v>1359</v>
      </c>
      <c r="CG501" s="700">
        <v>1353</v>
      </c>
      <c r="CH501" s="700">
        <v>1306</v>
      </c>
      <c r="CI501" s="700">
        <v>1244</v>
      </c>
      <c r="CJ501" s="700">
        <v>1342</v>
      </c>
      <c r="CK501" s="700">
        <v>991</v>
      </c>
      <c r="CL501" s="700">
        <v>942</v>
      </c>
      <c r="CM501" s="700">
        <v>905</v>
      </c>
      <c r="CN501" s="700">
        <v>742</v>
      </c>
      <c r="CO501" s="700">
        <v>691</v>
      </c>
      <c r="CP501" s="700">
        <v>611</v>
      </c>
      <c r="CQ501" s="700">
        <v>589</v>
      </c>
      <c r="CR501" s="700">
        <v>538</v>
      </c>
      <c r="CS501" s="700">
        <v>490</v>
      </c>
      <c r="CT501" s="700">
        <v>446</v>
      </c>
      <c r="CU501" s="700">
        <v>394</v>
      </c>
      <c r="CV501" s="700">
        <v>368</v>
      </c>
      <c r="CW501" s="700">
        <v>281</v>
      </c>
      <c r="CX501" s="700">
        <v>249</v>
      </c>
      <c r="CY501" s="700">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
      <c r="A502" s="31" t="s">
        <v>80</v>
      </c>
      <c r="B502" s="1" t="s">
        <v>582</v>
      </c>
      <c r="C502" s="30" t="str">
        <f t="shared" si="116"/>
        <v>LA Wales - Carmarthenshire</v>
      </c>
      <c r="D502" s="51">
        <f t="shared" ref="D502:D531" si="118">I502</f>
        <v>80222</v>
      </c>
      <c r="E502" s="51">
        <f t="shared" ref="E502:E531" si="119">J502</f>
        <v>85424</v>
      </c>
      <c r="F502" s="52">
        <f t="shared" ref="F502:F519" si="120">G502+H502</f>
        <v>189117</v>
      </c>
      <c r="G502" s="52">
        <f t="shared" ref="G502:G519" si="121">SUM(M502:CY502)</f>
        <v>92284</v>
      </c>
      <c r="H502" s="52">
        <f t="shared" ref="H502:H519" si="122">SUM(CZ502:GL502)</f>
        <v>96833</v>
      </c>
      <c r="I502" s="697">
        <f t="shared" si="113"/>
        <v>80222</v>
      </c>
      <c r="J502" s="53">
        <f t="shared" si="114"/>
        <v>85424</v>
      </c>
      <c r="K502" s="50">
        <f t="shared" ref="K502:K519" si="123">SUM(M502:AD502)</f>
        <v>18840</v>
      </c>
      <c r="L502" s="51">
        <f t="shared" ref="L502:L519" si="124">SUM(CZ502:DQ502)</f>
        <v>17839</v>
      </c>
      <c r="M502" s="700">
        <v>856</v>
      </c>
      <c r="N502" s="700">
        <v>866</v>
      </c>
      <c r="O502" s="700">
        <v>854</v>
      </c>
      <c r="P502" s="700">
        <v>934</v>
      </c>
      <c r="Q502" s="700">
        <v>976</v>
      </c>
      <c r="R502" s="700">
        <v>1016</v>
      </c>
      <c r="S502" s="700">
        <v>1068</v>
      </c>
      <c r="T502" s="700">
        <v>1057</v>
      </c>
      <c r="U502" s="700">
        <v>1032</v>
      </c>
      <c r="V502" s="700">
        <v>1077</v>
      </c>
      <c r="W502" s="700">
        <v>1158</v>
      </c>
      <c r="X502" s="700">
        <v>1168</v>
      </c>
      <c r="Y502" s="700">
        <v>1148</v>
      </c>
      <c r="Z502" s="700">
        <v>1099</v>
      </c>
      <c r="AA502" s="700">
        <v>1137</v>
      </c>
      <c r="AB502" s="700">
        <v>1146</v>
      </c>
      <c r="AC502" s="700">
        <v>1150</v>
      </c>
      <c r="AD502" s="700">
        <v>1098</v>
      </c>
      <c r="AE502" s="700">
        <v>1071</v>
      </c>
      <c r="AF502" s="700">
        <v>898</v>
      </c>
      <c r="AG502" s="700">
        <v>829</v>
      </c>
      <c r="AH502" s="700">
        <v>834</v>
      </c>
      <c r="AI502" s="700">
        <v>847</v>
      </c>
      <c r="AJ502" s="700">
        <v>907</v>
      </c>
      <c r="AK502" s="700">
        <v>957</v>
      </c>
      <c r="AL502" s="700">
        <v>1013</v>
      </c>
      <c r="AM502" s="700">
        <v>1000</v>
      </c>
      <c r="AN502" s="700">
        <v>923</v>
      </c>
      <c r="AO502" s="700">
        <v>977</v>
      </c>
      <c r="AP502" s="700">
        <v>975</v>
      </c>
      <c r="AQ502" s="700">
        <v>1005</v>
      </c>
      <c r="AR502" s="700">
        <v>1049</v>
      </c>
      <c r="AS502" s="700">
        <v>1077</v>
      </c>
      <c r="AT502" s="700">
        <v>1035</v>
      </c>
      <c r="AU502" s="700">
        <v>1116</v>
      </c>
      <c r="AV502" s="700">
        <v>1060</v>
      </c>
      <c r="AW502" s="700">
        <v>1050</v>
      </c>
      <c r="AX502" s="700">
        <v>991</v>
      </c>
      <c r="AY502" s="700">
        <v>1021</v>
      </c>
      <c r="AZ502" s="700">
        <v>1015</v>
      </c>
      <c r="BA502" s="700">
        <v>996</v>
      </c>
      <c r="BB502" s="700">
        <v>1033</v>
      </c>
      <c r="BC502" s="700">
        <v>1042</v>
      </c>
      <c r="BD502" s="700">
        <v>1003</v>
      </c>
      <c r="BE502" s="700">
        <v>929</v>
      </c>
      <c r="BF502" s="700">
        <v>918</v>
      </c>
      <c r="BG502" s="700">
        <v>1008</v>
      </c>
      <c r="BH502" s="700">
        <v>1037</v>
      </c>
      <c r="BI502" s="700">
        <v>1074</v>
      </c>
      <c r="BJ502" s="700">
        <v>1130</v>
      </c>
      <c r="BK502" s="700">
        <v>1203</v>
      </c>
      <c r="BL502" s="700">
        <v>1281</v>
      </c>
      <c r="BM502" s="700">
        <v>1243</v>
      </c>
      <c r="BN502" s="700">
        <v>1231</v>
      </c>
      <c r="BO502" s="700">
        <v>1260</v>
      </c>
      <c r="BP502" s="700">
        <v>1356</v>
      </c>
      <c r="BQ502" s="700">
        <v>1372</v>
      </c>
      <c r="BR502" s="700">
        <v>1413</v>
      </c>
      <c r="BS502" s="700">
        <v>1455</v>
      </c>
      <c r="BT502" s="700">
        <v>1317</v>
      </c>
      <c r="BU502" s="700">
        <v>1416</v>
      </c>
      <c r="BV502" s="700">
        <v>1373</v>
      </c>
      <c r="BW502" s="700">
        <v>1349</v>
      </c>
      <c r="BX502" s="700">
        <v>1279</v>
      </c>
      <c r="BY502" s="700">
        <v>1311</v>
      </c>
      <c r="BZ502" s="700">
        <v>1261</v>
      </c>
      <c r="CA502" s="700">
        <v>1172</v>
      </c>
      <c r="CB502" s="700">
        <v>1270</v>
      </c>
      <c r="CC502" s="700">
        <v>1212</v>
      </c>
      <c r="CD502" s="700">
        <v>1197</v>
      </c>
      <c r="CE502" s="700">
        <v>1164</v>
      </c>
      <c r="CF502" s="700">
        <v>1112</v>
      </c>
      <c r="CG502" s="700">
        <v>1141</v>
      </c>
      <c r="CH502" s="700">
        <v>1175</v>
      </c>
      <c r="CI502" s="700">
        <v>1186</v>
      </c>
      <c r="CJ502" s="700">
        <v>1175</v>
      </c>
      <c r="CK502" s="700">
        <v>999</v>
      </c>
      <c r="CL502" s="700">
        <v>920</v>
      </c>
      <c r="CM502" s="700">
        <v>863</v>
      </c>
      <c r="CN502" s="700">
        <v>789</v>
      </c>
      <c r="CO502" s="700">
        <v>736</v>
      </c>
      <c r="CP502" s="700">
        <v>619</v>
      </c>
      <c r="CQ502" s="700">
        <v>561</v>
      </c>
      <c r="CR502" s="700">
        <v>506</v>
      </c>
      <c r="CS502" s="700">
        <v>445</v>
      </c>
      <c r="CT502" s="700">
        <v>454</v>
      </c>
      <c r="CU502" s="700">
        <v>361</v>
      </c>
      <c r="CV502" s="700">
        <v>330</v>
      </c>
      <c r="CW502" s="700">
        <v>265</v>
      </c>
      <c r="CX502" s="700">
        <v>198</v>
      </c>
      <c r="CY502" s="700">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
      <c r="A503" s="31" t="s">
        <v>80</v>
      </c>
      <c r="B503" s="1" t="s">
        <v>583</v>
      </c>
      <c r="C503" s="30" t="str">
        <f t="shared" si="116"/>
        <v>LA Wales - Ceredigion</v>
      </c>
      <c r="D503" s="51">
        <f t="shared" si="118"/>
        <v>31230</v>
      </c>
      <c r="E503" s="51">
        <f t="shared" si="119"/>
        <v>32928</v>
      </c>
      <c r="F503" s="52">
        <f t="shared" si="120"/>
        <v>71610</v>
      </c>
      <c r="G503" s="52">
        <f t="shared" si="121"/>
        <v>34962</v>
      </c>
      <c r="H503" s="52">
        <f t="shared" si="122"/>
        <v>36648</v>
      </c>
      <c r="I503" s="697">
        <f t="shared" si="113"/>
        <v>31230</v>
      </c>
      <c r="J503" s="53">
        <f t="shared" si="114"/>
        <v>32928</v>
      </c>
      <c r="K503" s="50">
        <f t="shared" si="123"/>
        <v>5839</v>
      </c>
      <c r="L503" s="51">
        <f t="shared" si="124"/>
        <v>5699</v>
      </c>
      <c r="M503" s="700">
        <v>276</v>
      </c>
      <c r="N503" s="700">
        <v>237</v>
      </c>
      <c r="O503" s="700">
        <v>271</v>
      </c>
      <c r="P503" s="700">
        <v>294</v>
      </c>
      <c r="Q503" s="700">
        <v>285</v>
      </c>
      <c r="R503" s="700">
        <v>312</v>
      </c>
      <c r="S503" s="700">
        <v>341</v>
      </c>
      <c r="T503" s="700">
        <v>317</v>
      </c>
      <c r="U503" s="700">
        <v>309</v>
      </c>
      <c r="V503" s="700">
        <v>360</v>
      </c>
      <c r="W503" s="700">
        <v>360</v>
      </c>
      <c r="X503" s="700">
        <v>370</v>
      </c>
      <c r="Y503" s="700">
        <v>368</v>
      </c>
      <c r="Z503" s="700">
        <v>326</v>
      </c>
      <c r="AA503" s="700">
        <v>334</v>
      </c>
      <c r="AB503" s="700">
        <v>346</v>
      </c>
      <c r="AC503" s="700">
        <v>355</v>
      </c>
      <c r="AD503" s="700">
        <v>378</v>
      </c>
      <c r="AE503" s="700">
        <v>435</v>
      </c>
      <c r="AF503" s="700">
        <v>855</v>
      </c>
      <c r="AG503" s="700">
        <v>809</v>
      </c>
      <c r="AH503" s="700">
        <v>767</v>
      </c>
      <c r="AI503" s="700">
        <v>615</v>
      </c>
      <c r="AJ503" s="700">
        <v>548</v>
      </c>
      <c r="AK503" s="700">
        <v>432</v>
      </c>
      <c r="AL503" s="700">
        <v>350</v>
      </c>
      <c r="AM503" s="700">
        <v>336</v>
      </c>
      <c r="AN503" s="700">
        <v>361</v>
      </c>
      <c r="AO503" s="700">
        <v>363</v>
      </c>
      <c r="AP503" s="700">
        <v>307</v>
      </c>
      <c r="AQ503" s="700">
        <v>338</v>
      </c>
      <c r="AR503" s="700">
        <v>347</v>
      </c>
      <c r="AS503" s="700">
        <v>354</v>
      </c>
      <c r="AT503" s="700">
        <v>356</v>
      </c>
      <c r="AU503" s="700">
        <v>352</v>
      </c>
      <c r="AV503" s="700">
        <v>311</v>
      </c>
      <c r="AW503" s="700">
        <v>316</v>
      </c>
      <c r="AX503" s="700">
        <v>334</v>
      </c>
      <c r="AY503" s="700">
        <v>320</v>
      </c>
      <c r="AZ503" s="700">
        <v>335</v>
      </c>
      <c r="BA503" s="700">
        <v>353</v>
      </c>
      <c r="BB503" s="700">
        <v>347</v>
      </c>
      <c r="BC503" s="700">
        <v>316</v>
      </c>
      <c r="BD503" s="700">
        <v>308</v>
      </c>
      <c r="BE503" s="700">
        <v>280</v>
      </c>
      <c r="BF503" s="700">
        <v>309</v>
      </c>
      <c r="BG503" s="700">
        <v>342</v>
      </c>
      <c r="BH503" s="700">
        <v>348</v>
      </c>
      <c r="BI503" s="700">
        <v>356</v>
      </c>
      <c r="BJ503" s="700">
        <v>339</v>
      </c>
      <c r="BK503" s="700">
        <v>402</v>
      </c>
      <c r="BL503" s="700">
        <v>431</v>
      </c>
      <c r="BM503" s="700">
        <v>435</v>
      </c>
      <c r="BN503" s="700">
        <v>504</v>
      </c>
      <c r="BO503" s="700">
        <v>475</v>
      </c>
      <c r="BP503" s="700">
        <v>496</v>
      </c>
      <c r="BQ503" s="700">
        <v>511</v>
      </c>
      <c r="BR503" s="700">
        <v>501</v>
      </c>
      <c r="BS503" s="700">
        <v>541</v>
      </c>
      <c r="BT503" s="700">
        <v>553</v>
      </c>
      <c r="BU503" s="700">
        <v>538</v>
      </c>
      <c r="BV503" s="700">
        <v>517</v>
      </c>
      <c r="BW503" s="700">
        <v>495</v>
      </c>
      <c r="BX503" s="700">
        <v>529</v>
      </c>
      <c r="BY503" s="700">
        <v>518</v>
      </c>
      <c r="BZ503" s="700">
        <v>495</v>
      </c>
      <c r="CA503" s="700">
        <v>519</v>
      </c>
      <c r="CB503" s="700">
        <v>491</v>
      </c>
      <c r="CC503" s="700">
        <v>490</v>
      </c>
      <c r="CD503" s="700">
        <v>448</v>
      </c>
      <c r="CE503" s="700">
        <v>472</v>
      </c>
      <c r="CF503" s="700">
        <v>453</v>
      </c>
      <c r="CG503" s="700">
        <v>454</v>
      </c>
      <c r="CH503" s="700">
        <v>509</v>
      </c>
      <c r="CI503" s="700">
        <v>531</v>
      </c>
      <c r="CJ503" s="700">
        <v>500</v>
      </c>
      <c r="CK503" s="700">
        <v>376</v>
      </c>
      <c r="CL503" s="700">
        <v>376</v>
      </c>
      <c r="CM503" s="700">
        <v>354</v>
      </c>
      <c r="CN503" s="700">
        <v>347</v>
      </c>
      <c r="CO503" s="700">
        <v>289</v>
      </c>
      <c r="CP503" s="700">
        <v>213</v>
      </c>
      <c r="CQ503" s="700">
        <v>241</v>
      </c>
      <c r="CR503" s="700">
        <v>198</v>
      </c>
      <c r="CS503" s="700">
        <v>175</v>
      </c>
      <c r="CT503" s="700">
        <v>168</v>
      </c>
      <c r="CU503" s="700">
        <v>134</v>
      </c>
      <c r="CV503" s="700">
        <v>115</v>
      </c>
      <c r="CW503" s="700">
        <v>97</v>
      </c>
      <c r="CX503" s="700">
        <v>84</v>
      </c>
      <c r="CY503" s="700">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
      <c r="A504" s="31" t="s">
        <v>80</v>
      </c>
      <c r="B504" s="1" t="s">
        <v>584</v>
      </c>
      <c r="C504" s="30" t="str">
        <f t="shared" si="116"/>
        <v>LA Wales - Conwy</v>
      </c>
      <c r="D504" s="51">
        <f t="shared" si="118"/>
        <v>48645</v>
      </c>
      <c r="E504" s="51">
        <f t="shared" si="119"/>
        <v>52495</v>
      </c>
      <c r="F504" s="52">
        <f t="shared" si="120"/>
        <v>114290</v>
      </c>
      <c r="G504" s="52">
        <f t="shared" si="121"/>
        <v>55416</v>
      </c>
      <c r="H504" s="52">
        <f t="shared" si="122"/>
        <v>58874</v>
      </c>
      <c r="I504" s="697">
        <f t="shared" si="113"/>
        <v>48645</v>
      </c>
      <c r="J504" s="53">
        <f t="shared" si="114"/>
        <v>52495</v>
      </c>
      <c r="K504" s="50">
        <f t="shared" si="123"/>
        <v>10537</v>
      </c>
      <c r="L504" s="51">
        <f t="shared" si="124"/>
        <v>10021</v>
      </c>
      <c r="M504" s="700">
        <v>483</v>
      </c>
      <c r="N504" s="700">
        <v>469</v>
      </c>
      <c r="O504" s="700">
        <v>522</v>
      </c>
      <c r="P504" s="700">
        <v>523</v>
      </c>
      <c r="Q504" s="700">
        <v>549</v>
      </c>
      <c r="R504" s="700">
        <v>540</v>
      </c>
      <c r="S504" s="700">
        <v>563</v>
      </c>
      <c r="T504" s="700">
        <v>620</v>
      </c>
      <c r="U504" s="700">
        <v>583</v>
      </c>
      <c r="V504" s="700">
        <v>622</v>
      </c>
      <c r="W504" s="700">
        <v>611</v>
      </c>
      <c r="X504" s="700">
        <v>686</v>
      </c>
      <c r="Y504" s="700">
        <v>621</v>
      </c>
      <c r="Z504" s="700">
        <v>634</v>
      </c>
      <c r="AA504" s="700">
        <v>601</v>
      </c>
      <c r="AB504" s="700">
        <v>642</v>
      </c>
      <c r="AC504" s="700">
        <v>627</v>
      </c>
      <c r="AD504" s="700">
        <v>641</v>
      </c>
      <c r="AE504" s="700">
        <v>613</v>
      </c>
      <c r="AF504" s="700">
        <v>404</v>
      </c>
      <c r="AG504" s="700">
        <v>422</v>
      </c>
      <c r="AH504" s="700">
        <v>441</v>
      </c>
      <c r="AI504" s="700">
        <v>543</v>
      </c>
      <c r="AJ504" s="700">
        <v>525</v>
      </c>
      <c r="AK504" s="700">
        <v>583</v>
      </c>
      <c r="AL504" s="700">
        <v>572</v>
      </c>
      <c r="AM504" s="700">
        <v>471</v>
      </c>
      <c r="AN504" s="700">
        <v>561</v>
      </c>
      <c r="AO504" s="700">
        <v>538</v>
      </c>
      <c r="AP504" s="700">
        <v>526</v>
      </c>
      <c r="AQ504" s="700">
        <v>576</v>
      </c>
      <c r="AR504" s="700">
        <v>623</v>
      </c>
      <c r="AS504" s="700">
        <v>576</v>
      </c>
      <c r="AT504" s="700">
        <v>615</v>
      </c>
      <c r="AU504" s="700">
        <v>597</v>
      </c>
      <c r="AV504" s="700">
        <v>594</v>
      </c>
      <c r="AW504" s="700">
        <v>552</v>
      </c>
      <c r="AX504" s="700">
        <v>589</v>
      </c>
      <c r="AY504" s="700">
        <v>559</v>
      </c>
      <c r="AZ504" s="700">
        <v>543</v>
      </c>
      <c r="BA504" s="700">
        <v>551</v>
      </c>
      <c r="BB504" s="700">
        <v>596</v>
      </c>
      <c r="BC504" s="700">
        <v>626</v>
      </c>
      <c r="BD504" s="700">
        <v>555</v>
      </c>
      <c r="BE504" s="700">
        <v>470</v>
      </c>
      <c r="BF504" s="700">
        <v>555</v>
      </c>
      <c r="BG504" s="700">
        <v>559</v>
      </c>
      <c r="BH504" s="700">
        <v>569</v>
      </c>
      <c r="BI504" s="700">
        <v>603</v>
      </c>
      <c r="BJ504" s="700">
        <v>679</v>
      </c>
      <c r="BK504" s="700">
        <v>788</v>
      </c>
      <c r="BL504" s="700">
        <v>775</v>
      </c>
      <c r="BM504" s="700">
        <v>750</v>
      </c>
      <c r="BN504" s="700">
        <v>805</v>
      </c>
      <c r="BO504" s="700">
        <v>775</v>
      </c>
      <c r="BP504" s="700">
        <v>819</v>
      </c>
      <c r="BQ504" s="700">
        <v>862</v>
      </c>
      <c r="BR504" s="700">
        <v>890</v>
      </c>
      <c r="BS504" s="700">
        <v>870</v>
      </c>
      <c r="BT504" s="700">
        <v>881</v>
      </c>
      <c r="BU504" s="700">
        <v>879</v>
      </c>
      <c r="BV504" s="700">
        <v>894</v>
      </c>
      <c r="BW504" s="700">
        <v>876</v>
      </c>
      <c r="BX504" s="700">
        <v>830</v>
      </c>
      <c r="BY504" s="700">
        <v>792</v>
      </c>
      <c r="BZ504" s="700">
        <v>785</v>
      </c>
      <c r="CA504" s="700">
        <v>740</v>
      </c>
      <c r="CB504" s="700">
        <v>717</v>
      </c>
      <c r="CC504" s="700">
        <v>789</v>
      </c>
      <c r="CD504" s="700">
        <v>744</v>
      </c>
      <c r="CE504" s="700">
        <v>734</v>
      </c>
      <c r="CF504" s="700">
        <v>780</v>
      </c>
      <c r="CG504" s="700">
        <v>723</v>
      </c>
      <c r="CH504" s="700">
        <v>809</v>
      </c>
      <c r="CI504" s="700">
        <v>853</v>
      </c>
      <c r="CJ504" s="700">
        <v>851</v>
      </c>
      <c r="CK504" s="700">
        <v>673</v>
      </c>
      <c r="CL504" s="700">
        <v>628</v>
      </c>
      <c r="CM504" s="700">
        <v>602</v>
      </c>
      <c r="CN504" s="700">
        <v>548</v>
      </c>
      <c r="CO504" s="700">
        <v>479</v>
      </c>
      <c r="CP504" s="700">
        <v>400</v>
      </c>
      <c r="CQ504" s="700">
        <v>367</v>
      </c>
      <c r="CR504" s="700">
        <v>373</v>
      </c>
      <c r="CS504" s="700">
        <v>296</v>
      </c>
      <c r="CT504" s="700">
        <v>289</v>
      </c>
      <c r="CU504" s="700">
        <v>267</v>
      </c>
      <c r="CV504" s="700">
        <v>251</v>
      </c>
      <c r="CW504" s="700">
        <v>195</v>
      </c>
      <c r="CX504" s="700">
        <v>194</v>
      </c>
      <c r="CY504" s="700">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
      <c r="A505" s="31" t="s">
        <v>80</v>
      </c>
      <c r="B505" s="1" t="s">
        <v>585</v>
      </c>
      <c r="C505" s="30" t="str">
        <f t="shared" si="116"/>
        <v>LA Wales - Denbighshire</v>
      </c>
      <c r="D505" s="51">
        <f t="shared" si="118"/>
        <v>40657</v>
      </c>
      <c r="E505" s="51">
        <f t="shared" si="119"/>
        <v>43565</v>
      </c>
      <c r="F505" s="52">
        <f t="shared" si="120"/>
        <v>96558</v>
      </c>
      <c r="G505" s="52">
        <f t="shared" si="121"/>
        <v>46969</v>
      </c>
      <c r="H505" s="52">
        <f t="shared" si="122"/>
        <v>49589</v>
      </c>
      <c r="I505" s="697">
        <f t="shared" si="113"/>
        <v>40657</v>
      </c>
      <c r="J505" s="53">
        <f t="shared" si="114"/>
        <v>43565</v>
      </c>
      <c r="K505" s="50">
        <f t="shared" si="123"/>
        <v>9930</v>
      </c>
      <c r="L505" s="51">
        <f t="shared" si="124"/>
        <v>9373</v>
      </c>
      <c r="M505" s="700">
        <v>457</v>
      </c>
      <c r="N505" s="700">
        <v>493</v>
      </c>
      <c r="O505" s="700">
        <v>520</v>
      </c>
      <c r="P505" s="700">
        <v>480</v>
      </c>
      <c r="Q505" s="700">
        <v>486</v>
      </c>
      <c r="R505" s="700">
        <v>551</v>
      </c>
      <c r="S505" s="700">
        <v>523</v>
      </c>
      <c r="T505" s="700">
        <v>558</v>
      </c>
      <c r="U505" s="700">
        <v>524</v>
      </c>
      <c r="V505" s="700">
        <v>561</v>
      </c>
      <c r="W505" s="700">
        <v>567</v>
      </c>
      <c r="X505" s="700">
        <v>592</v>
      </c>
      <c r="Y505" s="700">
        <v>615</v>
      </c>
      <c r="Z505" s="700">
        <v>593</v>
      </c>
      <c r="AA505" s="700">
        <v>609</v>
      </c>
      <c r="AB505" s="700">
        <v>587</v>
      </c>
      <c r="AC505" s="700">
        <v>587</v>
      </c>
      <c r="AD505" s="700">
        <v>627</v>
      </c>
      <c r="AE505" s="700">
        <v>551</v>
      </c>
      <c r="AF505" s="700">
        <v>439</v>
      </c>
      <c r="AG505" s="700">
        <v>422</v>
      </c>
      <c r="AH505" s="700">
        <v>434</v>
      </c>
      <c r="AI505" s="700">
        <v>423</v>
      </c>
      <c r="AJ505" s="700">
        <v>470</v>
      </c>
      <c r="AK505" s="700">
        <v>490</v>
      </c>
      <c r="AL505" s="700">
        <v>482</v>
      </c>
      <c r="AM505" s="700">
        <v>514</v>
      </c>
      <c r="AN505" s="700">
        <v>470</v>
      </c>
      <c r="AO505" s="700">
        <v>500</v>
      </c>
      <c r="AP505" s="700">
        <v>483</v>
      </c>
      <c r="AQ505" s="700">
        <v>507</v>
      </c>
      <c r="AR505" s="700">
        <v>516</v>
      </c>
      <c r="AS505" s="700">
        <v>511</v>
      </c>
      <c r="AT505" s="700">
        <v>471</v>
      </c>
      <c r="AU505" s="700">
        <v>530</v>
      </c>
      <c r="AV505" s="700">
        <v>513</v>
      </c>
      <c r="AW505" s="700">
        <v>510</v>
      </c>
      <c r="AX505" s="700">
        <v>477</v>
      </c>
      <c r="AY505" s="700">
        <v>509</v>
      </c>
      <c r="AZ505" s="700">
        <v>424</v>
      </c>
      <c r="BA505" s="700">
        <v>488</v>
      </c>
      <c r="BB505" s="700">
        <v>496</v>
      </c>
      <c r="BC505" s="700">
        <v>500</v>
      </c>
      <c r="BD505" s="700">
        <v>478</v>
      </c>
      <c r="BE505" s="700">
        <v>422</v>
      </c>
      <c r="BF505" s="700">
        <v>464</v>
      </c>
      <c r="BG505" s="700">
        <v>515</v>
      </c>
      <c r="BH505" s="700">
        <v>516</v>
      </c>
      <c r="BI505" s="700">
        <v>525</v>
      </c>
      <c r="BJ505" s="700">
        <v>532</v>
      </c>
      <c r="BK505" s="700">
        <v>646</v>
      </c>
      <c r="BL505" s="700">
        <v>654</v>
      </c>
      <c r="BM505" s="700">
        <v>645</v>
      </c>
      <c r="BN505" s="700">
        <v>662</v>
      </c>
      <c r="BO505" s="700">
        <v>643</v>
      </c>
      <c r="BP505" s="700">
        <v>715</v>
      </c>
      <c r="BQ505" s="700">
        <v>681</v>
      </c>
      <c r="BR505" s="700">
        <v>758</v>
      </c>
      <c r="BS505" s="700">
        <v>746</v>
      </c>
      <c r="BT505" s="700">
        <v>697</v>
      </c>
      <c r="BU505" s="700">
        <v>737</v>
      </c>
      <c r="BV505" s="700">
        <v>654</v>
      </c>
      <c r="BW505" s="700">
        <v>713</v>
      </c>
      <c r="BX505" s="700">
        <v>665</v>
      </c>
      <c r="BY505" s="700">
        <v>635</v>
      </c>
      <c r="BZ505" s="700">
        <v>637</v>
      </c>
      <c r="CA505" s="700">
        <v>603</v>
      </c>
      <c r="CB505" s="700">
        <v>603</v>
      </c>
      <c r="CC505" s="700">
        <v>596</v>
      </c>
      <c r="CD505" s="700">
        <v>599</v>
      </c>
      <c r="CE505" s="700">
        <v>543</v>
      </c>
      <c r="CF505" s="700">
        <v>547</v>
      </c>
      <c r="CG505" s="700">
        <v>614</v>
      </c>
      <c r="CH505" s="700">
        <v>653</v>
      </c>
      <c r="CI505" s="700">
        <v>674</v>
      </c>
      <c r="CJ505" s="700">
        <v>666</v>
      </c>
      <c r="CK505" s="700">
        <v>469</v>
      </c>
      <c r="CL505" s="700">
        <v>446</v>
      </c>
      <c r="CM505" s="700">
        <v>473</v>
      </c>
      <c r="CN505" s="700">
        <v>443</v>
      </c>
      <c r="CO505" s="700">
        <v>359</v>
      </c>
      <c r="CP505" s="700">
        <v>328</v>
      </c>
      <c r="CQ505" s="700">
        <v>290</v>
      </c>
      <c r="CR505" s="700">
        <v>259</v>
      </c>
      <c r="CS505" s="700">
        <v>236</v>
      </c>
      <c r="CT505" s="700">
        <v>224</v>
      </c>
      <c r="CU505" s="700">
        <v>181</v>
      </c>
      <c r="CV505" s="700">
        <v>162</v>
      </c>
      <c r="CW505" s="700">
        <v>127</v>
      </c>
      <c r="CX505" s="700">
        <v>108</v>
      </c>
      <c r="CY505" s="700">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
      <c r="A506" s="31" t="s">
        <v>80</v>
      </c>
      <c r="B506" s="1" t="s">
        <v>586</v>
      </c>
      <c r="C506" s="30" t="str">
        <f t="shared" si="116"/>
        <v>LA Wales - Flintshire</v>
      </c>
      <c r="D506" s="51">
        <f t="shared" si="118"/>
        <v>65911</v>
      </c>
      <c r="E506" s="51">
        <f t="shared" si="119"/>
        <v>69739</v>
      </c>
      <c r="F506" s="52">
        <f t="shared" si="120"/>
        <v>155319</v>
      </c>
      <c r="G506" s="52">
        <f t="shared" si="121"/>
        <v>76023</v>
      </c>
      <c r="H506" s="52">
        <f t="shared" si="122"/>
        <v>79296</v>
      </c>
      <c r="I506" s="697">
        <f t="shared" si="113"/>
        <v>65911</v>
      </c>
      <c r="J506" s="53">
        <f t="shared" si="114"/>
        <v>69739</v>
      </c>
      <c r="K506" s="50">
        <f t="shared" si="123"/>
        <v>15883</v>
      </c>
      <c r="L506" s="51">
        <f t="shared" si="124"/>
        <v>15004</v>
      </c>
      <c r="M506" s="700">
        <v>701</v>
      </c>
      <c r="N506" s="700">
        <v>780</v>
      </c>
      <c r="O506" s="700">
        <v>775</v>
      </c>
      <c r="P506" s="700">
        <v>770</v>
      </c>
      <c r="Q506" s="700">
        <v>817</v>
      </c>
      <c r="R506" s="700">
        <v>825</v>
      </c>
      <c r="S506" s="700">
        <v>849</v>
      </c>
      <c r="T506" s="700">
        <v>888</v>
      </c>
      <c r="U506" s="700">
        <v>904</v>
      </c>
      <c r="V506" s="700">
        <v>899</v>
      </c>
      <c r="W506" s="700">
        <v>971</v>
      </c>
      <c r="X506" s="700">
        <v>933</v>
      </c>
      <c r="Y506" s="700">
        <v>1008</v>
      </c>
      <c r="Z506" s="700">
        <v>933</v>
      </c>
      <c r="AA506" s="700">
        <v>1033</v>
      </c>
      <c r="AB506" s="700">
        <v>950</v>
      </c>
      <c r="AC506" s="700">
        <v>903</v>
      </c>
      <c r="AD506" s="700">
        <v>944</v>
      </c>
      <c r="AE506" s="700">
        <v>881</v>
      </c>
      <c r="AF506" s="700">
        <v>661</v>
      </c>
      <c r="AG506" s="700">
        <v>648</v>
      </c>
      <c r="AH506" s="700">
        <v>673</v>
      </c>
      <c r="AI506" s="700">
        <v>728</v>
      </c>
      <c r="AJ506" s="700">
        <v>844</v>
      </c>
      <c r="AK506" s="700">
        <v>853</v>
      </c>
      <c r="AL506" s="700">
        <v>829</v>
      </c>
      <c r="AM506" s="700">
        <v>799</v>
      </c>
      <c r="AN506" s="700">
        <v>822</v>
      </c>
      <c r="AO506" s="700">
        <v>837</v>
      </c>
      <c r="AP506" s="700">
        <v>879</v>
      </c>
      <c r="AQ506" s="700">
        <v>1004</v>
      </c>
      <c r="AR506" s="700">
        <v>928</v>
      </c>
      <c r="AS506" s="700">
        <v>919</v>
      </c>
      <c r="AT506" s="700">
        <v>961</v>
      </c>
      <c r="AU506" s="700">
        <v>970</v>
      </c>
      <c r="AV506" s="700">
        <v>947</v>
      </c>
      <c r="AW506" s="700">
        <v>978</v>
      </c>
      <c r="AX506" s="700">
        <v>903</v>
      </c>
      <c r="AY506" s="700">
        <v>860</v>
      </c>
      <c r="AZ506" s="700">
        <v>889</v>
      </c>
      <c r="BA506" s="700">
        <v>925</v>
      </c>
      <c r="BB506" s="700">
        <v>916</v>
      </c>
      <c r="BC506" s="700">
        <v>930</v>
      </c>
      <c r="BD506" s="700">
        <v>875</v>
      </c>
      <c r="BE506" s="700">
        <v>855</v>
      </c>
      <c r="BF506" s="700">
        <v>802</v>
      </c>
      <c r="BG506" s="700">
        <v>825</v>
      </c>
      <c r="BH506" s="700">
        <v>925</v>
      </c>
      <c r="BI506" s="700">
        <v>970</v>
      </c>
      <c r="BJ506" s="700">
        <v>989</v>
      </c>
      <c r="BK506" s="700">
        <v>1124</v>
      </c>
      <c r="BL506" s="700">
        <v>1159</v>
      </c>
      <c r="BM506" s="700">
        <v>1172</v>
      </c>
      <c r="BN506" s="700">
        <v>1222</v>
      </c>
      <c r="BO506" s="700">
        <v>1193</v>
      </c>
      <c r="BP506" s="700">
        <v>1115</v>
      </c>
      <c r="BQ506" s="700">
        <v>1116</v>
      </c>
      <c r="BR506" s="700">
        <v>1156</v>
      </c>
      <c r="BS506" s="700">
        <v>1196</v>
      </c>
      <c r="BT506" s="700">
        <v>1096</v>
      </c>
      <c r="BU506" s="700">
        <v>1149</v>
      </c>
      <c r="BV506" s="700">
        <v>1060</v>
      </c>
      <c r="BW506" s="700">
        <v>1024</v>
      </c>
      <c r="BX506" s="700">
        <v>1036</v>
      </c>
      <c r="BY506" s="700">
        <v>912</v>
      </c>
      <c r="BZ506" s="700">
        <v>883</v>
      </c>
      <c r="CA506" s="700">
        <v>867</v>
      </c>
      <c r="CB506" s="700">
        <v>793</v>
      </c>
      <c r="CC506" s="700">
        <v>812</v>
      </c>
      <c r="CD506" s="700">
        <v>850</v>
      </c>
      <c r="CE506" s="700">
        <v>761</v>
      </c>
      <c r="CF506" s="700">
        <v>877</v>
      </c>
      <c r="CG506" s="700">
        <v>832</v>
      </c>
      <c r="CH506" s="700">
        <v>891</v>
      </c>
      <c r="CI506" s="700">
        <v>922</v>
      </c>
      <c r="CJ506" s="700">
        <v>1006</v>
      </c>
      <c r="CK506" s="700">
        <v>637</v>
      </c>
      <c r="CL506" s="700">
        <v>646</v>
      </c>
      <c r="CM506" s="700">
        <v>660</v>
      </c>
      <c r="CN506" s="700">
        <v>553</v>
      </c>
      <c r="CO506" s="700">
        <v>481</v>
      </c>
      <c r="CP506" s="700">
        <v>430</v>
      </c>
      <c r="CQ506" s="700">
        <v>426</v>
      </c>
      <c r="CR506" s="700">
        <v>354</v>
      </c>
      <c r="CS506" s="700">
        <v>350</v>
      </c>
      <c r="CT506" s="700">
        <v>287</v>
      </c>
      <c r="CU506" s="700">
        <v>257</v>
      </c>
      <c r="CV506" s="700">
        <v>212</v>
      </c>
      <c r="CW506" s="700">
        <v>170</v>
      </c>
      <c r="CX506" s="700">
        <v>138</v>
      </c>
      <c r="CY506" s="700">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
      <c r="A507" s="31" t="s">
        <v>80</v>
      </c>
      <c r="B507" s="1" t="s">
        <v>587</v>
      </c>
      <c r="C507" s="30" t="str">
        <f t="shared" si="116"/>
        <v>LA Wales - Gwynedd</v>
      </c>
      <c r="D507" s="51">
        <f t="shared" si="118"/>
        <v>50618</v>
      </c>
      <c r="E507" s="51">
        <f t="shared" si="119"/>
        <v>52941</v>
      </c>
      <c r="F507" s="52">
        <f t="shared" si="120"/>
        <v>117591</v>
      </c>
      <c r="G507" s="52">
        <f t="shared" si="121"/>
        <v>57848</v>
      </c>
      <c r="H507" s="52">
        <f t="shared" si="122"/>
        <v>59743</v>
      </c>
      <c r="I507" s="697">
        <f t="shared" si="113"/>
        <v>50618</v>
      </c>
      <c r="J507" s="53">
        <f t="shared" si="114"/>
        <v>52941</v>
      </c>
      <c r="K507" s="50">
        <f t="shared" si="123"/>
        <v>11225</v>
      </c>
      <c r="L507" s="51">
        <f t="shared" si="124"/>
        <v>10632</v>
      </c>
      <c r="M507" s="700">
        <v>554</v>
      </c>
      <c r="N507" s="700">
        <v>518</v>
      </c>
      <c r="O507" s="700">
        <v>550</v>
      </c>
      <c r="P507" s="700">
        <v>548</v>
      </c>
      <c r="Q507" s="700">
        <v>593</v>
      </c>
      <c r="R507" s="700">
        <v>563</v>
      </c>
      <c r="S507" s="700">
        <v>656</v>
      </c>
      <c r="T507" s="700">
        <v>596</v>
      </c>
      <c r="U507" s="700">
        <v>662</v>
      </c>
      <c r="V507" s="700">
        <v>660</v>
      </c>
      <c r="W507" s="700">
        <v>664</v>
      </c>
      <c r="X507" s="700">
        <v>666</v>
      </c>
      <c r="Y507" s="700">
        <v>714</v>
      </c>
      <c r="Z507" s="700">
        <v>665</v>
      </c>
      <c r="AA507" s="700">
        <v>674</v>
      </c>
      <c r="AB507" s="700">
        <v>671</v>
      </c>
      <c r="AC507" s="700">
        <v>653</v>
      </c>
      <c r="AD507" s="700">
        <v>618</v>
      </c>
      <c r="AE507" s="700">
        <v>660</v>
      </c>
      <c r="AF507" s="700">
        <v>869</v>
      </c>
      <c r="AG507" s="700">
        <v>893</v>
      </c>
      <c r="AH507" s="700">
        <v>930</v>
      </c>
      <c r="AI507" s="700">
        <v>871</v>
      </c>
      <c r="AJ507" s="700">
        <v>777</v>
      </c>
      <c r="AK507" s="700">
        <v>709</v>
      </c>
      <c r="AL507" s="700">
        <v>648</v>
      </c>
      <c r="AM507" s="700">
        <v>637</v>
      </c>
      <c r="AN507" s="700">
        <v>635</v>
      </c>
      <c r="AO507" s="700">
        <v>676</v>
      </c>
      <c r="AP507" s="700">
        <v>659</v>
      </c>
      <c r="AQ507" s="700">
        <v>661</v>
      </c>
      <c r="AR507" s="700">
        <v>643</v>
      </c>
      <c r="AS507" s="700">
        <v>663</v>
      </c>
      <c r="AT507" s="700">
        <v>677</v>
      </c>
      <c r="AU507" s="700">
        <v>680</v>
      </c>
      <c r="AV507" s="700">
        <v>704</v>
      </c>
      <c r="AW507" s="700">
        <v>572</v>
      </c>
      <c r="AX507" s="700">
        <v>595</v>
      </c>
      <c r="AY507" s="700">
        <v>582</v>
      </c>
      <c r="AZ507" s="700">
        <v>586</v>
      </c>
      <c r="BA507" s="700">
        <v>589</v>
      </c>
      <c r="BB507" s="700">
        <v>603</v>
      </c>
      <c r="BC507" s="700">
        <v>613</v>
      </c>
      <c r="BD507" s="700">
        <v>569</v>
      </c>
      <c r="BE507" s="700">
        <v>557</v>
      </c>
      <c r="BF507" s="700">
        <v>575</v>
      </c>
      <c r="BG507" s="700">
        <v>581</v>
      </c>
      <c r="BH507" s="700">
        <v>606</v>
      </c>
      <c r="BI507" s="700">
        <v>678</v>
      </c>
      <c r="BJ507" s="700">
        <v>722</v>
      </c>
      <c r="BK507" s="700">
        <v>767</v>
      </c>
      <c r="BL507" s="700">
        <v>811</v>
      </c>
      <c r="BM507" s="700">
        <v>804</v>
      </c>
      <c r="BN507" s="700">
        <v>775</v>
      </c>
      <c r="BO507" s="700">
        <v>801</v>
      </c>
      <c r="BP507" s="700">
        <v>799</v>
      </c>
      <c r="BQ507" s="700">
        <v>858</v>
      </c>
      <c r="BR507" s="700">
        <v>866</v>
      </c>
      <c r="BS507" s="700">
        <v>874</v>
      </c>
      <c r="BT507" s="700">
        <v>888</v>
      </c>
      <c r="BU507" s="700">
        <v>867</v>
      </c>
      <c r="BV507" s="700">
        <v>849</v>
      </c>
      <c r="BW507" s="700">
        <v>771</v>
      </c>
      <c r="BX507" s="700">
        <v>768</v>
      </c>
      <c r="BY507" s="700">
        <v>811</v>
      </c>
      <c r="BZ507" s="700">
        <v>756</v>
      </c>
      <c r="CA507" s="700">
        <v>711</v>
      </c>
      <c r="CB507" s="700">
        <v>727</v>
      </c>
      <c r="CC507" s="700">
        <v>675</v>
      </c>
      <c r="CD507" s="700">
        <v>709</v>
      </c>
      <c r="CE507" s="700">
        <v>650</v>
      </c>
      <c r="CF507" s="700">
        <v>649</v>
      </c>
      <c r="CG507" s="700">
        <v>649</v>
      </c>
      <c r="CH507" s="700">
        <v>729</v>
      </c>
      <c r="CI507" s="700">
        <v>764</v>
      </c>
      <c r="CJ507" s="700">
        <v>736</v>
      </c>
      <c r="CK507" s="700">
        <v>589</v>
      </c>
      <c r="CL507" s="700">
        <v>522</v>
      </c>
      <c r="CM507" s="700">
        <v>521</v>
      </c>
      <c r="CN507" s="700">
        <v>483</v>
      </c>
      <c r="CO507" s="700">
        <v>379</v>
      </c>
      <c r="CP507" s="700">
        <v>308</v>
      </c>
      <c r="CQ507" s="700">
        <v>331</v>
      </c>
      <c r="CR507" s="700">
        <v>327</v>
      </c>
      <c r="CS507" s="700">
        <v>274</v>
      </c>
      <c r="CT507" s="700">
        <v>248</v>
      </c>
      <c r="CU507" s="700">
        <v>221</v>
      </c>
      <c r="CV507" s="700">
        <v>181</v>
      </c>
      <c r="CW507" s="700">
        <v>162</v>
      </c>
      <c r="CX507" s="700">
        <v>135</v>
      </c>
      <c r="CY507" s="700">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
      <c r="A508" s="31" t="s">
        <v>80</v>
      </c>
      <c r="B508" s="1" t="s">
        <v>588</v>
      </c>
      <c r="C508" s="30" t="str">
        <f t="shared" si="116"/>
        <v>LA Wales - Isle of Anglesey</v>
      </c>
      <c r="D508" s="51">
        <f t="shared" si="118"/>
        <v>29452</v>
      </c>
      <c r="E508" s="51">
        <f t="shared" si="119"/>
        <v>31080</v>
      </c>
      <c r="F508" s="52">
        <f t="shared" si="120"/>
        <v>69049</v>
      </c>
      <c r="G508" s="52">
        <f t="shared" si="121"/>
        <v>33761</v>
      </c>
      <c r="H508" s="52">
        <f t="shared" si="122"/>
        <v>35288</v>
      </c>
      <c r="I508" s="697">
        <f t="shared" si="113"/>
        <v>29452</v>
      </c>
      <c r="J508" s="53">
        <f t="shared" si="114"/>
        <v>31080</v>
      </c>
      <c r="K508" s="50">
        <f t="shared" si="123"/>
        <v>6709</v>
      </c>
      <c r="L508" s="51">
        <f t="shared" si="124"/>
        <v>6395</v>
      </c>
      <c r="M508" s="700">
        <v>273</v>
      </c>
      <c r="N508" s="700">
        <v>322</v>
      </c>
      <c r="O508" s="700">
        <v>305</v>
      </c>
      <c r="P508" s="700">
        <v>320</v>
      </c>
      <c r="Q508" s="700">
        <v>334</v>
      </c>
      <c r="R508" s="700">
        <v>383</v>
      </c>
      <c r="S508" s="700">
        <v>383</v>
      </c>
      <c r="T508" s="700">
        <v>361</v>
      </c>
      <c r="U508" s="700">
        <v>383</v>
      </c>
      <c r="V508" s="700">
        <v>411</v>
      </c>
      <c r="W508" s="700">
        <v>394</v>
      </c>
      <c r="X508" s="700">
        <v>440</v>
      </c>
      <c r="Y508" s="700">
        <v>405</v>
      </c>
      <c r="Z508" s="700">
        <v>438</v>
      </c>
      <c r="AA508" s="700">
        <v>385</v>
      </c>
      <c r="AB508" s="700">
        <v>392</v>
      </c>
      <c r="AC508" s="700">
        <v>391</v>
      </c>
      <c r="AD508" s="700">
        <v>389</v>
      </c>
      <c r="AE508" s="700">
        <v>348</v>
      </c>
      <c r="AF508" s="700">
        <v>299</v>
      </c>
      <c r="AG508" s="700">
        <v>302</v>
      </c>
      <c r="AH508" s="700">
        <v>273</v>
      </c>
      <c r="AI508" s="700">
        <v>297</v>
      </c>
      <c r="AJ508" s="700">
        <v>367</v>
      </c>
      <c r="AK508" s="700">
        <v>299</v>
      </c>
      <c r="AL508" s="700">
        <v>316</v>
      </c>
      <c r="AM508" s="700">
        <v>341</v>
      </c>
      <c r="AN508" s="700">
        <v>319</v>
      </c>
      <c r="AO508" s="700">
        <v>363</v>
      </c>
      <c r="AP508" s="700">
        <v>338</v>
      </c>
      <c r="AQ508" s="700">
        <v>332</v>
      </c>
      <c r="AR508" s="700">
        <v>349</v>
      </c>
      <c r="AS508" s="700">
        <v>346</v>
      </c>
      <c r="AT508" s="700">
        <v>349</v>
      </c>
      <c r="AU508" s="700">
        <v>381</v>
      </c>
      <c r="AV508" s="700">
        <v>373</v>
      </c>
      <c r="AW508" s="700">
        <v>310</v>
      </c>
      <c r="AX508" s="700">
        <v>347</v>
      </c>
      <c r="AY508" s="700">
        <v>371</v>
      </c>
      <c r="AZ508" s="700">
        <v>328</v>
      </c>
      <c r="BA508" s="700">
        <v>331</v>
      </c>
      <c r="BB508" s="700">
        <v>346</v>
      </c>
      <c r="BC508" s="700">
        <v>345</v>
      </c>
      <c r="BD508" s="700">
        <v>373</v>
      </c>
      <c r="BE508" s="700">
        <v>321</v>
      </c>
      <c r="BF508" s="700">
        <v>306</v>
      </c>
      <c r="BG508" s="700">
        <v>326</v>
      </c>
      <c r="BH508" s="700">
        <v>357</v>
      </c>
      <c r="BI508" s="700">
        <v>373</v>
      </c>
      <c r="BJ508" s="700">
        <v>436</v>
      </c>
      <c r="BK508" s="700">
        <v>448</v>
      </c>
      <c r="BL508" s="700">
        <v>493</v>
      </c>
      <c r="BM508" s="700">
        <v>440</v>
      </c>
      <c r="BN508" s="700">
        <v>466</v>
      </c>
      <c r="BO508" s="700">
        <v>481</v>
      </c>
      <c r="BP508" s="700">
        <v>523</v>
      </c>
      <c r="BQ508" s="700">
        <v>490</v>
      </c>
      <c r="BR508" s="700">
        <v>546</v>
      </c>
      <c r="BS508" s="700">
        <v>515</v>
      </c>
      <c r="BT508" s="700">
        <v>563</v>
      </c>
      <c r="BU508" s="700">
        <v>503</v>
      </c>
      <c r="BV508" s="700">
        <v>511</v>
      </c>
      <c r="BW508" s="700">
        <v>539</v>
      </c>
      <c r="BX508" s="700">
        <v>521</v>
      </c>
      <c r="BY508" s="700">
        <v>482</v>
      </c>
      <c r="BZ508" s="700">
        <v>468</v>
      </c>
      <c r="CA508" s="700">
        <v>489</v>
      </c>
      <c r="CB508" s="700">
        <v>476</v>
      </c>
      <c r="CC508" s="700">
        <v>458</v>
      </c>
      <c r="CD508" s="700">
        <v>460</v>
      </c>
      <c r="CE508" s="700">
        <v>458</v>
      </c>
      <c r="CF508" s="700">
        <v>438</v>
      </c>
      <c r="CG508" s="700">
        <v>468</v>
      </c>
      <c r="CH508" s="700">
        <v>490</v>
      </c>
      <c r="CI508" s="700">
        <v>504</v>
      </c>
      <c r="CJ508" s="700">
        <v>484</v>
      </c>
      <c r="CK508" s="700">
        <v>343</v>
      </c>
      <c r="CL508" s="700">
        <v>365</v>
      </c>
      <c r="CM508" s="700">
        <v>374</v>
      </c>
      <c r="CN508" s="700">
        <v>344</v>
      </c>
      <c r="CO508" s="700">
        <v>273</v>
      </c>
      <c r="CP508" s="700">
        <v>244</v>
      </c>
      <c r="CQ508" s="700">
        <v>233</v>
      </c>
      <c r="CR508" s="700">
        <v>249</v>
      </c>
      <c r="CS508" s="700">
        <v>194</v>
      </c>
      <c r="CT508" s="700">
        <v>174</v>
      </c>
      <c r="CU508" s="700">
        <v>143</v>
      </c>
      <c r="CV508" s="700">
        <v>115</v>
      </c>
      <c r="CW508" s="700">
        <v>82</v>
      </c>
      <c r="CX508" s="700">
        <v>77</v>
      </c>
      <c r="CY508" s="700">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
      <c r="A509" s="31" t="s">
        <v>80</v>
      </c>
      <c r="B509" s="1" t="s">
        <v>589</v>
      </c>
      <c r="C509" s="30" t="str">
        <f t="shared" si="116"/>
        <v>LA Wales - Merthyr Tydfil</v>
      </c>
      <c r="D509" s="51">
        <f t="shared" si="118"/>
        <v>24474</v>
      </c>
      <c r="E509" s="51">
        <f t="shared" si="119"/>
        <v>26080</v>
      </c>
      <c r="F509" s="52">
        <f t="shared" si="120"/>
        <v>58883</v>
      </c>
      <c r="G509" s="52">
        <f t="shared" si="121"/>
        <v>28785</v>
      </c>
      <c r="H509" s="52">
        <f t="shared" si="122"/>
        <v>30098</v>
      </c>
      <c r="I509" s="697">
        <f t="shared" si="113"/>
        <v>24474</v>
      </c>
      <c r="J509" s="53">
        <f t="shared" si="114"/>
        <v>26080</v>
      </c>
      <c r="K509" s="50">
        <f t="shared" si="123"/>
        <v>6432</v>
      </c>
      <c r="L509" s="51">
        <f t="shared" si="124"/>
        <v>6044</v>
      </c>
      <c r="M509" s="700">
        <v>322</v>
      </c>
      <c r="N509" s="700">
        <v>325</v>
      </c>
      <c r="O509" s="700">
        <v>329</v>
      </c>
      <c r="P509" s="700">
        <v>309</v>
      </c>
      <c r="Q509" s="700">
        <v>371</v>
      </c>
      <c r="R509" s="700">
        <v>402</v>
      </c>
      <c r="S509" s="700">
        <v>381</v>
      </c>
      <c r="T509" s="700">
        <v>384</v>
      </c>
      <c r="U509" s="700">
        <v>350</v>
      </c>
      <c r="V509" s="700">
        <v>355</v>
      </c>
      <c r="W509" s="700">
        <v>378</v>
      </c>
      <c r="X509" s="700">
        <v>405</v>
      </c>
      <c r="Y509" s="700">
        <v>360</v>
      </c>
      <c r="Z509" s="700">
        <v>363</v>
      </c>
      <c r="AA509" s="700">
        <v>375</v>
      </c>
      <c r="AB509" s="700">
        <v>379</v>
      </c>
      <c r="AC509" s="700">
        <v>337</v>
      </c>
      <c r="AD509" s="700">
        <v>307</v>
      </c>
      <c r="AE509" s="700">
        <v>319</v>
      </c>
      <c r="AF509" s="700">
        <v>333</v>
      </c>
      <c r="AG509" s="700">
        <v>297</v>
      </c>
      <c r="AH509" s="700">
        <v>289</v>
      </c>
      <c r="AI509" s="700">
        <v>333</v>
      </c>
      <c r="AJ509" s="700">
        <v>329</v>
      </c>
      <c r="AK509" s="700">
        <v>314</v>
      </c>
      <c r="AL509" s="700">
        <v>356</v>
      </c>
      <c r="AM509" s="700">
        <v>342</v>
      </c>
      <c r="AN509" s="700">
        <v>329</v>
      </c>
      <c r="AO509" s="700">
        <v>375</v>
      </c>
      <c r="AP509" s="700">
        <v>373</v>
      </c>
      <c r="AQ509" s="700">
        <v>362</v>
      </c>
      <c r="AR509" s="700">
        <v>382</v>
      </c>
      <c r="AS509" s="700">
        <v>390</v>
      </c>
      <c r="AT509" s="700">
        <v>371</v>
      </c>
      <c r="AU509" s="700">
        <v>386</v>
      </c>
      <c r="AV509" s="700">
        <v>397</v>
      </c>
      <c r="AW509" s="700">
        <v>396</v>
      </c>
      <c r="AX509" s="700">
        <v>417</v>
      </c>
      <c r="AY509" s="700">
        <v>405</v>
      </c>
      <c r="AZ509" s="700">
        <v>353</v>
      </c>
      <c r="BA509" s="700">
        <v>345</v>
      </c>
      <c r="BB509" s="700">
        <v>368</v>
      </c>
      <c r="BC509" s="700">
        <v>386</v>
      </c>
      <c r="BD509" s="700">
        <v>340</v>
      </c>
      <c r="BE509" s="700">
        <v>284</v>
      </c>
      <c r="BF509" s="700">
        <v>280</v>
      </c>
      <c r="BG509" s="700">
        <v>319</v>
      </c>
      <c r="BH509" s="700">
        <v>331</v>
      </c>
      <c r="BI509" s="700">
        <v>303</v>
      </c>
      <c r="BJ509" s="700">
        <v>340</v>
      </c>
      <c r="BK509" s="700">
        <v>362</v>
      </c>
      <c r="BL509" s="700">
        <v>394</v>
      </c>
      <c r="BM509" s="700">
        <v>378</v>
      </c>
      <c r="BN509" s="700">
        <v>423</v>
      </c>
      <c r="BO509" s="700">
        <v>387</v>
      </c>
      <c r="BP509" s="700">
        <v>385</v>
      </c>
      <c r="BQ509" s="700">
        <v>419</v>
      </c>
      <c r="BR509" s="700">
        <v>416</v>
      </c>
      <c r="BS509" s="700">
        <v>421</v>
      </c>
      <c r="BT509" s="700">
        <v>381</v>
      </c>
      <c r="BU509" s="700">
        <v>405</v>
      </c>
      <c r="BV509" s="700">
        <v>379</v>
      </c>
      <c r="BW509" s="700">
        <v>383</v>
      </c>
      <c r="BX509" s="700">
        <v>405</v>
      </c>
      <c r="BY509" s="700">
        <v>393</v>
      </c>
      <c r="BZ509" s="700">
        <v>324</v>
      </c>
      <c r="CA509" s="700">
        <v>306</v>
      </c>
      <c r="CB509" s="700">
        <v>295</v>
      </c>
      <c r="CC509" s="700">
        <v>323</v>
      </c>
      <c r="CD509" s="700">
        <v>301</v>
      </c>
      <c r="CE509" s="700">
        <v>295</v>
      </c>
      <c r="CF509" s="700">
        <v>300</v>
      </c>
      <c r="CG509" s="700">
        <v>276</v>
      </c>
      <c r="CH509" s="700">
        <v>314</v>
      </c>
      <c r="CI509" s="700">
        <v>295</v>
      </c>
      <c r="CJ509" s="700">
        <v>264</v>
      </c>
      <c r="CK509" s="700">
        <v>208</v>
      </c>
      <c r="CL509" s="700">
        <v>225</v>
      </c>
      <c r="CM509" s="700">
        <v>219</v>
      </c>
      <c r="CN509" s="700">
        <v>190</v>
      </c>
      <c r="CO509" s="700">
        <v>177</v>
      </c>
      <c r="CP509" s="700">
        <v>123</v>
      </c>
      <c r="CQ509" s="700">
        <v>131</v>
      </c>
      <c r="CR509" s="700">
        <v>119</v>
      </c>
      <c r="CS509" s="700">
        <v>109</v>
      </c>
      <c r="CT509" s="700">
        <v>95</v>
      </c>
      <c r="CU509" s="700">
        <v>84</v>
      </c>
      <c r="CV509" s="700">
        <v>76</v>
      </c>
      <c r="CW509" s="700">
        <v>50</v>
      </c>
      <c r="CX509" s="700">
        <v>44</v>
      </c>
      <c r="CY509" s="700">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
      <c r="A510" s="31" t="s">
        <v>80</v>
      </c>
      <c r="B510" s="1" t="s">
        <v>590</v>
      </c>
      <c r="C510" s="30" t="str">
        <f t="shared" si="116"/>
        <v>LA Wales - Monmouthshire</v>
      </c>
      <c r="D510" s="51">
        <f t="shared" si="118"/>
        <v>40516</v>
      </c>
      <c r="E510" s="51">
        <f t="shared" si="119"/>
        <v>42738</v>
      </c>
      <c r="F510" s="52">
        <f t="shared" si="120"/>
        <v>93886</v>
      </c>
      <c r="G510" s="52">
        <f t="shared" si="121"/>
        <v>46037</v>
      </c>
      <c r="H510" s="52">
        <f t="shared" si="122"/>
        <v>47849</v>
      </c>
      <c r="I510" s="697">
        <f t="shared" si="113"/>
        <v>40516</v>
      </c>
      <c r="J510" s="53">
        <f t="shared" si="114"/>
        <v>42738</v>
      </c>
      <c r="K510" s="50">
        <f t="shared" si="123"/>
        <v>8777</v>
      </c>
      <c r="L510" s="51">
        <f t="shared" si="124"/>
        <v>8126</v>
      </c>
      <c r="M510" s="700">
        <v>377</v>
      </c>
      <c r="N510" s="700">
        <v>383</v>
      </c>
      <c r="O510" s="700">
        <v>404</v>
      </c>
      <c r="P510" s="700">
        <v>394</v>
      </c>
      <c r="Q510" s="700">
        <v>447</v>
      </c>
      <c r="R510" s="700">
        <v>478</v>
      </c>
      <c r="S510" s="700">
        <v>490</v>
      </c>
      <c r="T510" s="700">
        <v>485</v>
      </c>
      <c r="U510" s="700">
        <v>489</v>
      </c>
      <c r="V510" s="700">
        <v>501</v>
      </c>
      <c r="W510" s="700">
        <v>531</v>
      </c>
      <c r="X510" s="700">
        <v>542</v>
      </c>
      <c r="Y510" s="700">
        <v>515</v>
      </c>
      <c r="Z510" s="700">
        <v>563</v>
      </c>
      <c r="AA510" s="700">
        <v>550</v>
      </c>
      <c r="AB510" s="700">
        <v>559</v>
      </c>
      <c r="AC510" s="700">
        <v>524</v>
      </c>
      <c r="AD510" s="700">
        <v>545</v>
      </c>
      <c r="AE510" s="700">
        <v>490</v>
      </c>
      <c r="AF510" s="700">
        <v>319</v>
      </c>
      <c r="AG510" s="700">
        <v>335</v>
      </c>
      <c r="AH510" s="700">
        <v>372</v>
      </c>
      <c r="AI510" s="700">
        <v>418</v>
      </c>
      <c r="AJ510" s="700">
        <v>441</v>
      </c>
      <c r="AK510" s="700">
        <v>398</v>
      </c>
      <c r="AL510" s="700">
        <v>495</v>
      </c>
      <c r="AM510" s="700">
        <v>449</v>
      </c>
      <c r="AN510" s="700">
        <v>462</v>
      </c>
      <c r="AO510" s="700">
        <v>457</v>
      </c>
      <c r="AP510" s="700">
        <v>442</v>
      </c>
      <c r="AQ510" s="700">
        <v>500</v>
      </c>
      <c r="AR510" s="700">
        <v>537</v>
      </c>
      <c r="AS510" s="700">
        <v>477</v>
      </c>
      <c r="AT510" s="700">
        <v>516</v>
      </c>
      <c r="AU510" s="700">
        <v>453</v>
      </c>
      <c r="AV510" s="700">
        <v>485</v>
      </c>
      <c r="AW510" s="700">
        <v>490</v>
      </c>
      <c r="AX510" s="700">
        <v>484</v>
      </c>
      <c r="AY510" s="700">
        <v>482</v>
      </c>
      <c r="AZ510" s="700">
        <v>486</v>
      </c>
      <c r="BA510" s="700">
        <v>499</v>
      </c>
      <c r="BB510" s="700">
        <v>471</v>
      </c>
      <c r="BC510" s="700">
        <v>509</v>
      </c>
      <c r="BD510" s="700">
        <v>520</v>
      </c>
      <c r="BE510" s="700">
        <v>463</v>
      </c>
      <c r="BF510" s="700">
        <v>519</v>
      </c>
      <c r="BG510" s="700">
        <v>496</v>
      </c>
      <c r="BH510" s="700">
        <v>549</v>
      </c>
      <c r="BI510" s="700">
        <v>538</v>
      </c>
      <c r="BJ510" s="700">
        <v>592</v>
      </c>
      <c r="BK510" s="700">
        <v>667</v>
      </c>
      <c r="BL510" s="700">
        <v>708</v>
      </c>
      <c r="BM510" s="700">
        <v>648</v>
      </c>
      <c r="BN510" s="700">
        <v>693</v>
      </c>
      <c r="BO510" s="700">
        <v>749</v>
      </c>
      <c r="BP510" s="700">
        <v>752</v>
      </c>
      <c r="BQ510" s="700">
        <v>784</v>
      </c>
      <c r="BR510" s="700">
        <v>766</v>
      </c>
      <c r="BS510" s="700">
        <v>756</v>
      </c>
      <c r="BT510" s="700">
        <v>782</v>
      </c>
      <c r="BU510" s="700">
        <v>721</v>
      </c>
      <c r="BV510" s="700">
        <v>717</v>
      </c>
      <c r="BW510" s="700">
        <v>665</v>
      </c>
      <c r="BX510" s="700">
        <v>635</v>
      </c>
      <c r="BY510" s="700">
        <v>685</v>
      </c>
      <c r="BZ510" s="700">
        <v>628</v>
      </c>
      <c r="CA510" s="700">
        <v>575</v>
      </c>
      <c r="CB510" s="700">
        <v>602</v>
      </c>
      <c r="CC510" s="700">
        <v>554</v>
      </c>
      <c r="CD510" s="700">
        <v>603</v>
      </c>
      <c r="CE510" s="700">
        <v>611</v>
      </c>
      <c r="CF510" s="700">
        <v>578</v>
      </c>
      <c r="CG510" s="700">
        <v>625</v>
      </c>
      <c r="CH510" s="700">
        <v>605</v>
      </c>
      <c r="CI510" s="700">
        <v>606</v>
      </c>
      <c r="CJ510" s="700">
        <v>658</v>
      </c>
      <c r="CK510" s="700">
        <v>487</v>
      </c>
      <c r="CL510" s="700">
        <v>470</v>
      </c>
      <c r="CM510" s="700">
        <v>490</v>
      </c>
      <c r="CN510" s="700">
        <v>437</v>
      </c>
      <c r="CO510" s="700">
        <v>368</v>
      </c>
      <c r="CP510" s="700">
        <v>310</v>
      </c>
      <c r="CQ510" s="700">
        <v>342</v>
      </c>
      <c r="CR510" s="700">
        <v>275</v>
      </c>
      <c r="CS510" s="700">
        <v>241</v>
      </c>
      <c r="CT510" s="700">
        <v>224</v>
      </c>
      <c r="CU510" s="700">
        <v>217</v>
      </c>
      <c r="CV510" s="700">
        <v>168</v>
      </c>
      <c r="CW510" s="700">
        <v>170</v>
      </c>
      <c r="CX510" s="700">
        <v>145</v>
      </c>
      <c r="CY510" s="700">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
      <c r="A511" s="31" t="s">
        <v>80</v>
      </c>
      <c r="B511" s="1" t="s">
        <v>591</v>
      </c>
      <c r="C511" s="30" t="str">
        <f t="shared" si="116"/>
        <v>LA Wales - Neath Port Talbot</v>
      </c>
      <c r="D511" s="51">
        <f t="shared" si="118"/>
        <v>60406</v>
      </c>
      <c r="E511" s="51">
        <f t="shared" si="119"/>
        <v>63656</v>
      </c>
      <c r="F511" s="52">
        <f t="shared" si="120"/>
        <v>142158</v>
      </c>
      <c r="G511" s="52">
        <f t="shared" si="121"/>
        <v>69635</v>
      </c>
      <c r="H511" s="52">
        <f t="shared" si="122"/>
        <v>72523</v>
      </c>
      <c r="I511" s="697">
        <f t="shared" si="113"/>
        <v>60406</v>
      </c>
      <c r="J511" s="53">
        <f t="shared" si="114"/>
        <v>63656</v>
      </c>
      <c r="K511" s="50">
        <f t="shared" si="123"/>
        <v>14370</v>
      </c>
      <c r="L511" s="51">
        <f t="shared" si="124"/>
        <v>13791</v>
      </c>
      <c r="M511" s="700">
        <v>636</v>
      </c>
      <c r="N511" s="700">
        <v>642</v>
      </c>
      <c r="O511" s="700">
        <v>647</v>
      </c>
      <c r="P511" s="700">
        <v>707</v>
      </c>
      <c r="Q511" s="700">
        <v>762</v>
      </c>
      <c r="R511" s="700">
        <v>761</v>
      </c>
      <c r="S511" s="700">
        <v>825</v>
      </c>
      <c r="T511" s="700">
        <v>811</v>
      </c>
      <c r="U511" s="700">
        <v>818</v>
      </c>
      <c r="V511" s="700">
        <v>783</v>
      </c>
      <c r="W511" s="700">
        <v>915</v>
      </c>
      <c r="X511" s="700">
        <v>922</v>
      </c>
      <c r="Y511" s="700">
        <v>869</v>
      </c>
      <c r="Z511" s="700">
        <v>864</v>
      </c>
      <c r="AA511" s="700">
        <v>873</v>
      </c>
      <c r="AB511" s="700">
        <v>854</v>
      </c>
      <c r="AC511" s="700">
        <v>858</v>
      </c>
      <c r="AD511" s="700">
        <v>823</v>
      </c>
      <c r="AE511" s="700">
        <v>958</v>
      </c>
      <c r="AF511" s="700">
        <v>1502</v>
      </c>
      <c r="AG511" s="700">
        <v>878</v>
      </c>
      <c r="AH511" s="700">
        <v>667</v>
      </c>
      <c r="AI511" s="700">
        <v>607</v>
      </c>
      <c r="AJ511" s="700">
        <v>701</v>
      </c>
      <c r="AK511" s="700">
        <v>688</v>
      </c>
      <c r="AL511" s="700">
        <v>776</v>
      </c>
      <c r="AM511" s="700">
        <v>789</v>
      </c>
      <c r="AN511" s="700">
        <v>806</v>
      </c>
      <c r="AO511" s="700">
        <v>797</v>
      </c>
      <c r="AP511" s="700">
        <v>829</v>
      </c>
      <c r="AQ511" s="700">
        <v>904</v>
      </c>
      <c r="AR511" s="700">
        <v>851</v>
      </c>
      <c r="AS511" s="700">
        <v>855</v>
      </c>
      <c r="AT511" s="700">
        <v>855</v>
      </c>
      <c r="AU511" s="700">
        <v>825</v>
      </c>
      <c r="AV511" s="700">
        <v>845</v>
      </c>
      <c r="AW511" s="700">
        <v>903</v>
      </c>
      <c r="AX511" s="700">
        <v>859</v>
      </c>
      <c r="AY511" s="700">
        <v>868</v>
      </c>
      <c r="AZ511" s="700">
        <v>830</v>
      </c>
      <c r="BA511" s="700">
        <v>830</v>
      </c>
      <c r="BB511" s="700">
        <v>850</v>
      </c>
      <c r="BC511" s="700">
        <v>826</v>
      </c>
      <c r="BD511" s="700">
        <v>853</v>
      </c>
      <c r="BE511" s="700">
        <v>809</v>
      </c>
      <c r="BF511" s="700">
        <v>756</v>
      </c>
      <c r="BG511" s="700">
        <v>746</v>
      </c>
      <c r="BH511" s="700">
        <v>825</v>
      </c>
      <c r="BI511" s="700">
        <v>777</v>
      </c>
      <c r="BJ511" s="700">
        <v>849</v>
      </c>
      <c r="BK511" s="700">
        <v>862</v>
      </c>
      <c r="BL511" s="700">
        <v>954</v>
      </c>
      <c r="BM511" s="700">
        <v>904</v>
      </c>
      <c r="BN511" s="700">
        <v>948</v>
      </c>
      <c r="BO511" s="700">
        <v>1003</v>
      </c>
      <c r="BP511" s="700">
        <v>945</v>
      </c>
      <c r="BQ511" s="700">
        <v>984</v>
      </c>
      <c r="BR511" s="700">
        <v>991</v>
      </c>
      <c r="BS511" s="700">
        <v>1043</v>
      </c>
      <c r="BT511" s="700">
        <v>992</v>
      </c>
      <c r="BU511" s="700">
        <v>975</v>
      </c>
      <c r="BV511" s="700">
        <v>943</v>
      </c>
      <c r="BW511" s="700">
        <v>960</v>
      </c>
      <c r="BX511" s="700">
        <v>888</v>
      </c>
      <c r="BY511" s="700">
        <v>1006</v>
      </c>
      <c r="BZ511" s="700">
        <v>870</v>
      </c>
      <c r="CA511" s="700">
        <v>796</v>
      </c>
      <c r="CB511" s="700">
        <v>802</v>
      </c>
      <c r="CC511" s="700">
        <v>793</v>
      </c>
      <c r="CD511" s="700">
        <v>815</v>
      </c>
      <c r="CE511" s="700">
        <v>772</v>
      </c>
      <c r="CF511" s="700">
        <v>725</v>
      </c>
      <c r="CG511" s="700">
        <v>778</v>
      </c>
      <c r="CH511" s="700">
        <v>746</v>
      </c>
      <c r="CI511" s="700">
        <v>847</v>
      </c>
      <c r="CJ511" s="700">
        <v>799</v>
      </c>
      <c r="CK511" s="700">
        <v>579</v>
      </c>
      <c r="CL511" s="700">
        <v>577</v>
      </c>
      <c r="CM511" s="700">
        <v>556</v>
      </c>
      <c r="CN511" s="700">
        <v>505</v>
      </c>
      <c r="CO511" s="700">
        <v>452</v>
      </c>
      <c r="CP511" s="700">
        <v>360</v>
      </c>
      <c r="CQ511" s="700">
        <v>384</v>
      </c>
      <c r="CR511" s="700">
        <v>318</v>
      </c>
      <c r="CS511" s="700">
        <v>294</v>
      </c>
      <c r="CT511" s="700">
        <v>260</v>
      </c>
      <c r="CU511" s="700">
        <v>226</v>
      </c>
      <c r="CV511" s="700">
        <v>183</v>
      </c>
      <c r="CW511" s="700">
        <v>177</v>
      </c>
      <c r="CX511" s="700">
        <v>127</v>
      </c>
      <c r="CY511" s="700">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
      <c r="A512" s="31" t="s">
        <v>80</v>
      </c>
      <c r="B512" s="1" t="s">
        <v>592</v>
      </c>
      <c r="C512" s="30" t="str">
        <f t="shared" si="116"/>
        <v>LA Wales - Newport</v>
      </c>
      <c r="D512" s="51">
        <f t="shared" si="118"/>
        <v>67175</v>
      </c>
      <c r="E512" s="51">
        <f t="shared" si="119"/>
        <v>69835</v>
      </c>
      <c r="F512" s="52">
        <f t="shared" si="120"/>
        <v>161506</v>
      </c>
      <c r="G512" s="52">
        <f t="shared" si="121"/>
        <v>79686</v>
      </c>
      <c r="H512" s="52">
        <f t="shared" si="122"/>
        <v>81820</v>
      </c>
      <c r="I512" s="697">
        <f t="shared" si="113"/>
        <v>67175</v>
      </c>
      <c r="J512" s="53">
        <f t="shared" si="114"/>
        <v>69835</v>
      </c>
      <c r="K512" s="50">
        <f t="shared" si="123"/>
        <v>18647</v>
      </c>
      <c r="L512" s="51">
        <f t="shared" si="124"/>
        <v>17902</v>
      </c>
      <c r="M512" s="700">
        <v>1002</v>
      </c>
      <c r="N512" s="700">
        <v>958</v>
      </c>
      <c r="O512" s="700">
        <v>993</v>
      </c>
      <c r="P512" s="700">
        <v>1033</v>
      </c>
      <c r="Q512" s="700">
        <v>1002</v>
      </c>
      <c r="R512" s="700">
        <v>1014</v>
      </c>
      <c r="S512" s="700">
        <v>1196</v>
      </c>
      <c r="T512" s="700">
        <v>1083</v>
      </c>
      <c r="U512" s="700">
        <v>1043</v>
      </c>
      <c r="V512" s="700">
        <v>1089</v>
      </c>
      <c r="W512" s="700">
        <v>1039</v>
      </c>
      <c r="X512" s="700">
        <v>1059</v>
      </c>
      <c r="Y512" s="700">
        <v>1048</v>
      </c>
      <c r="Z512" s="700">
        <v>1123</v>
      </c>
      <c r="AA512" s="700">
        <v>1128</v>
      </c>
      <c r="AB512" s="700">
        <v>945</v>
      </c>
      <c r="AC512" s="700">
        <v>940</v>
      </c>
      <c r="AD512" s="700">
        <v>952</v>
      </c>
      <c r="AE512" s="700">
        <v>969</v>
      </c>
      <c r="AF512" s="700">
        <v>782</v>
      </c>
      <c r="AG512" s="700">
        <v>699</v>
      </c>
      <c r="AH512" s="700">
        <v>774</v>
      </c>
      <c r="AI512" s="700">
        <v>881</v>
      </c>
      <c r="AJ512" s="700">
        <v>985</v>
      </c>
      <c r="AK512" s="700">
        <v>959</v>
      </c>
      <c r="AL512" s="700">
        <v>1027</v>
      </c>
      <c r="AM512" s="700">
        <v>1005</v>
      </c>
      <c r="AN512" s="700">
        <v>1020</v>
      </c>
      <c r="AO512" s="700">
        <v>1076</v>
      </c>
      <c r="AP512" s="700">
        <v>1245</v>
      </c>
      <c r="AQ512" s="700">
        <v>1220</v>
      </c>
      <c r="AR512" s="700">
        <v>1265</v>
      </c>
      <c r="AS512" s="700">
        <v>1169</v>
      </c>
      <c r="AT512" s="700">
        <v>1279</v>
      </c>
      <c r="AU512" s="700">
        <v>1332</v>
      </c>
      <c r="AV512" s="700">
        <v>1215</v>
      </c>
      <c r="AW512" s="700">
        <v>1185</v>
      </c>
      <c r="AX512" s="700">
        <v>1259</v>
      </c>
      <c r="AY512" s="700">
        <v>1143</v>
      </c>
      <c r="AZ512" s="700">
        <v>1017</v>
      </c>
      <c r="BA512" s="700">
        <v>1038</v>
      </c>
      <c r="BB512" s="700">
        <v>1044</v>
      </c>
      <c r="BC512" s="700">
        <v>1120</v>
      </c>
      <c r="BD512" s="700">
        <v>1055</v>
      </c>
      <c r="BE512" s="700">
        <v>942</v>
      </c>
      <c r="BF512" s="700">
        <v>907</v>
      </c>
      <c r="BG512" s="700">
        <v>917</v>
      </c>
      <c r="BH512" s="700">
        <v>953</v>
      </c>
      <c r="BI512" s="700">
        <v>944</v>
      </c>
      <c r="BJ512" s="700">
        <v>996</v>
      </c>
      <c r="BK512" s="700">
        <v>980</v>
      </c>
      <c r="BL512" s="700">
        <v>1095</v>
      </c>
      <c r="BM512" s="700">
        <v>1067</v>
      </c>
      <c r="BN512" s="700">
        <v>1100</v>
      </c>
      <c r="BO512" s="700">
        <v>948</v>
      </c>
      <c r="BP512" s="700">
        <v>1070</v>
      </c>
      <c r="BQ512" s="700">
        <v>1067</v>
      </c>
      <c r="BR512" s="700">
        <v>1053</v>
      </c>
      <c r="BS512" s="700">
        <v>1041</v>
      </c>
      <c r="BT512" s="700">
        <v>1021</v>
      </c>
      <c r="BU512" s="700">
        <v>935</v>
      </c>
      <c r="BV512" s="700">
        <v>982</v>
      </c>
      <c r="BW512" s="700">
        <v>893</v>
      </c>
      <c r="BX512" s="700">
        <v>964</v>
      </c>
      <c r="BY512" s="700">
        <v>829</v>
      </c>
      <c r="BZ512" s="700">
        <v>800</v>
      </c>
      <c r="CA512" s="700">
        <v>680</v>
      </c>
      <c r="CB512" s="700">
        <v>675</v>
      </c>
      <c r="CC512" s="700">
        <v>724</v>
      </c>
      <c r="CD512" s="700">
        <v>751</v>
      </c>
      <c r="CE512" s="700">
        <v>678</v>
      </c>
      <c r="CF512" s="700">
        <v>607</v>
      </c>
      <c r="CG512" s="700">
        <v>654</v>
      </c>
      <c r="CH512" s="700">
        <v>620</v>
      </c>
      <c r="CI512" s="700">
        <v>701</v>
      </c>
      <c r="CJ512" s="700">
        <v>753</v>
      </c>
      <c r="CK512" s="700">
        <v>517</v>
      </c>
      <c r="CL512" s="700">
        <v>519</v>
      </c>
      <c r="CM512" s="700">
        <v>492</v>
      </c>
      <c r="CN512" s="700">
        <v>470</v>
      </c>
      <c r="CO512" s="700">
        <v>374</v>
      </c>
      <c r="CP512" s="700">
        <v>319</v>
      </c>
      <c r="CQ512" s="700">
        <v>324</v>
      </c>
      <c r="CR512" s="700">
        <v>314</v>
      </c>
      <c r="CS512" s="700">
        <v>256</v>
      </c>
      <c r="CT512" s="700">
        <v>240</v>
      </c>
      <c r="CU512" s="700">
        <v>230</v>
      </c>
      <c r="CV512" s="700">
        <v>172</v>
      </c>
      <c r="CW512" s="700">
        <v>142</v>
      </c>
      <c r="CX512" s="700">
        <v>117</v>
      </c>
      <c r="CY512" s="700">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
      <c r="A513" s="31" t="s">
        <v>80</v>
      </c>
      <c r="B513" s="1" t="s">
        <v>593</v>
      </c>
      <c r="C513" s="30" t="str">
        <f t="shared" si="116"/>
        <v>LA Wales - Pembrokeshire</v>
      </c>
      <c r="D513" s="51">
        <f t="shared" si="118"/>
        <v>52902</v>
      </c>
      <c r="E513" s="51">
        <f t="shared" si="119"/>
        <v>56440</v>
      </c>
      <c r="F513" s="52">
        <f t="shared" si="120"/>
        <v>124367</v>
      </c>
      <c r="G513" s="52">
        <f t="shared" si="121"/>
        <v>60607</v>
      </c>
      <c r="H513" s="52">
        <f t="shared" si="122"/>
        <v>63760</v>
      </c>
      <c r="I513" s="697">
        <f t="shared" si="113"/>
        <v>52902</v>
      </c>
      <c r="J513" s="53">
        <f t="shared" si="114"/>
        <v>56440</v>
      </c>
      <c r="K513" s="50">
        <f t="shared" si="123"/>
        <v>12099</v>
      </c>
      <c r="L513" s="51">
        <f t="shared" si="124"/>
        <v>11440</v>
      </c>
      <c r="M513" s="700">
        <v>547</v>
      </c>
      <c r="N513" s="700">
        <v>541</v>
      </c>
      <c r="O513" s="700">
        <v>560</v>
      </c>
      <c r="P513" s="700">
        <v>587</v>
      </c>
      <c r="Q513" s="700">
        <v>646</v>
      </c>
      <c r="R513" s="700">
        <v>630</v>
      </c>
      <c r="S513" s="700">
        <v>657</v>
      </c>
      <c r="T513" s="700">
        <v>695</v>
      </c>
      <c r="U513" s="700">
        <v>700</v>
      </c>
      <c r="V513" s="700">
        <v>693</v>
      </c>
      <c r="W513" s="700">
        <v>704</v>
      </c>
      <c r="X513" s="700">
        <v>745</v>
      </c>
      <c r="Y513" s="700">
        <v>723</v>
      </c>
      <c r="Z513" s="700">
        <v>691</v>
      </c>
      <c r="AA513" s="700">
        <v>785</v>
      </c>
      <c r="AB513" s="700">
        <v>690</v>
      </c>
      <c r="AC513" s="700">
        <v>779</v>
      </c>
      <c r="AD513" s="700">
        <v>726</v>
      </c>
      <c r="AE513" s="700">
        <v>659</v>
      </c>
      <c r="AF513" s="700">
        <v>545</v>
      </c>
      <c r="AG513" s="700">
        <v>505</v>
      </c>
      <c r="AH513" s="700">
        <v>573</v>
      </c>
      <c r="AI513" s="700">
        <v>608</v>
      </c>
      <c r="AJ513" s="700">
        <v>603</v>
      </c>
      <c r="AK513" s="700">
        <v>650</v>
      </c>
      <c r="AL513" s="700">
        <v>681</v>
      </c>
      <c r="AM513" s="700">
        <v>604</v>
      </c>
      <c r="AN513" s="700">
        <v>539</v>
      </c>
      <c r="AO513" s="700">
        <v>615</v>
      </c>
      <c r="AP513" s="700">
        <v>649</v>
      </c>
      <c r="AQ513" s="700">
        <v>715</v>
      </c>
      <c r="AR513" s="700">
        <v>687</v>
      </c>
      <c r="AS513" s="700">
        <v>631</v>
      </c>
      <c r="AT513" s="700">
        <v>601</v>
      </c>
      <c r="AU513" s="700">
        <v>686</v>
      </c>
      <c r="AV513" s="700">
        <v>659</v>
      </c>
      <c r="AW513" s="700">
        <v>623</v>
      </c>
      <c r="AX513" s="700">
        <v>623</v>
      </c>
      <c r="AY513" s="700">
        <v>614</v>
      </c>
      <c r="AZ513" s="700">
        <v>608</v>
      </c>
      <c r="BA513" s="700">
        <v>609</v>
      </c>
      <c r="BB513" s="700">
        <v>629</v>
      </c>
      <c r="BC513" s="700">
        <v>647</v>
      </c>
      <c r="BD513" s="700">
        <v>626</v>
      </c>
      <c r="BE513" s="700">
        <v>583</v>
      </c>
      <c r="BF513" s="700">
        <v>542</v>
      </c>
      <c r="BG513" s="700">
        <v>580</v>
      </c>
      <c r="BH513" s="700">
        <v>603</v>
      </c>
      <c r="BI513" s="700">
        <v>639</v>
      </c>
      <c r="BJ513" s="700">
        <v>703</v>
      </c>
      <c r="BK513" s="700">
        <v>754</v>
      </c>
      <c r="BL513" s="700">
        <v>757</v>
      </c>
      <c r="BM513" s="700">
        <v>818</v>
      </c>
      <c r="BN513" s="700">
        <v>808</v>
      </c>
      <c r="BO513" s="700">
        <v>855</v>
      </c>
      <c r="BP513" s="700">
        <v>905</v>
      </c>
      <c r="BQ513" s="700">
        <v>926</v>
      </c>
      <c r="BR513" s="700">
        <v>915</v>
      </c>
      <c r="BS513" s="700">
        <v>887</v>
      </c>
      <c r="BT513" s="700">
        <v>1009</v>
      </c>
      <c r="BU513" s="700">
        <v>967</v>
      </c>
      <c r="BV513" s="700">
        <v>914</v>
      </c>
      <c r="BW513" s="700">
        <v>904</v>
      </c>
      <c r="BX513" s="700">
        <v>952</v>
      </c>
      <c r="BY513" s="700">
        <v>893</v>
      </c>
      <c r="BZ513" s="700">
        <v>866</v>
      </c>
      <c r="CA513" s="700">
        <v>855</v>
      </c>
      <c r="CB513" s="700">
        <v>857</v>
      </c>
      <c r="CC513" s="700">
        <v>882</v>
      </c>
      <c r="CD513" s="700">
        <v>875</v>
      </c>
      <c r="CE513" s="700">
        <v>807</v>
      </c>
      <c r="CF513" s="700">
        <v>838</v>
      </c>
      <c r="CG513" s="700">
        <v>832</v>
      </c>
      <c r="CH513" s="700">
        <v>800</v>
      </c>
      <c r="CI513" s="700">
        <v>838</v>
      </c>
      <c r="CJ513" s="700">
        <v>882</v>
      </c>
      <c r="CK513" s="700">
        <v>614</v>
      </c>
      <c r="CL513" s="700">
        <v>659</v>
      </c>
      <c r="CM513" s="700">
        <v>627</v>
      </c>
      <c r="CN513" s="700">
        <v>545</v>
      </c>
      <c r="CO513" s="700">
        <v>490</v>
      </c>
      <c r="CP513" s="700">
        <v>469</v>
      </c>
      <c r="CQ513" s="700">
        <v>418</v>
      </c>
      <c r="CR513" s="700">
        <v>376</v>
      </c>
      <c r="CS513" s="700">
        <v>328</v>
      </c>
      <c r="CT513" s="700">
        <v>268</v>
      </c>
      <c r="CU513" s="700">
        <v>254</v>
      </c>
      <c r="CV513" s="700">
        <v>224</v>
      </c>
      <c r="CW513" s="700">
        <v>142</v>
      </c>
      <c r="CX513" s="700">
        <v>181</v>
      </c>
      <c r="CY513" s="700">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
      <c r="A514" s="31" t="s">
        <v>80</v>
      </c>
      <c r="B514" s="1" t="s">
        <v>594</v>
      </c>
      <c r="C514" s="30" t="str">
        <f t="shared" si="116"/>
        <v>LA Wales - Powys</v>
      </c>
      <c r="D514" s="51">
        <f>I514</f>
        <v>58414</v>
      </c>
      <c r="E514" s="51">
        <f>J514</f>
        <v>60474</v>
      </c>
      <c r="F514" s="52">
        <f>G514+H514</f>
        <v>133891</v>
      </c>
      <c r="G514" s="52">
        <f>SUM(M514:CY514)</f>
        <v>66153</v>
      </c>
      <c r="H514" s="52">
        <f>SUM(CZ514:GL514)</f>
        <v>67738</v>
      </c>
      <c r="I514" s="697">
        <f t="shared" si="113"/>
        <v>58414</v>
      </c>
      <c r="J514" s="53">
        <f t="shared" si="114"/>
        <v>60474</v>
      </c>
      <c r="K514" s="50">
        <f>SUM(M514:AD514)</f>
        <v>12168</v>
      </c>
      <c r="L514" s="51">
        <f>SUM(CZ514:DQ514)</f>
        <v>11383</v>
      </c>
      <c r="M514" s="700">
        <v>542</v>
      </c>
      <c r="N514" s="700">
        <v>558</v>
      </c>
      <c r="O514" s="700">
        <v>557</v>
      </c>
      <c r="P514" s="700">
        <v>623</v>
      </c>
      <c r="Q514" s="700">
        <v>680</v>
      </c>
      <c r="R514" s="700">
        <v>640</v>
      </c>
      <c r="S514" s="700">
        <v>636</v>
      </c>
      <c r="T514" s="700">
        <v>702</v>
      </c>
      <c r="U514" s="700">
        <v>710</v>
      </c>
      <c r="V514" s="700">
        <v>708</v>
      </c>
      <c r="W514" s="700">
        <v>684</v>
      </c>
      <c r="X514" s="700">
        <v>699</v>
      </c>
      <c r="Y514" s="700">
        <v>687</v>
      </c>
      <c r="Z514" s="700">
        <v>724</v>
      </c>
      <c r="AA514" s="700">
        <v>813</v>
      </c>
      <c r="AB514" s="700">
        <v>726</v>
      </c>
      <c r="AC514" s="700">
        <v>720</v>
      </c>
      <c r="AD514" s="700">
        <v>759</v>
      </c>
      <c r="AE514" s="700">
        <v>677</v>
      </c>
      <c r="AF514" s="700">
        <v>546</v>
      </c>
      <c r="AG514" s="700">
        <v>497</v>
      </c>
      <c r="AH514" s="700">
        <v>540</v>
      </c>
      <c r="AI514" s="700">
        <v>576</v>
      </c>
      <c r="AJ514" s="700">
        <v>708</v>
      </c>
      <c r="AK514" s="700">
        <v>659</v>
      </c>
      <c r="AL514" s="700">
        <v>640</v>
      </c>
      <c r="AM514" s="700">
        <v>700</v>
      </c>
      <c r="AN514" s="700">
        <v>643</v>
      </c>
      <c r="AO514" s="700">
        <v>676</v>
      </c>
      <c r="AP514" s="700">
        <v>655</v>
      </c>
      <c r="AQ514" s="700">
        <v>689</v>
      </c>
      <c r="AR514" s="700">
        <v>681</v>
      </c>
      <c r="AS514" s="700">
        <v>678</v>
      </c>
      <c r="AT514" s="700">
        <v>691</v>
      </c>
      <c r="AU514" s="700">
        <v>706</v>
      </c>
      <c r="AV514" s="700">
        <v>621</v>
      </c>
      <c r="AW514" s="700">
        <v>641</v>
      </c>
      <c r="AX514" s="700">
        <v>683</v>
      </c>
      <c r="AY514" s="700">
        <v>629</v>
      </c>
      <c r="AZ514" s="700">
        <v>628</v>
      </c>
      <c r="BA514" s="700">
        <v>668</v>
      </c>
      <c r="BB514" s="700">
        <v>643</v>
      </c>
      <c r="BC514" s="700">
        <v>674</v>
      </c>
      <c r="BD514" s="700">
        <v>652</v>
      </c>
      <c r="BE514" s="700">
        <v>622</v>
      </c>
      <c r="BF514" s="700">
        <v>638</v>
      </c>
      <c r="BG514" s="700">
        <v>646</v>
      </c>
      <c r="BH514" s="700">
        <v>721</v>
      </c>
      <c r="BI514" s="700">
        <v>733</v>
      </c>
      <c r="BJ514" s="700">
        <v>732</v>
      </c>
      <c r="BK514" s="700">
        <v>904</v>
      </c>
      <c r="BL514" s="700">
        <v>916</v>
      </c>
      <c r="BM514" s="700">
        <v>874</v>
      </c>
      <c r="BN514" s="700">
        <v>967</v>
      </c>
      <c r="BO514" s="700">
        <v>918</v>
      </c>
      <c r="BP514" s="700">
        <v>1049</v>
      </c>
      <c r="BQ514" s="700">
        <v>1027</v>
      </c>
      <c r="BR514" s="700">
        <v>1085</v>
      </c>
      <c r="BS514" s="700">
        <v>1055</v>
      </c>
      <c r="BT514" s="700">
        <v>1079</v>
      </c>
      <c r="BU514" s="700">
        <v>1083</v>
      </c>
      <c r="BV514" s="700">
        <v>1072</v>
      </c>
      <c r="BW514" s="700">
        <v>1062</v>
      </c>
      <c r="BX514" s="700">
        <v>1068</v>
      </c>
      <c r="BY514" s="700">
        <v>970</v>
      </c>
      <c r="BZ514" s="700">
        <v>1004</v>
      </c>
      <c r="CA514" s="700">
        <v>1048</v>
      </c>
      <c r="CB514" s="700">
        <v>920</v>
      </c>
      <c r="CC514" s="700">
        <v>981</v>
      </c>
      <c r="CD514" s="700">
        <v>986</v>
      </c>
      <c r="CE514" s="700">
        <v>946</v>
      </c>
      <c r="CF514" s="700">
        <v>909</v>
      </c>
      <c r="CG514" s="700">
        <v>957</v>
      </c>
      <c r="CH514" s="700">
        <v>966</v>
      </c>
      <c r="CI514" s="700">
        <v>1053</v>
      </c>
      <c r="CJ514" s="700">
        <v>1016</v>
      </c>
      <c r="CK514" s="700">
        <v>762</v>
      </c>
      <c r="CL514" s="700">
        <v>697</v>
      </c>
      <c r="CM514" s="700">
        <v>815</v>
      </c>
      <c r="CN514" s="700">
        <v>676</v>
      </c>
      <c r="CO514" s="700">
        <v>565</v>
      </c>
      <c r="CP514" s="700">
        <v>480</v>
      </c>
      <c r="CQ514" s="700">
        <v>484</v>
      </c>
      <c r="CR514" s="700">
        <v>421</v>
      </c>
      <c r="CS514" s="700">
        <v>402</v>
      </c>
      <c r="CT514" s="700">
        <v>348</v>
      </c>
      <c r="CU514" s="700">
        <v>295</v>
      </c>
      <c r="CV514" s="700">
        <v>283</v>
      </c>
      <c r="CW514" s="700">
        <v>234</v>
      </c>
      <c r="CX514" s="700">
        <v>151</v>
      </c>
      <c r="CY514" s="700">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
      <c r="A515" s="31" t="s">
        <v>80</v>
      </c>
      <c r="B515" s="1" t="s">
        <v>595</v>
      </c>
      <c r="C515" s="30" t="str">
        <f t="shared" si="116"/>
        <v>LA Wales - Rhondda Cynon Taf</v>
      </c>
      <c r="D515" s="51">
        <f t="shared" si="118"/>
        <v>100938</v>
      </c>
      <c r="E515" s="51">
        <f t="shared" si="119"/>
        <v>106111</v>
      </c>
      <c r="F515" s="52">
        <f t="shared" si="120"/>
        <v>239018</v>
      </c>
      <c r="G515" s="52">
        <f t="shared" si="121"/>
        <v>117258</v>
      </c>
      <c r="H515" s="52">
        <f t="shared" si="122"/>
        <v>121760</v>
      </c>
      <c r="I515" s="697">
        <f t="shared" si="113"/>
        <v>100938</v>
      </c>
      <c r="J515" s="53">
        <f t="shared" si="114"/>
        <v>106111</v>
      </c>
      <c r="K515" s="50">
        <f t="shared" si="123"/>
        <v>25116</v>
      </c>
      <c r="L515" s="51">
        <f t="shared" si="124"/>
        <v>24092</v>
      </c>
      <c r="M515" s="700">
        <v>1182</v>
      </c>
      <c r="N515" s="700">
        <v>1192</v>
      </c>
      <c r="O515" s="700">
        <v>1246</v>
      </c>
      <c r="P515" s="700">
        <v>1330</v>
      </c>
      <c r="Q515" s="700">
        <v>1390</v>
      </c>
      <c r="R515" s="700">
        <v>1335</v>
      </c>
      <c r="S515" s="700">
        <v>1349</v>
      </c>
      <c r="T515" s="700">
        <v>1424</v>
      </c>
      <c r="U515" s="700">
        <v>1454</v>
      </c>
      <c r="V515" s="700">
        <v>1448</v>
      </c>
      <c r="W515" s="700">
        <v>1470</v>
      </c>
      <c r="X515" s="700">
        <v>1500</v>
      </c>
      <c r="Y515" s="700">
        <v>1414</v>
      </c>
      <c r="Z515" s="700">
        <v>1599</v>
      </c>
      <c r="AA515" s="700">
        <v>1471</v>
      </c>
      <c r="AB515" s="700">
        <v>1487</v>
      </c>
      <c r="AC515" s="700">
        <v>1400</v>
      </c>
      <c r="AD515" s="700">
        <v>1425</v>
      </c>
      <c r="AE515" s="700">
        <v>1383</v>
      </c>
      <c r="AF515" s="700">
        <v>1430</v>
      </c>
      <c r="AG515" s="700">
        <v>1361</v>
      </c>
      <c r="AH515" s="700">
        <v>1470</v>
      </c>
      <c r="AI515" s="700">
        <v>1333</v>
      </c>
      <c r="AJ515" s="700">
        <v>1508</v>
      </c>
      <c r="AK515" s="700">
        <v>1349</v>
      </c>
      <c r="AL515" s="700">
        <v>1510</v>
      </c>
      <c r="AM515" s="700">
        <v>1397</v>
      </c>
      <c r="AN515" s="700">
        <v>1501</v>
      </c>
      <c r="AO515" s="700">
        <v>1440</v>
      </c>
      <c r="AP515" s="700">
        <v>1561</v>
      </c>
      <c r="AQ515" s="700">
        <v>1531</v>
      </c>
      <c r="AR515" s="700">
        <v>1507</v>
      </c>
      <c r="AS515" s="700">
        <v>1666</v>
      </c>
      <c r="AT515" s="700">
        <v>1646</v>
      </c>
      <c r="AU515" s="700">
        <v>1508</v>
      </c>
      <c r="AV515" s="700">
        <v>1576</v>
      </c>
      <c r="AW515" s="700">
        <v>1511</v>
      </c>
      <c r="AX515" s="700">
        <v>1573</v>
      </c>
      <c r="AY515" s="700">
        <v>1526</v>
      </c>
      <c r="AZ515" s="700">
        <v>1487</v>
      </c>
      <c r="BA515" s="700">
        <v>1448</v>
      </c>
      <c r="BB515" s="700">
        <v>1387</v>
      </c>
      <c r="BC515" s="700">
        <v>1473</v>
      </c>
      <c r="BD515" s="700">
        <v>1436</v>
      </c>
      <c r="BE515" s="700">
        <v>1292</v>
      </c>
      <c r="BF515" s="700">
        <v>1234</v>
      </c>
      <c r="BG515" s="700">
        <v>1228</v>
      </c>
      <c r="BH515" s="700">
        <v>1344</v>
      </c>
      <c r="BI515" s="700">
        <v>1265</v>
      </c>
      <c r="BJ515" s="700">
        <v>1525</v>
      </c>
      <c r="BK515" s="700">
        <v>1616</v>
      </c>
      <c r="BL515" s="700">
        <v>1695</v>
      </c>
      <c r="BM515" s="700">
        <v>1558</v>
      </c>
      <c r="BN515" s="700">
        <v>1611</v>
      </c>
      <c r="BO515" s="700">
        <v>1667</v>
      </c>
      <c r="BP515" s="700">
        <v>1659</v>
      </c>
      <c r="BQ515" s="700">
        <v>1692</v>
      </c>
      <c r="BR515" s="700">
        <v>1734</v>
      </c>
      <c r="BS515" s="700">
        <v>1649</v>
      </c>
      <c r="BT515" s="700">
        <v>1594</v>
      </c>
      <c r="BU515" s="700">
        <v>1607</v>
      </c>
      <c r="BV515" s="700">
        <v>1496</v>
      </c>
      <c r="BW515" s="700">
        <v>1364</v>
      </c>
      <c r="BX515" s="700">
        <v>1434</v>
      </c>
      <c r="BY515" s="700">
        <v>1372</v>
      </c>
      <c r="BZ515" s="700">
        <v>1354</v>
      </c>
      <c r="CA515" s="700">
        <v>1261</v>
      </c>
      <c r="CB515" s="700">
        <v>1184</v>
      </c>
      <c r="CC515" s="700">
        <v>1223</v>
      </c>
      <c r="CD515" s="700">
        <v>1163</v>
      </c>
      <c r="CE515" s="700">
        <v>1238</v>
      </c>
      <c r="CF515" s="700">
        <v>1171</v>
      </c>
      <c r="CG515" s="700">
        <v>1232</v>
      </c>
      <c r="CH515" s="700">
        <v>1244</v>
      </c>
      <c r="CI515" s="700">
        <v>1280</v>
      </c>
      <c r="CJ515" s="700">
        <v>1272</v>
      </c>
      <c r="CK515" s="700">
        <v>1071</v>
      </c>
      <c r="CL515" s="700">
        <v>988</v>
      </c>
      <c r="CM515" s="700">
        <v>843</v>
      </c>
      <c r="CN515" s="700">
        <v>708</v>
      </c>
      <c r="CO515" s="700">
        <v>680</v>
      </c>
      <c r="CP515" s="700">
        <v>591</v>
      </c>
      <c r="CQ515" s="700">
        <v>536</v>
      </c>
      <c r="CR515" s="700">
        <v>480</v>
      </c>
      <c r="CS515" s="700">
        <v>454</v>
      </c>
      <c r="CT515" s="700">
        <v>366</v>
      </c>
      <c r="CU515" s="700">
        <v>342</v>
      </c>
      <c r="CV515" s="700">
        <v>288</v>
      </c>
      <c r="CW515" s="700">
        <v>231</v>
      </c>
      <c r="CX515" s="700">
        <v>183</v>
      </c>
      <c r="CY515" s="700">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
      <c r="A516" s="31" t="s">
        <v>80</v>
      </c>
      <c r="B516" s="1" t="s">
        <v>596</v>
      </c>
      <c r="C516" s="30" t="str">
        <f t="shared" si="116"/>
        <v>LA Wales - Swansea</v>
      </c>
      <c r="D516" s="51">
        <f t="shared" si="118"/>
        <v>103946</v>
      </c>
      <c r="E516" s="51">
        <f t="shared" si="119"/>
        <v>107305</v>
      </c>
      <c r="F516" s="52">
        <f t="shared" si="120"/>
        <v>241282</v>
      </c>
      <c r="G516" s="52">
        <f t="shared" si="121"/>
        <v>119485</v>
      </c>
      <c r="H516" s="52">
        <f t="shared" si="122"/>
        <v>121797</v>
      </c>
      <c r="I516" s="697">
        <f t="shared" si="113"/>
        <v>103946</v>
      </c>
      <c r="J516" s="53">
        <f t="shared" si="114"/>
        <v>107305</v>
      </c>
      <c r="K516" s="50">
        <f t="shared" si="123"/>
        <v>24140</v>
      </c>
      <c r="L516" s="51">
        <f t="shared" si="124"/>
        <v>22329</v>
      </c>
      <c r="M516" s="700">
        <v>1134</v>
      </c>
      <c r="N516" s="700">
        <v>1063</v>
      </c>
      <c r="O516" s="700">
        <v>1133</v>
      </c>
      <c r="P516" s="700">
        <v>1224</v>
      </c>
      <c r="Q516" s="700">
        <v>1266</v>
      </c>
      <c r="R516" s="700">
        <v>1252</v>
      </c>
      <c r="S516" s="700">
        <v>1374</v>
      </c>
      <c r="T516" s="700">
        <v>1363</v>
      </c>
      <c r="U516" s="700">
        <v>1342</v>
      </c>
      <c r="V516" s="700">
        <v>1419</v>
      </c>
      <c r="W516" s="700">
        <v>1459</v>
      </c>
      <c r="X516" s="700">
        <v>1510</v>
      </c>
      <c r="Y516" s="700">
        <v>1407</v>
      </c>
      <c r="Z516" s="700">
        <v>1464</v>
      </c>
      <c r="AA516" s="700">
        <v>1527</v>
      </c>
      <c r="AB516" s="700">
        <v>1392</v>
      </c>
      <c r="AC516" s="700">
        <v>1385</v>
      </c>
      <c r="AD516" s="700">
        <v>1426</v>
      </c>
      <c r="AE516" s="700">
        <v>1459</v>
      </c>
      <c r="AF516" s="700">
        <v>1896</v>
      </c>
      <c r="AG516" s="700">
        <v>2522</v>
      </c>
      <c r="AH516" s="700">
        <v>2615</v>
      </c>
      <c r="AI516" s="700">
        <v>2280</v>
      </c>
      <c r="AJ516" s="700">
        <v>1910</v>
      </c>
      <c r="AK516" s="700">
        <v>1501</v>
      </c>
      <c r="AL516" s="700">
        <v>1507</v>
      </c>
      <c r="AM516" s="700">
        <v>1486</v>
      </c>
      <c r="AN516" s="700">
        <v>1351</v>
      </c>
      <c r="AO516" s="700">
        <v>1422</v>
      </c>
      <c r="AP516" s="700">
        <v>1448</v>
      </c>
      <c r="AQ516" s="700">
        <v>1520</v>
      </c>
      <c r="AR516" s="700">
        <v>1551</v>
      </c>
      <c r="AS516" s="700">
        <v>1644</v>
      </c>
      <c r="AT516" s="700">
        <v>1442</v>
      </c>
      <c r="AU516" s="700">
        <v>1501</v>
      </c>
      <c r="AV516" s="700">
        <v>1514</v>
      </c>
      <c r="AW516" s="700">
        <v>1498</v>
      </c>
      <c r="AX516" s="700">
        <v>1597</v>
      </c>
      <c r="AY516" s="700">
        <v>1396</v>
      </c>
      <c r="AZ516" s="700">
        <v>1455</v>
      </c>
      <c r="BA516" s="700">
        <v>1397</v>
      </c>
      <c r="BB516" s="700">
        <v>1417</v>
      </c>
      <c r="BC516" s="700">
        <v>1584</v>
      </c>
      <c r="BD516" s="700">
        <v>1343</v>
      </c>
      <c r="BE516" s="700">
        <v>1273</v>
      </c>
      <c r="BF516" s="700">
        <v>1289</v>
      </c>
      <c r="BG516" s="700">
        <v>1339</v>
      </c>
      <c r="BH516" s="700">
        <v>1379</v>
      </c>
      <c r="BI516" s="700">
        <v>1335</v>
      </c>
      <c r="BJ516" s="700">
        <v>1336</v>
      </c>
      <c r="BK516" s="700">
        <v>1462</v>
      </c>
      <c r="BL516" s="700">
        <v>1510</v>
      </c>
      <c r="BM516" s="700">
        <v>1509</v>
      </c>
      <c r="BN516" s="700">
        <v>1691</v>
      </c>
      <c r="BO516" s="700">
        <v>1552</v>
      </c>
      <c r="BP516" s="700">
        <v>1528</v>
      </c>
      <c r="BQ516" s="700">
        <v>1522</v>
      </c>
      <c r="BR516" s="700">
        <v>1665</v>
      </c>
      <c r="BS516" s="700">
        <v>1640</v>
      </c>
      <c r="BT516" s="700">
        <v>1484</v>
      </c>
      <c r="BU516" s="700">
        <v>1519</v>
      </c>
      <c r="BV516" s="700">
        <v>1456</v>
      </c>
      <c r="BW516" s="700">
        <v>1447</v>
      </c>
      <c r="BX516" s="700">
        <v>1394</v>
      </c>
      <c r="BY516" s="700">
        <v>1349</v>
      </c>
      <c r="BZ516" s="700">
        <v>1273</v>
      </c>
      <c r="CA516" s="700">
        <v>1240</v>
      </c>
      <c r="CB516" s="700">
        <v>1189</v>
      </c>
      <c r="CC516" s="700">
        <v>1181</v>
      </c>
      <c r="CD516" s="700">
        <v>1218</v>
      </c>
      <c r="CE516" s="700">
        <v>1171</v>
      </c>
      <c r="CF516" s="700">
        <v>1093</v>
      </c>
      <c r="CG516" s="700">
        <v>1212</v>
      </c>
      <c r="CH516" s="700">
        <v>1187</v>
      </c>
      <c r="CI516" s="700">
        <v>1233</v>
      </c>
      <c r="CJ516" s="700">
        <v>1340</v>
      </c>
      <c r="CK516" s="700">
        <v>889</v>
      </c>
      <c r="CL516" s="700">
        <v>905</v>
      </c>
      <c r="CM516" s="700">
        <v>899</v>
      </c>
      <c r="CN516" s="700">
        <v>852</v>
      </c>
      <c r="CO516" s="700">
        <v>748</v>
      </c>
      <c r="CP516" s="700">
        <v>612</v>
      </c>
      <c r="CQ516" s="700">
        <v>591</v>
      </c>
      <c r="CR516" s="700">
        <v>524</v>
      </c>
      <c r="CS516" s="700">
        <v>525</v>
      </c>
      <c r="CT516" s="700">
        <v>455</v>
      </c>
      <c r="CU516" s="700">
        <v>393</v>
      </c>
      <c r="CV516" s="700">
        <v>348</v>
      </c>
      <c r="CW516" s="700">
        <v>276</v>
      </c>
      <c r="CX516" s="700">
        <v>244</v>
      </c>
      <c r="CY516" s="700">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
      <c r="A517" s="31" t="s">
        <v>80</v>
      </c>
      <c r="B517" s="1" t="s">
        <v>597</v>
      </c>
      <c r="C517" s="30" t="str">
        <f t="shared" si="116"/>
        <v>LA Wales - Torfaen</v>
      </c>
      <c r="D517" s="51">
        <f t="shared" si="118"/>
        <v>38600</v>
      </c>
      <c r="E517" s="51">
        <f t="shared" si="119"/>
        <v>41666</v>
      </c>
      <c r="F517" s="52">
        <f t="shared" si="120"/>
        <v>92860</v>
      </c>
      <c r="G517" s="52">
        <f t="shared" si="121"/>
        <v>45114</v>
      </c>
      <c r="H517" s="52">
        <f t="shared" si="122"/>
        <v>47746</v>
      </c>
      <c r="I517" s="697">
        <f t="shared" si="113"/>
        <v>38600</v>
      </c>
      <c r="J517" s="53">
        <f t="shared" si="114"/>
        <v>41666</v>
      </c>
      <c r="K517" s="50">
        <f t="shared" si="123"/>
        <v>10040</v>
      </c>
      <c r="L517" s="51">
        <f t="shared" si="124"/>
        <v>9312</v>
      </c>
      <c r="M517" s="700">
        <v>514</v>
      </c>
      <c r="N517" s="700">
        <v>466</v>
      </c>
      <c r="O517" s="700">
        <v>537</v>
      </c>
      <c r="P517" s="700">
        <v>540</v>
      </c>
      <c r="Q517" s="700">
        <v>516</v>
      </c>
      <c r="R517" s="700">
        <v>556</v>
      </c>
      <c r="S517" s="700">
        <v>581</v>
      </c>
      <c r="T517" s="700">
        <v>514</v>
      </c>
      <c r="U517" s="700">
        <v>551</v>
      </c>
      <c r="V517" s="700">
        <v>551</v>
      </c>
      <c r="W517" s="700">
        <v>588</v>
      </c>
      <c r="X517" s="700">
        <v>600</v>
      </c>
      <c r="Y517" s="700">
        <v>586</v>
      </c>
      <c r="Z517" s="700">
        <v>625</v>
      </c>
      <c r="AA517" s="700">
        <v>581</v>
      </c>
      <c r="AB517" s="700">
        <v>557</v>
      </c>
      <c r="AC517" s="700">
        <v>592</v>
      </c>
      <c r="AD517" s="700">
        <v>585</v>
      </c>
      <c r="AE517" s="700">
        <v>488</v>
      </c>
      <c r="AF517" s="700">
        <v>425</v>
      </c>
      <c r="AG517" s="700">
        <v>404</v>
      </c>
      <c r="AH517" s="700">
        <v>418</v>
      </c>
      <c r="AI517" s="700">
        <v>438</v>
      </c>
      <c r="AJ517" s="700">
        <v>462</v>
      </c>
      <c r="AK517" s="700">
        <v>507</v>
      </c>
      <c r="AL517" s="700">
        <v>598</v>
      </c>
      <c r="AM517" s="700">
        <v>533</v>
      </c>
      <c r="AN517" s="700">
        <v>576</v>
      </c>
      <c r="AO517" s="700">
        <v>555</v>
      </c>
      <c r="AP517" s="700">
        <v>540</v>
      </c>
      <c r="AQ517" s="700">
        <v>596</v>
      </c>
      <c r="AR517" s="700">
        <v>615</v>
      </c>
      <c r="AS517" s="700">
        <v>622</v>
      </c>
      <c r="AT517" s="700">
        <v>617</v>
      </c>
      <c r="AU517" s="700">
        <v>553</v>
      </c>
      <c r="AV517" s="700">
        <v>586</v>
      </c>
      <c r="AW517" s="700">
        <v>593</v>
      </c>
      <c r="AX517" s="700">
        <v>574</v>
      </c>
      <c r="AY517" s="700">
        <v>532</v>
      </c>
      <c r="AZ517" s="700">
        <v>548</v>
      </c>
      <c r="BA517" s="700">
        <v>555</v>
      </c>
      <c r="BB517" s="700">
        <v>493</v>
      </c>
      <c r="BC517" s="700">
        <v>523</v>
      </c>
      <c r="BD517" s="700">
        <v>539</v>
      </c>
      <c r="BE517" s="700">
        <v>428</v>
      </c>
      <c r="BF517" s="700">
        <v>504</v>
      </c>
      <c r="BG517" s="700">
        <v>432</v>
      </c>
      <c r="BH517" s="700">
        <v>497</v>
      </c>
      <c r="BI517" s="700">
        <v>493</v>
      </c>
      <c r="BJ517" s="700">
        <v>561</v>
      </c>
      <c r="BK517" s="700">
        <v>569</v>
      </c>
      <c r="BL517" s="700">
        <v>636</v>
      </c>
      <c r="BM517" s="700">
        <v>634</v>
      </c>
      <c r="BN517" s="700">
        <v>601</v>
      </c>
      <c r="BO517" s="700">
        <v>597</v>
      </c>
      <c r="BP517" s="700">
        <v>623</v>
      </c>
      <c r="BQ517" s="700">
        <v>631</v>
      </c>
      <c r="BR517" s="700">
        <v>707</v>
      </c>
      <c r="BS517" s="700">
        <v>646</v>
      </c>
      <c r="BT517" s="700">
        <v>672</v>
      </c>
      <c r="BU517" s="700">
        <v>661</v>
      </c>
      <c r="BV517" s="700">
        <v>655</v>
      </c>
      <c r="BW517" s="700">
        <v>574</v>
      </c>
      <c r="BX517" s="700">
        <v>580</v>
      </c>
      <c r="BY517" s="700">
        <v>594</v>
      </c>
      <c r="BZ517" s="700">
        <v>511</v>
      </c>
      <c r="CA517" s="700">
        <v>490</v>
      </c>
      <c r="CB517" s="700">
        <v>470</v>
      </c>
      <c r="CC517" s="700">
        <v>535</v>
      </c>
      <c r="CD517" s="700">
        <v>469</v>
      </c>
      <c r="CE517" s="700">
        <v>488</v>
      </c>
      <c r="CF517" s="700">
        <v>479</v>
      </c>
      <c r="CG517" s="700">
        <v>457</v>
      </c>
      <c r="CH517" s="700">
        <v>484</v>
      </c>
      <c r="CI517" s="700">
        <v>455</v>
      </c>
      <c r="CJ517" s="700">
        <v>541</v>
      </c>
      <c r="CK517" s="700">
        <v>404</v>
      </c>
      <c r="CL517" s="700">
        <v>398</v>
      </c>
      <c r="CM517" s="700">
        <v>348</v>
      </c>
      <c r="CN517" s="700">
        <v>298</v>
      </c>
      <c r="CO517" s="700">
        <v>266</v>
      </c>
      <c r="CP517" s="700">
        <v>246</v>
      </c>
      <c r="CQ517" s="700">
        <v>224</v>
      </c>
      <c r="CR517" s="700">
        <v>223</v>
      </c>
      <c r="CS517" s="700">
        <v>187</v>
      </c>
      <c r="CT517" s="700">
        <v>157</v>
      </c>
      <c r="CU517" s="700">
        <v>143</v>
      </c>
      <c r="CV517" s="700">
        <v>129</v>
      </c>
      <c r="CW517" s="700">
        <v>118</v>
      </c>
      <c r="CX517" s="700">
        <v>110</v>
      </c>
      <c r="CY517" s="700">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
      <c r="A518" s="31" t="s">
        <v>80</v>
      </c>
      <c r="B518" s="1" t="s">
        <v>598</v>
      </c>
      <c r="C518" s="30" t="str">
        <f t="shared" si="116"/>
        <v>LA Wales - Vale of Glamorgan</v>
      </c>
      <c r="D518" s="51">
        <f t="shared" si="118"/>
        <v>55197</v>
      </c>
      <c r="E518" s="51">
        <f t="shared" si="119"/>
        <v>60244</v>
      </c>
      <c r="F518" s="52">
        <f t="shared" si="120"/>
        <v>133492</v>
      </c>
      <c r="G518" s="52">
        <f t="shared" si="121"/>
        <v>64368</v>
      </c>
      <c r="H518" s="52">
        <f t="shared" si="122"/>
        <v>69124</v>
      </c>
      <c r="I518" s="697">
        <f t="shared" si="113"/>
        <v>55197</v>
      </c>
      <c r="J518" s="53">
        <f t="shared" si="114"/>
        <v>60244</v>
      </c>
      <c r="K518" s="50">
        <f t="shared" si="123"/>
        <v>14186</v>
      </c>
      <c r="L518" s="51">
        <f t="shared" si="124"/>
        <v>13663</v>
      </c>
      <c r="M518" s="700">
        <v>642</v>
      </c>
      <c r="N518" s="700">
        <v>670</v>
      </c>
      <c r="O518" s="700">
        <v>666</v>
      </c>
      <c r="P518" s="700">
        <v>745</v>
      </c>
      <c r="Q518" s="700">
        <v>708</v>
      </c>
      <c r="R518" s="700">
        <v>814</v>
      </c>
      <c r="S518" s="700">
        <v>772</v>
      </c>
      <c r="T518" s="700">
        <v>756</v>
      </c>
      <c r="U518" s="700">
        <v>790</v>
      </c>
      <c r="V518" s="700">
        <v>869</v>
      </c>
      <c r="W518" s="700">
        <v>878</v>
      </c>
      <c r="X518" s="700">
        <v>861</v>
      </c>
      <c r="Y518" s="700">
        <v>888</v>
      </c>
      <c r="Z518" s="700">
        <v>889</v>
      </c>
      <c r="AA518" s="700">
        <v>863</v>
      </c>
      <c r="AB518" s="700">
        <v>841</v>
      </c>
      <c r="AC518" s="700">
        <v>775</v>
      </c>
      <c r="AD518" s="700">
        <v>759</v>
      </c>
      <c r="AE518" s="700">
        <v>728</v>
      </c>
      <c r="AF518" s="700">
        <v>587</v>
      </c>
      <c r="AG518" s="700">
        <v>503</v>
      </c>
      <c r="AH518" s="700">
        <v>620</v>
      </c>
      <c r="AI518" s="700">
        <v>676</v>
      </c>
      <c r="AJ518" s="700">
        <v>666</v>
      </c>
      <c r="AK518" s="700">
        <v>621</v>
      </c>
      <c r="AL518" s="700">
        <v>702</v>
      </c>
      <c r="AM518" s="700">
        <v>663</v>
      </c>
      <c r="AN518" s="700">
        <v>711</v>
      </c>
      <c r="AO518" s="700">
        <v>738</v>
      </c>
      <c r="AP518" s="700">
        <v>687</v>
      </c>
      <c r="AQ518" s="700">
        <v>701</v>
      </c>
      <c r="AR518" s="700">
        <v>728</v>
      </c>
      <c r="AS518" s="700">
        <v>706</v>
      </c>
      <c r="AT518" s="700">
        <v>774</v>
      </c>
      <c r="AU518" s="700">
        <v>806</v>
      </c>
      <c r="AV518" s="700">
        <v>800</v>
      </c>
      <c r="AW518" s="700">
        <v>846</v>
      </c>
      <c r="AX518" s="700">
        <v>741</v>
      </c>
      <c r="AY518" s="700">
        <v>762</v>
      </c>
      <c r="AZ518" s="700">
        <v>802</v>
      </c>
      <c r="BA518" s="700">
        <v>818</v>
      </c>
      <c r="BB518" s="700">
        <v>893</v>
      </c>
      <c r="BC518" s="700">
        <v>884</v>
      </c>
      <c r="BD518" s="700">
        <v>832</v>
      </c>
      <c r="BE518" s="700">
        <v>669</v>
      </c>
      <c r="BF518" s="700">
        <v>732</v>
      </c>
      <c r="BG518" s="700">
        <v>722</v>
      </c>
      <c r="BH518" s="700">
        <v>807</v>
      </c>
      <c r="BI518" s="700">
        <v>781</v>
      </c>
      <c r="BJ518" s="700">
        <v>815</v>
      </c>
      <c r="BK518" s="700">
        <v>842</v>
      </c>
      <c r="BL518" s="700">
        <v>880</v>
      </c>
      <c r="BM518" s="700">
        <v>853</v>
      </c>
      <c r="BN518" s="700">
        <v>916</v>
      </c>
      <c r="BO518" s="700">
        <v>871</v>
      </c>
      <c r="BP518" s="700">
        <v>920</v>
      </c>
      <c r="BQ518" s="700">
        <v>867</v>
      </c>
      <c r="BR518" s="700">
        <v>906</v>
      </c>
      <c r="BS518" s="700">
        <v>932</v>
      </c>
      <c r="BT518" s="700">
        <v>907</v>
      </c>
      <c r="BU518" s="700">
        <v>934</v>
      </c>
      <c r="BV518" s="700">
        <v>904</v>
      </c>
      <c r="BW518" s="700">
        <v>828</v>
      </c>
      <c r="BX518" s="700">
        <v>857</v>
      </c>
      <c r="BY518" s="700">
        <v>763</v>
      </c>
      <c r="BZ518" s="700">
        <v>786</v>
      </c>
      <c r="CA518" s="700">
        <v>761</v>
      </c>
      <c r="CB518" s="700">
        <v>745</v>
      </c>
      <c r="CC518" s="700">
        <v>753</v>
      </c>
      <c r="CD518" s="700">
        <v>754</v>
      </c>
      <c r="CE518" s="700">
        <v>696</v>
      </c>
      <c r="CF518" s="700">
        <v>706</v>
      </c>
      <c r="CG518" s="700">
        <v>707</v>
      </c>
      <c r="CH518" s="700">
        <v>714</v>
      </c>
      <c r="CI518" s="700">
        <v>737</v>
      </c>
      <c r="CJ518" s="700">
        <v>775</v>
      </c>
      <c r="CK518" s="700">
        <v>562</v>
      </c>
      <c r="CL518" s="700">
        <v>555</v>
      </c>
      <c r="CM518" s="700">
        <v>563</v>
      </c>
      <c r="CN518" s="700">
        <v>468</v>
      </c>
      <c r="CO518" s="700">
        <v>410</v>
      </c>
      <c r="CP518" s="700">
        <v>391</v>
      </c>
      <c r="CQ518" s="700">
        <v>349</v>
      </c>
      <c r="CR518" s="700">
        <v>336</v>
      </c>
      <c r="CS518" s="700">
        <v>307</v>
      </c>
      <c r="CT518" s="700">
        <v>239</v>
      </c>
      <c r="CU518" s="700">
        <v>231</v>
      </c>
      <c r="CV518" s="700">
        <v>180</v>
      </c>
      <c r="CW518" s="700">
        <v>170</v>
      </c>
      <c r="CX518" s="700">
        <v>135</v>
      </c>
      <c r="CY518" s="700">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
      <c r="A519" s="31" t="s">
        <v>80</v>
      </c>
      <c r="B519" s="1" t="s">
        <v>599</v>
      </c>
      <c r="C519" s="30" t="str">
        <f t="shared" si="116"/>
        <v>LA Wales - Wrexham</v>
      </c>
      <c r="D519" s="51">
        <f t="shared" si="118"/>
        <v>57819</v>
      </c>
      <c r="E519" s="51">
        <f t="shared" si="119"/>
        <v>59552</v>
      </c>
      <c r="F519" s="52">
        <f t="shared" si="120"/>
        <v>135394</v>
      </c>
      <c r="G519" s="52">
        <f t="shared" si="121"/>
        <v>67012</v>
      </c>
      <c r="H519" s="52">
        <f t="shared" si="122"/>
        <v>68382</v>
      </c>
      <c r="I519" s="697">
        <f t="shared" si="113"/>
        <v>57819</v>
      </c>
      <c r="J519" s="53">
        <f t="shared" si="114"/>
        <v>59552</v>
      </c>
      <c r="K519" s="50">
        <f t="shared" si="123"/>
        <v>14299</v>
      </c>
      <c r="L519" s="51">
        <f t="shared" si="124"/>
        <v>13626</v>
      </c>
      <c r="M519" s="700">
        <v>673</v>
      </c>
      <c r="N519" s="700">
        <v>647</v>
      </c>
      <c r="O519" s="700">
        <v>740</v>
      </c>
      <c r="P519" s="700">
        <v>723</v>
      </c>
      <c r="Q519" s="700">
        <v>730</v>
      </c>
      <c r="R519" s="700">
        <v>761</v>
      </c>
      <c r="S519" s="700">
        <v>793</v>
      </c>
      <c r="T519" s="700">
        <v>761</v>
      </c>
      <c r="U519" s="700">
        <v>814</v>
      </c>
      <c r="V519" s="700">
        <v>862</v>
      </c>
      <c r="W519" s="700">
        <v>831</v>
      </c>
      <c r="X519" s="700">
        <v>858</v>
      </c>
      <c r="Y519" s="700">
        <v>859</v>
      </c>
      <c r="Z519" s="700">
        <v>879</v>
      </c>
      <c r="AA519" s="700">
        <v>845</v>
      </c>
      <c r="AB519" s="700">
        <v>853</v>
      </c>
      <c r="AC519" s="700">
        <v>831</v>
      </c>
      <c r="AD519" s="700">
        <v>839</v>
      </c>
      <c r="AE519" s="700">
        <v>753</v>
      </c>
      <c r="AF519" s="700">
        <v>630</v>
      </c>
      <c r="AG519" s="700">
        <v>619</v>
      </c>
      <c r="AH519" s="700">
        <v>629</v>
      </c>
      <c r="AI519" s="700">
        <v>670</v>
      </c>
      <c r="AJ519" s="700">
        <v>758</v>
      </c>
      <c r="AK519" s="700">
        <v>790</v>
      </c>
      <c r="AL519" s="700">
        <v>832</v>
      </c>
      <c r="AM519" s="700">
        <v>753</v>
      </c>
      <c r="AN519" s="700">
        <v>823</v>
      </c>
      <c r="AO519" s="700">
        <v>819</v>
      </c>
      <c r="AP519" s="700">
        <v>821</v>
      </c>
      <c r="AQ519" s="700">
        <v>786</v>
      </c>
      <c r="AR519" s="700">
        <v>853</v>
      </c>
      <c r="AS519" s="700">
        <v>859</v>
      </c>
      <c r="AT519" s="700">
        <v>835</v>
      </c>
      <c r="AU519" s="700">
        <v>874</v>
      </c>
      <c r="AV519" s="700">
        <v>850</v>
      </c>
      <c r="AW519" s="700">
        <v>902</v>
      </c>
      <c r="AX519" s="700">
        <v>921</v>
      </c>
      <c r="AY519" s="700">
        <v>825</v>
      </c>
      <c r="AZ519" s="700">
        <v>847</v>
      </c>
      <c r="BA519" s="700">
        <v>842</v>
      </c>
      <c r="BB519" s="700">
        <v>901</v>
      </c>
      <c r="BC519" s="700">
        <v>918</v>
      </c>
      <c r="BD519" s="700">
        <v>874</v>
      </c>
      <c r="BE519" s="700">
        <v>746</v>
      </c>
      <c r="BF519" s="700">
        <v>759</v>
      </c>
      <c r="BG519" s="700">
        <v>795</v>
      </c>
      <c r="BH519" s="700">
        <v>790</v>
      </c>
      <c r="BI519" s="700">
        <v>799</v>
      </c>
      <c r="BJ519" s="700">
        <v>915</v>
      </c>
      <c r="BK519" s="700">
        <v>955</v>
      </c>
      <c r="BL519" s="700">
        <v>1013</v>
      </c>
      <c r="BM519" s="700">
        <v>995</v>
      </c>
      <c r="BN519" s="700">
        <v>1003</v>
      </c>
      <c r="BO519" s="700">
        <v>969</v>
      </c>
      <c r="BP519" s="700">
        <v>960</v>
      </c>
      <c r="BQ519" s="700">
        <v>1007</v>
      </c>
      <c r="BR519" s="700">
        <v>986</v>
      </c>
      <c r="BS519" s="700">
        <v>968</v>
      </c>
      <c r="BT519" s="700">
        <v>965</v>
      </c>
      <c r="BU519" s="700">
        <v>916</v>
      </c>
      <c r="BV519" s="700">
        <v>884</v>
      </c>
      <c r="BW519" s="700">
        <v>833</v>
      </c>
      <c r="BX519" s="700">
        <v>743</v>
      </c>
      <c r="BY519" s="700">
        <v>790</v>
      </c>
      <c r="BZ519" s="700">
        <v>795</v>
      </c>
      <c r="CA519" s="700">
        <v>774</v>
      </c>
      <c r="CB519" s="700">
        <v>688</v>
      </c>
      <c r="CC519" s="700">
        <v>698</v>
      </c>
      <c r="CD519" s="700">
        <v>716</v>
      </c>
      <c r="CE519" s="700">
        <v>688</v>
      </c>
      <c r="CF519" s="700">
        <v>667</v>
      </c>
      <c r="CG519" s="700">
        <v>680</v>
      </c>
      <c r="CH519" s="700">
        <v>708</v>
      </c>
      <c r="CI519" s="700">
        <v>706</v>
      </c>
      <c r="CJ519" s="700">
        <v>754</v>
      </c>
      <c r="CK519" s="700">
        <v>572</v>
      </c>
      <c r="CL519" s="700">
        <v>512</v>
      </c>
      <c r="CM519" s="700">
        <v>519</v>
      </c>
      <c r="CN519" s="700">
        <v>494</v>
      </c>
      <c r="CO519" s="700">
        <v>429</v>
      </c>
      <c r="CP519" s="700">
        <v>357</v>
      </c>
      <c r="CQ519" s="700">
        <v>308</v>
      </c>
      <c r="CR519" s="700">
        <v>275</v>
      </c>
      <c r="CS519" s="700">
        <v>281</v>
      </c>
      <c r="CT519" s="700">
        <v>235</v>
      </c>
      <c r="CU519" s="700">
        <v>217</v>
      </c>
      <c r="CV519" s="700">
        <v>176</v>
      </c>
      <c r="CW519" s="700">
        <v>132</v>
      </c>
      <c r="CX519" s="700">
        <v>132</v>
      </c>
      <c r="CY519" s="700">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25" customFormat="1" ht="15" x14ac:dyDescent="0.25">
      <c r="A520" s="121"/>
      <c r="B520" s="131"/>
      <c r="C520" s="121"/>
      <c r="D520" s="123">
        <f>SUM(D498:D519)</f>
        <v>1329100</v>
      </c>
      <c r="E520" s="123">
        <f t="shared" ref="E520:L520" si="125">SUM(E498:E519)</f>
        <v>1400785</v>
      </c>
      <c r="F520" s="123">
        <f t="shared" si="125"/>
        <v>3131640</v>
      </c>
      <c r="G520" s="123">
        <f t="shared" si="125"/>
        <v>1534884</v>
      </c>
      <c r="H520" s="123">
        <f t="shared" si="125"/>
        <v>1596756</v>
      </c>
      <c r="I520" s="148">
        <f t="shared" si="125"/>
        <v>1329100</v>
      </c>
      <c r="J520" s="123">
        <f t="shared" si="125"/>
        <v>1400785</v>
      </c>
      <c r="K520" s="123">
        <f t="shared" si="125"/>
        <v>317830</v>
      </c>
      <c r="L520" s="123">
        <f t="shared" si="125"/>
        <v>301799</v>
      </c>
      <c r="M520" s="124"/>
      <c r="N520" s="124"/>
      <c r="O520" s="124"/>
      <c r="P520" s="124"/>
      <c r="Q520" s="124"/>
      <c r="R520" s="124"/>
      <c r="S520" s="124"/>
      <c r="T520" s="124"/>
      <c r="U520" s="124"/>
      <c r="V520" s="124"/>
      <c r="W520" s="124"/>
      <c r="X520" s="124"/>
      <c r="Y520" s="124"/>
      <c r="Z520" s="124"/>
      <c r="AA520" s="124"/>
      <c r="AB520" s="124"/>
      <c r="AC520" s="124"/>
      <c r="AD520" s="124"/>
      <c r="AE520" s="124"/>
      <c r="AF520" s="124"/>
      <c r="AG520" s="124"/>
      <c r="AH520" s="124"/>
      <c r="AI520" s="124"/>
      <c r="AJ520" s="124"/>
      <c r="AK520" s="124"/>
      <c r="AL520" s="124"/>
      <c r="AM520" s="124"/>
      <c r="AN520" s="124"/>
      <c r="AO520" s="124"/>
      <c r="AP520" s="124"/>
      <c r="AQ520" s="124"/>
      <c r="AR520" s="124"/>
      <c r="AS520" s="124"/>
      <c r="AT520" s="124"/>
      <c r="AU520" s="124"/>
      <c r="AV520" s="124"/>
      <c r="AW520" s="124"/>
      <c r="AX520" s="124"/>
      <c r="AY520" s="124"/>
      <c r="AZ520" s="124"/>
      <c r="BA520" s="124"/>
      <c r="BB520" s="124"/>
      <c r="BC520" s="124"/>
      <c r="BD520" s="124"/>
      <c r="BE520" s="124"/>
      <c r="BF520" s="124"/>
      <c r="BG520" s="124"/>
      <c r="BH520" s="124"/>
      <c r="BI520" s="124"/>
      <c r="BJ520" s="124"/>
      <c r="BK520" s="124"/>
      <c r="BL520" s="124"/>
      <c r="BM520" s="124"/>
      <c r="BN520" s="124"/>
      <c r="BO520" s="124"/>
      <c r="BP520" s="124"/>
      <c r="BQ520" s="124"/>
      <c r="BR520" s="124"/>
      <c r="BS520" s="124"/>
      <c r="BT520" s="124"/>
      <c r="BU520" s="124"/>
      <c r="BV520" s="124"/>
      <c r="BW520" s="124"/>
      <c r="BX520" s="124"/>
      <c r="BY520" s="124"/>
      <c r="BZ520" s="124"/>
      <c r="CA520" s="124"/>
      <c r="CB520" s="124"/>
      <c r="CC520" s="124"/>
      <c r="CD520" s="124"/>
      <c r="CE520" s="124"/>
      <c r="CF520" s="124"/>
      <c r="CG520" s="124"/>
      <c r="CH520" s="124"/>
      <c r="CI520" s="124"/>
      <c r="CJ520" s="124"/>
      <c r="CK520" s="124"/>
      <c r="CL520" s="124"/>
      <c r="CM520" s="124"/>
      <c r="CN520" s="124"/>
      <c r="CO520" s="124"/>
      <c r="CP520" s="124"/>
      <c r="CQ520" s="124"/>
      <c r="CR520" s="124"/>
      <c r="CS520" s="124"/>
      <c r="CT520" s="124"/>
      <c r="CU520" s="124"/>
      <c r="CV520" s="124"/>
      <c r="CW520" s="124"/>
      <c r="CX520" s="124"/>
      <c r="CY520" s="124"/>
      <c r="CZ520" s="124"/>
      <c r="DA520" s="124"/>
      <c r="DB520" s="124"/>
      <c r="DC520" s="124"/>
      <c r="DD520" s="124"/>
      <c r="DE520" s="124"/>
      <c r="DF520" s="124"/>
      <c r="DG520" s="124"/>
      <c r="DH520" s="124"/>
      <c r="DI520" s="124"/>
      <c r="DJ520" s="124"/>
      <c r="DK520" s="124"/>
      <c r="DL520" s="124"/>
      <c r="DM520" s="124"/>
      <c r="DN520" s="124"/>
      <c r="DO520" s="124"/>
      <c r="DP520" s="124"/>
      <c r="DQ520" s="124"/>
      <c r="DR520" s="124"/>
      <c r="DS520" s="124"/>
      <c r="DT520" s="124"/>
      <c r="DU520" s="124"/>
      <c r="DV520" s="124"/>
      <c r="DW520" s="124"/>
      <c r="DX520" s="124"/>
      <c r="DY520" s="124"/>
      <c r="DZ520" s="124"/>
      <c r="EA520" s="124"/>
      <c r="EB520" s="124"/>
      <c r="EC520" s="124"/>
      <c r="ED520" s="124"/>
      <c r="EE520" s="124"/>
      <c r="EF520" s="124"/>
      <c r="EG520" s="124"/>
      <c r="EH520" s="124"/>
      <c r="EI520" s="124"/>
      <c r="EJ520" s="124"/>
      <c r="EK520" s="124"/>
      <c r="EL520" s="124"/>
      <c r="EM520" s="124"/>
      <c r="EN520" s="124"/>
      <c r="EO520" s="124"/>
      <c r="EP520" s="124"/>
      <c r="EQ520" s="124"/>
      <c r="ER520" s="124"/>
      <c r="ES520" s="124"/>
      <c r="ET520" s="124"/>
      <c r="EU520" s="124"/>
      <c r="EV520" s="124"/>
      <c r="EW520" s="124"/>
      <c r="EX520" s="124"/>
      <c r="EY520" s="124"/>
      <c r="EZ520" s="124"/>
      <c r="FA520" s="124"/>
      <c r="FB520" s="124"/>
      <c r="FC520" s="124"/>
      <c r="FD520" s="124"/>
      <c r="FE520" s="124"/>
      <c r="FF520" s="124"/>
      <c r="FG520" s="124"/>
      <c r="FH520" s="124"/>
      <c r="FI520" s="124"/>
      <c r="FJ520" s="124"/>
      <c r="FK520" s="124"/>
      <c r="FL520" s="124"/>
      <c r="FM520" s="124"/>
      <c r="FN520" s="124"/>
      <c r="FO520" s="124"/>
      <c r="FP520" s="124"/>
      <c r="FQ520" s="124"/>
      <c r="FR520" s="124"/>
      <c r="FS520" s="124"/>
      <c r="FT520" s="124"/>
      <c r="FU520" s="124"/>
      <c r="FV520" s="124"/>
      <c r="FW520" s="124"/>
      <c r="FX520" s="124"/>
      <c r="FY520" s="124"/>
      <c r="FZ520" s="124"/>
      <c r="GA520" s="124"/>
      <c r="GB520" s="124"/>
      <c r="GC520" s="124"/>
      <c r="GD520" s="124"/>
      <c r="GE520" s="124"/>
      <c r="GF520" s="124"/>
      <c r="GG520" s="124"/>
      <c r="GH520" s="124"/>
      <c r="GI520" s="124"/>
      <c r="GJ520" s="124"/>
      <c r="GK520" s="124"/>
      <c r="GL520" s="123"/>
    </row>
    <row r="521" spans="1:194" s="1" customFormat="1" x14ac:dyDescent="0.2">
      <c r="A521" s="31" t="s">
        <v>84</v>
      </c>
      <c r="B521" s="1" t="s">
        <v>600</v>
      </c>
      <c r="C521" s="30" t="str">
        <f t="shared" si="116"/>
        <v>LA NI - Antrim and Newtownabbey</v>
      </c>
      <c r="D521" s="51">
        <f t="shared" si="118"/>
        <v>60900</v>
      </c>
      <c r="E521" s="51">
        <f t="shared" si="119"/>
        <v>64016</v>
      </c>
      <c r="F521" s="52">
        <f t="shared" ref="F521:F531" si="126">G521+H521</f>
        <v>146148</v>
      </c>
      <c r="G521" s="52">
        <f t="shared" ref="G521:G531" si="127">SUM(M521:CY521)</f>
        <v>71767</v>
      </c>
      <c r="H521" s="52">
        <f t="shared" ref="H521:H531" si="128">SUM(CZ521:GL521)</f>
        <v>74381</v>
      </c>
      <c r="I521" s="113">
        <f t="shared" si="113"/>
        <v>60900</v>
      </c>
      <c r="J521" s="53">
        <f t="shared" si="114"/>
        <v>64016</v>
      </c>
      <c r="K521" s="82">
        <f t="shared" ref="K521:K531" si="129">SUM(M521:AD521)</f>
        <v>16837</v>
      </c>
      <c r="L521" s="51">
        <f t="shared" ref="L521:L531" si="130">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
      <c r="A522" s="31" t="s">
        <v>84</v>
      </c>
      <c r="B522" s="1" t="s">
        <v>601</v>
      </c>
      <c r="C522" s="30" t="str">
        <f t="shared" si="116"/>
        <v>LA NI - Ards and North Down</v>
      </c>
      <c r="D522" s="51">
        <f t="shared" si="118"/>
        <v>68896</v>
      </c>
      <c r="E522" s="51">
        <f t="shared" si="119"/>
        <v>73804</v>
      </c>
      <c r="F522" s="52">
        <f t="shared" si="126"/>
        <v>164223</v>
      </c>
      <c r="G522" s="52">
        <f t="shared" si="127"/>
        <v>79967</v>
      </c>
      <c r="H522" s="52">
        <f t="shared" si="128"/>
        <v>84256</v>
      </c>
      <c r="I522" s="113">
        <f t="shared" si="113"/>
        <v>68896</v>
      </c>
      <c r="J522" s="53">
        <f t="shared" si="114"/>
        <v>73804</v>
      </c>
      <c r="K522" s="83">
        <f t="shared" si="129"/>
        <v>17259</v>
      </c>
      <c r="L522" s="51">
        <f t="shared" si="130"/>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
      <c r="A523" s="31" t="s">
        <v>84</v>
      </c>
      <c r="B523" s="1" t="s">
        <v>602</v>
      </c>
      <c r="C523" s="30" t="str">
        <f t="shared" si="116"/>
        <v>LA NI - Armagh City, Banbridge and Craigavon</v>
      </c>
      <c r="D523" s="51">
        <f t="shared" si="118"/>
        <v>90731</v>
      </c>
      <c r="E523" s="51">
        <f t="shared" si="119"/>
        <v>93584</v>
      </c>
      <c r="F523" s="52">
        <f t="shared" si="126"/>
        <v>220271</v>
      </c>
      <c r="G523" s="52">
        <f t="shared" si="127"/>
        <v>109137</v>
      </c>
      <c r="H523" s="52">
        <f t="shared" si="128"/>
        <v>111134</v>
      </c>
      <c r="I523" s="113">
        <f t="shared" si="113"/>
        <v>90731</v>
      </c>
      <c r="J523" s="53">
        <f t="shared" si="114"/>
        <v>93584</v>
      </c>
      <c r="K523" s="83">
        <f t="shared" si="129"/>
        <v>27805</v>
      </c>
      <c r="L523" s="51">
        <f t="shared" si="130"/>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
      <c r="A524" s="31" t="s">
        <v>84</v>
      </c>
      <c r="B524" s="1" t="s">
        <v>603</v>
      </c>
      <c r="C524" s="30" t="str">
        <f t="shared" si="116"/>
        <v>LA NI - Belfast</v>
      </c>
      <c r="D524" s="51">
        <f t="shared" si="118"/>
        <v>144197</v>
      </c>
      <c r="E524" s="51">
        <f t="shared" si="119"/>
        <v>154319</v>
      </c>
      <c r="F524" s="52">
        <f t="shared" si="126"/>
        <v>348005</v>
      </c>
      <c r="G524" s="52">
        <f t="shared" si="127"/>
        <v>169491</v>
      </c>
      <c r="H524" s="52">
        <f t="shared" si="128"/>
        <v>178514</v>
      </c>
      <c r="I524" s="113">
        <f t="shared" ref="I524:I531" si="131">SUM(Y524:CY524)</f>
        <v>144197</v>
      </c>
      <c r="J524" s="53">
        <f t="shared" ref="J524:J531" si="132">SUM(DL524:GL524)</f>
        <v>154319</v>
      </c>
      <c r="K524" s="83">
        <f t="shared" si="129"/>
        <v>37931</v>
      </c>
      <c r="L524" s="51">
        <f t="shared" si="130"/>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
      <c r="A525" s="31" t="s">
        <v>84</v>
      </c>
      <c r="B525" s="1" t="s">
        <v>604</v>
      </c>
      <c r="C525" s="30" t="str">
        <f t="shared" si="116"/>
        <v>LA NI - Causeway Coast and Glens</v>
      </c>
      <c r="D525" s="51">
        <f t="shared" si="118"/>
        <v>59217</v>
      </c>
      <c r="E525" s="51">
        <f t="shared" si="119"/>
        <v>61840</v>
      </c>
      <c r="F525" s="52">
        <f t="shared" si="126"/>
        <v>141316</v>
      </c>
      <c r="G525" s="52">
        <f t="shared" si="127"/>
        <v>69599</v>
      </c>
      <c r="H525" s="52">
        <f t="shared" si="128"/>
        <v>71717</v>
      </c>
      <c r="I525" s="113">
        <f t="shared" si="131"/>
        <v>59217</v>
      </c>
      <c r="J525" s="53">
        <f t="shared" si="132"/>
        <v>61840</v>
      </c>
      <c r="K525" s="83">
        <f t="shared" si="129"/>
        <v>15835</v>
      </c>
      <c r="L525" s="51">
        <f t="shared" si="130"/>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
      <c r="A526" s="31" t="s">
        <v>84</v>
      </c>
      <c r="B526" s="1" t="s">
        <v>605</v>
      </c>
      <c r="C526" s="30" t="str">
        <f t="shared" si="116"/>
        <v>LA NI - Derry City and Strabane</v>
      </c>
      <c r="D526" s="51">
        <f t="shared" si="118"/>
        <v>61538</v>
      </c>
      <c r="E526" s="51">
        <f t="shared" si="119"/>
        <v>65688</v>
      </c>
      <c r="F526" s="52">
        <f t="shared" si="126"/>
        <v>150836</v>
      </c>
      <c r="G526" s="52">
        <f t="shared" si="127"/>
        <v>73562</v>
      </c>
      <c r="H526" s="52">
        <f t="shared" si="128"/>
        <v>77274</v>
      </c>
      <c r="I526" s="113">
        <f t="shared" si="131"/>
        <v>61538</v>
      </c>
      <c r="J526" s="53">
        <f t="shared" si="132"/>
        <v>65688</v>
      </c>
      <c r="K526" s="83">
        <f t="shared" si="129"/>
        <v>18275</v>
      </c>
      <c r="L526" s="51">
        <f t="shared" si="130"/>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
      <c r="A527" s="31" t="s">
        <v>84</v>
      </c>
      <c r="B527" s="1" t="s">
        <v>606</v>
      </c>
      <c r="C527" s="30" t="str">
        <f t="shared" si="116"/>
        <v>LA NI - Fermanagh and Omagh</v>
      </c>
      <c r="D527" s="51">
        <f t="shared" si="118"/>
        <v>49252</v>
      </c>
      <c r="E527" s="51">
        <f t="shared" si="119"/>
        <v>49498</v>
      </c>
      <c r="F527" s="52">
        <f t="shared" si="126"/>
        <v>116994</v>
      </c>
      <c r="G527" s="52">
        <f t="shared" si="127"/>
        <v>58418</v>
      </c>
      <c r="H527" s="52">
        <f t="shared" si="128"/>
        <v>58576</v>
      </c>
      <c r="I527" s="113">
        <f t="shared" si="131"/>
        <v>49252</v>
      </c>
      <c r="J527" s="53">
        <f t="shared" si="132"/>
        <v>49498</v>
      </c>
      <c r="K527" s="83">
        <f t="shared" si="129"/>
        <v>14174</v>
      </c>
      <c r="L527" s="51">
        <f t="shared" si="130"/>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
      <c r="A528" s="31" t="s">
        <v>84</v>
      </c>
      <c r="B528" s="1" t="s">
        <v>607</v>
      </c>
      <c r="C528" s="30" t="str">
        <f t="shared" si="116"/>
        <v>LA NI - Lisburn and Castlereagh</v>
      </c>
      <c r="D528" s="51">
        <f t="shared" si="118"/>
        <v>62111</v>
      </c>
      <c r="E528" s="51">
        <f t="shared" si="119"/>
        <v>65251</v>
      </c>
      <c r="F528" s="52">
        <f t="shared" si="126"/>
        <v>149915</v>
      </c>
      <c r="G528" s="52">
        <f t="shared" si="127"/>
        <v>73814</v>
      </c>
      <c r="H528" s="52">
        <f t="shared" si="128"/>
        <v>76101</v>
      </c>
      <c r="I528" s="113">
        <f t="shared" si="131"/>
        <v>62111</v>
      </c>
      <c r="J528" s="53">
        <f t="shared" si="132"/>
        <v>65251</v>
      </c>
      <c r="K528" s="83">
        <f t="shared" si="129"/>
        <v>17578</v>
      </c>
      <c r="L528" s="51">
        <f t="shared" si="130"/>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
      <c r="A529" s="31" t="s">
        <v>84</v>
      </c>
      <c r="B529" s="1" t="s">
        <v>608</v>
      </c>
      <c r="C529" s="30" t="str">
        <f t="shared" si="116"/>
        <v>LA NI - Mid and East Antrim</v>
      </c>
      <c r="D529" s="51">
        <f t="shared" si="118"/>
        <v>58538</v>
      </c>
      <c r="E529" s="51">
        <f t="shared" si="119"/>
        <v>61718</v>
      </c>
      <c r="F529" s="52">
        <f t="shared" si="126"/>
        <v>139200</v>
      </c>
      <c r="G529" s="52">
        <f t="shared" si="127"/>
        <v>68237</v>
      </c>
      <c r="H529" s="52">
        <f t="shared" si="128"/>
        <v>70963</v>
      </c>
      <c r="I529" s="113">
        <f t="shared" si="131"/>
        <v>58538</v>
      </c>
      <c r="J529" s="53">
        <f t="shared" si="132"/>
        <v>61718</v>
      </c>
      <c r="K529" s="83">
        <f t="shared" si="129"/>
        <v>15002</v>
      </c>
      <c r="L529" s="51">
        <f t="shared" si="130"/>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
      <c r="A530" s="31" t="s">
        <v>84</v>
      </c>
      <c r="B530" s="1" t="s">
        <v>609</v>
      </c>
      <c r="C530" s="30" t="str">
        <f t="shared" si="116"/>
        <v>LA NI - Mid Ulster</v>
      </c>
      <c r="D530" s="51">
        <f t="shared" si="118"/>
        <v>62408</v>
      </c>
      <c r="E530" s="51">
        <f t="shared" si="119"/>
        <v>62647</v>
      </c>
      <c r="F530" s="52">
        <f t="shared" si="126"/>
        <v>151001</v>
      </c>
      <c r="G530" s="52">
        <f t="shared" si="127"/>
        <v>75748</v>
      </c>
      <c r="H530" s="52">
        <f t="shared" si="128"/>
        <v>75253</v>
      </c>
      <c r="I530" s="113">
        <f t="shared" si="131"/>
        <v>62408</v>
      </c>
      <c r="J530" s="53">
        <f t="shared" si="132"/>
        <v>62647</v>
      </c>
      <c r="K530" s="83">
        <f t="shared" si="129"/>
        <v>19888</v>
      </c>
      <c r="L530" s="51">
        <f t="shared" si="130"/>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
      <c r="A531" s="31" t="s">
        <v>84</v>
      </c>
      <c r="B531" s="1" t="s">
        <v>610</v>
      </c>
      <c r="C531" s="30" t="str">
        <f t="shared" si="116"/>
        <v>LA NI - Newry, Mourne and Down</v>
      </c>
      <c r="D531" s="51">
        <f t="shared" si="118"/>
        <v>74911</v>
      </c>
      <c r="E531" s="51">
        <f t="shared" si="119"/>
        <v>77877</v>
      </c>
      <c r="F531" s="52">
        <f t="shared" si="126"/>
        <v>182634</v>
      </c>
      <c r="G531" s="52">
        <f t="shared" si="127"/>
        <v>90207</v>
      </c>
      <c r="H531" s="52">
        <f t="shared" si="128"/>
        <v>92427</v>
      </c>
      <c r="I531" s="695">
        <f t="shared" si="131"/>
        <v>74911</v>
      </c>
      <c r="J531" s="49">
        <f t="shared" si="132"/>
        <v>77877</v>
      </c>
      <c r="K531" s="701">
        <f t="shared" si="129"/>
        <v>23066</v>
      </c>
      <c r="L531" s="51">
        <f t="shared" si="130"/>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25" customFormat="1" ht="15" x14ac:dyDescent="0.25">
      <c r="A532" s="121"/>
      <c r="B532" s="132"/>
      <c r="C532" s="121"/>
      <c r="D532" s="148">
        <f>SUM(D521:D531)</f>
        <v>792699</v>
      </c>
      <c r="E532" s="148">
        <f>SUM(E521:E531)</f>
        <v>830242</v>
      </c>
      <c r="F532" s="148">
        <f>SUM(F521:F531)</f>
        <v>1910543</v>
      </c>
      <c r="G532" s="148">
        <f t="shared" ref="G532:L532" si="133">SUM(G521:G531)</f>
        <v>939947</v>
      </c>
      <c r="H532" s="148">
        <f t="shared" si="133"/>
        <v>970596</v>
      </c>
      <c r="I532" s="148">
        <f t="shared" si="133"/>
        <v>792699</v>
      </c>
      <c r="J532" s="148">
        <f t="shared" si="133"/>
        <v>830242</v>
      </c>
      <c r="K532" s="148">
        <f t="shared" si="133"/>
        <v>223650</v>
      </c>
      <c r="L532" s="148">
        <f t="shared" si="133"/>
        <v>213055</v>
      </c>
      <c r="M532" s="124"/>
      <c r="N532" s="124"/>
      <c r="O532" s="124"/>
      <c r="P532" s="124"/>
      <c r="Q532" s="124"/>
      <c r="R532" s="124"/>
      <c r="S532" s="124"/>
      <c r="T532" s="124"/>
      <c r="U532" s="124"/>
      <c r="V532" s="124"/>
      <c r="W532" s="124"/>
      <c r="X532" s="124"/>
      <c r="Y532" s="124"/>
      <c r="Z532" s="124"/>
      <c r="AA532" s="124"/>
      <c r="AB532" s="124"/>
      <c r="AC532" s="124"/>
      <c r="AD532" s="124"/>
      <c r="AE532" s="124"/>
      <c r="AF532" s="124"/>
      <c r="AG532" s="124"/>
      <c r="AH532" s="124"/>
      <c r="AI532" s="124"/>
      <c r="AJ532" s="124"/>
      <c r="AK532" s="124"/>
      <c r="AL532" s="124"/>
      <c r="AM532" s="124"/>
      <c r="AN532" s="124"/>
      <c r="AO532" s="124"/>
      <c r="AP532" s="124"/>
      <c r="AQ532" s="124"/>
      <c r="AR532" s="124"/>
      <c r="AS532" s="124"/>
      <c r="AT532" s="124"/>
      <c r="AU532" s="124"/>
      <c r="AV532" s="124"/>
      <c r="AW532" s="124"/>
      <c r="AX532" s="124"/>
      <c r="AY532" s="124"/>
      <c r="AZ532" s="124"/>
      <c r="BA532" s="124"/>
      <c r="BB532" s="124"/>
      <c r="BC532" s="124"/>
      <c r="BD532" s="124"/>
      <c r="BE532" s="124"/>
      <c r="BF532" s="124"/>
      <c r="BG532" s="124"/>
      <c r="BH532" s="124"/>
      <c r="BI532" s="124"/>
      <c r="BJ532" s="124"/>
      <c r="BK532" s="124"/>
      <c r="BL532" s="124"/>
      <c r="BM532" s="124"/>
      <c r="BN532" s="124"/>
      <c r="BO532" s="124"/>
      <c r="BP532" s="124"/>
      <c r="BQ532" s="124"/>
      <c r="BR532" s="124"/>
      <c r="BS532" s="124"/>
      <c r="BT532" s="124"/>
      <c r="BU532" s="124"/>
      <c r="BV532" s="124"/>
      <c r="BW532" s="124"/>
      <c r="BX532" s="124"/>
      <c r="BY532" s="124"/>
      <c r="BZ532" s="124"/>
      <c r="CA532" s="124"/>
      <c r="CB532" s="124"/>
      <c r="CC532" s="124"/>
      <c r="CD532" s="124"/>
      <c r="CE532" s="124"/>
      <c r="CF532" s="124"/>
      <c r="CG532" s="124"/>
      <c r="CH532" s="124"/>
      <c r="CI532" s="124"/>
      <c r="CJ532" s="124"/>
      <c r="CK532" s="124"/>
      <c r="CL532" s="124"/>
      <c r="CM532" s="124"/>
      <c r="CN532" s="124"/>
      <c r="CO532" s="124"/>
      <c r="CP532" s="124"/>
      <c r="CQ532" s="124"/>
      <c r="CR532" s="124"/>
      <c r="CS532" s="124"/>
      <c r="CT532" s="124"/>
      <c r="CU532" s="124"/>
      <c r="CV532" s="124"/>
      <c r="CW532" s="124"/>
      <c r="CX532" s="124"/>
      <c r="CY532" s="123"/>
      <c r="CZ532" s="124"/>
      <c r="DA532" s="124"/>
      <c r="DB532" s="124"/>
      <c r="DC532" s="124"/>
      <c r="DD532" s="124"/>
      <c r="DE532" s="124"/>
      <c r="DF532" s="124"/>
      <c r="DG532" s="124"/>
      <c r="DH532" s="124"/>
      <c r="DI532" s="124"/>
      <c r="DJ532" s="124"/>
      <c r="DK532" s="124"/>
      <c r="DL532" s="124"/>
      <c r="DM532" s="124"/>
      <c r="DN532" s="124"/>
      <c r="DO532" s="124"/>
      <c r="DP532" s="124"/>
      <c r="DQ532" s="124"/>
      <c r="DR532" s="124"/>
      <c r="DS532" s="124"/>
      <c r="DT532" s="124"/>
      <c r="DU532" s="124"/>
      <c r="DV532" s="124"/>
      <c r="DW532" s="124"/>
      <c r="DX532" s="124"/>
      <c r="DY532" s="124"/>
      <c r="DZ532" s="124"/>
      <c r="EA532" s="124"/>
      <c r="EB532" s="124"/>
      <c r="EC532" s="124"/>
      <c r="ED532" s="124"/>
      <c r="EE532" s="124"/>
      <c r="EF532" s="124"/>
      <c r="EG532" s="124"/>
      <c r="EH532" s="124"/>
      <c r="EI532" s="124"/>
      <c r="EJ532" s="124"/>
      <c r="EK532" s="124"/>
      <c r="EL532" s="124"/>
      <c r="EM532" s="124"/>
      <c r="EN532" s="124"/>
      <c r="EO532" s="124"/>
      <c r="EP532" s="124"/>
      <c r="EQ532" s="124"/>
      <c r="ER532" s="124"/>
      <c r="ES532" s="124"/>
      <c r="ET532" s="124"/>
      <c r="EU532" s="124"/>
      <c r="EV532" s="124"/>
      <c r="EW532" s="124"/>
      <c r="EX532" s="124"/>
      <c r="EY532" s="124"/>
      <c r="EZ532" s="124"/>
      <c r="FA532" s="124"/>
      <c r="FB532" s="124"/>
      <c r="FC532" s="124"/>
      <c r="FD532" s="124"/>
      <c r="FE532" s="124"/>
      <c r="FF532" s="124"/>
      <c r="FG532" s="124"/>
      <c r="FH532" s="124"/>
      <c r="FI532" s="124"/>
      <c r="FJ532" s="124"/>
      <c r="FK532" s="124"/>
      <c r="FL532" s="124"/>
      <c r="FM532" s="124"/>
      <c r="FN532" s="124"/>
      <c r="FO532" s="124"/>
      <c r="FP532" s="124"/>
      <c r="FQ532" s="124"/>
      <c r="FR532" s="124"/>
      <c r="FS532" s="124"/>
      <c r="FT532" s="124"/>
      <c r="FU532" s="124"/>
      <c r="FV532" s="124"/>
      <c r="FW532" s="124"/>
      <c r="FX532" s="124"/>
      <c r="FY532" s="124"/>
      <c r="FZ532" s="124"/>
      <c r="GA532" s="124"/>
      <c r="GB532" s="124"/>
      <c r="GC532" s="124"/>
      <c r="GD532" s="124"/>
      <c r="GE532" s="124"/>
      <c r="GF532" s="124"/>
      <c r="GG532" s="124"/>
      <c r="GH532" s="124"/>
      <c r="GI532" s="124"/>
      <c r="GJ532" s="124"/>
      <c r="GK532" s="124"/>
      <c r="GL532" s="123"/>
    </row>
    <row r="533" spans="1:194" x14ac:dyDescent="0.2">
      <c r="D533" s="92"/>
      <c r="E533" s="92"/>
      <c r="F533" s="92"/>
      <c r="G533" s="92"/>
      <c r="H533" s="92"/>
      <c r="I533" s="92"/>
      <c r="J533" s="92"/>
      <c r="K533" s="92"/>
      <c r="L533" s="92"/>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
      <c r="C534" s="11"/>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x14ac:dyDescent="0.25">
      <c r="A535" s="702" t="s">
        <v>611</v>
      </c>
      <c r="B535" s="703"/>
      <c r="C535" s="704"/>
      <c r="D535" s="705"/>
      <c r="E535" s="705"/>
      <c r="F535" s="705"/>
      <c r="G535" s="706"/>
      <c r="H535" s="92"/>
      <c r="I535" s="92"/>
      <c r="J535" s="92"/>
      <c r="K535" s="92"/>
      <c r="L535" s="92"/>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
      <c r="D536" s="92"/>
      <c r="E536" s="92"/>
      <c r="F536" s="92"/>
      <c r="G536" s="92"/>
      <c r="H536" s="92"/>
      <c r="I536" s="92"/>
      <c r="J536" s="92"/>
      <c r="K536" s="92"/>
      <c r="L536" s="92"/>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x14ac:dyDescent="0.25">
      <c r="C537" s="11"/>
      <c r="D537" s="707" t="s">
        <v>612</v>
      </c>
      <c r="E537" s="708" t="s">
        <v>613</v>
      </c>
      <c r="F537" s="707" t="s">
        <v>614</v>
      </c>
      <c r="G537" s="92"/>
      <c r="H537" s="92"/>
      <c r="I537" s="92"/>
      <c r="J537" s="92"/>
      <c r="K537" s="92"/>
      <c r="L537" s="92"/>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x14ac:dyDescent="0.25">
      <c r="C538" s="11"/>
      <c r="D538" s="709" t="s">
        <v>615</v>
      </c>
      <c r="E538" s="710" t="s">
        <v>616</v>
      </c>
      <c r="F538" s="709" t="s">
        <v>617</v>
      </c>
      <c r="G538" s="92"/>
      <c r="H538" s="92"/>
      <c r="I538" s="92"/>
      <c r="J538" s="92"/>
      <c r="K538" s="92"/>
      <c r="L538" s="92"/>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x14ac:dyDescent="0.25">
      <c r="C539" s="11"/>
      <c r="D539" s="709" t="s">
        <v>618</v>
      </c>
      <c r="E539" s="710" t="s">
        <v>619</v>
      </c>
      <c r="F539" s="709" t="s">
        <v>620</v>
      </c>
      <c r="G539" s="92"/>
      <c r="H539" s="92"/>
      <c r="I539" s="92"/>
      <c r="J539" s="92"/>
      <c r="K539" s="92"/>
      <c r="L539" s="92"/>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x14ac:dyDescent="0.25">
      <c r="C540" s="1" t="s">
        <v>621</v>
      </c>
      <c r="D540" s="711">
        <v>60238038</v>
      </c>
      <c r="E540" s="712"/>
      <c r="F540" s="713"/>
      <c r="G540" s="92"/>
      <c r="H540" s="92"/>
      <c r="I540" s="92"/>
      <c r="J540" s="92"/>
      <c r="K540" s="92"/>
      <c r="L540" s="92"/>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x14ac:dyDescent="0.25">
      <c r="C541" s="714" t="s">
        <v>622</v>
      </c>
      <c r="D541" s="715"/>
      <c r="E541" s="716">
        <v>60856434</v>
      </c>
      <c r="F541" s="711">
        <v>61476132</v>
      </c>
      <c r="G541" s="92"/>
      <c r="H541" s="92"/>
      <c r="I541" s="92"/>
      <c r="J541" s="92"/>
      <c r="K541" s="92"/>
      <c r="L541" s="92"/>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x14ac:dyDescent="0.25">
      <c r="C542" s="714" t="s">
        <v>623</v>
      </c>
      <c r="D542" s="715"/>
      <c r="E542" s="717">
        <f>(E541-D540)/D540</f>
        <v>1.0265872205200309E-2</v>
      </c>
      <c r="F542" s="718">
        <f>(F541-D540)/D540</f>
        <v>2.0553358660187437E-2</v>
      </c>
      <c r="G542" s="719">
        <v>2.0553358660187399E-2</v>
      </c>
      <c r="H542" s="92"/>
      <c r="I542" s="92"/>
      <c r="J542" s="92"/>
      <c r="K542" s="92"/>
      <c r="L542" s="92"/>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x14ac:dyDescent="0.25">
      <c r="C543" s="714" t="s">
        <v>624</v>
      </c>
      <c r="D543" s="715"/>
      <c r="E543" s="720"/>
      <c r="F543" s="711">
        <f>D540*(100%+F542)</f>
        <v>61476131.999999993</v>
      </c>
      <c r="G543" s="92"/>
      <c r="H543" s="92"/>
      <c r="I543" s="92"/>
      <c r="J543" s="92"/>
      <c r="K543" s="92"/>
      <c r="L543" s="92"/>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x14ac:dyDescent="0.25">
      <c r="C544" s="714" t="s">
        <v>625</v>
      </c>
      <c r="D544" s="715"/>
      <c r="E544" s="720"/>
      <c r="F544" s="711">
        <f>F543-F541</f>
        <v>0</v>
      </c>
      <c r="G544" s="92"/>
      <c r="H544" s="92"/>
      <c r="I544" s="92"/>
      <c r="J544" s="92"/>
      <c r="K544" s="92"/>
      <c r="L544" s="92"/>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
      <c r="D545" s="92"/>
      <c r="E545" s="92"/>
      <c r="F545" s="92"/>
      <c r="G545" s="92"/>
      <c r="H545" s="92"/>
      <c r="I545" s="92"/>
      <c r="J545" s="92"/>
      <c r="K545" s="92"/>
      <c r="L545" s="92"/>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
      <c r="D546" s="92"/>
      <c r="E546" s="92"/>
      <c r="F546" s="92"/>
      <c r="G546" s="92"/>
      <c r="H546" s="92"/>
      <c r="I546" s="92"/>
      <c r="J546" s="92"/>
      <c r="K546" s="92"/>
      <c r="L546" s="92"/>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
      <c r="A547" s="721"/>
      <c r="B547" s="722"/>
      <c r="C547" s="21" t="s">
        <v>626</v>
      </c>
      <c r="D547" s="152" t="s">
        <v>627</v>
      </c>
      <c r="E547" s="152" t="s">
        <v>628</v>
      </c>
      <c r="F547" s="152" t="s">
        <v>629</v>
      </c>
      <c r="G547" s="152" t="s">
        <v>630</v>
      </c>
      <c r="H547" s="152" t="s">
        <v>631</v>
      </c>
      <c r="I547" s="152" t="s">
        <v>632</v>
      </c>
      <c r="J547" s="529" t="s">
        <v>633</v>
      </c>
      <c r="K547" s="532" t="s">
        <v>634</v>
      </c>
      <c r="L547" s="357" t="s">
        <v>635</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
      <c r="A548" s="723" t="s">
        <v>636</v>
      </c>
      <c r="C548" s="21" t="s">
        <v>637</v>
      </c>
      <c r="D548" s="818" t="s">
        <v>638</v>
      </c>
      <c r="E548" s="819"/>
      <c r="F548" s="819"/>
      <c r="G548" s="819"/>
      <c r="H548" s="819"/>
      <c r="I548" s="820"/>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
      <c r="A549" s="723" t="s">
        <v>636</v>
      </c>
      <c r="B549" s="11">
        <v>0</v>
      </c>
      <c r="C549" s="151" t="s">
        <v>639</v>
      </c>
      <c r="D549" s="155"/>
      <c r="E549" s="155"/>
      <c r="F549" s="155"/>
      <c r="G549" s="155"/>
      <c r="H549" s="155"/>
      <c r="I549" s="155"/>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
      <c r="A550" s="723" t="s">
        <v>636</v>
      </c>
      <c r="B550" s="11">
        <v>1</v>
      </c>
      <c r="C550" s="151" t="s">
        <v>640</v>
      </c>
      <c r="D550" s="155"/>
      <c r="E550" s="155">
        <v>1.0090702843828887</v>
      </c>
      <c r="F550" s="155">
        <v>1.0170393771683619</v>
      </c>
      <c r="G550" s="155">
        <v>1.0238793000184203</v>
      </c>
      <c r="H550" s="155">
        <v>1.0295635385778663</v>
      </c>
      <c r="I550" s="155">
        <v>1.0351195322438309</v>
      </c>
      <c r="J550" s="530">
        <f>(I550-100%)/5</f>
        <v>7.0239064487661821E-3</v>
      </c>
      <c r="K550" s="533">
        <f t="shared" ref="K550:K563" si="134">(I550/100%)^(1/5)-1</f>
        <v>6.9272652964273984E-3</v>
      </c>
      <c r="L550" s="528">
        <v>6.9272652964273984E-3</v>
      </c>
      <c r="M550" s="524"/>
      <c r="N550" s="524"/>
      <c r="O550" s="525"/>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
      <c r="A551" s="723" t="s">
        <v>636</v>
      </c>
      <c r="B551" s="11">
        <v>2</v>
      </c>
      <c r="C551" s="151" t="s">
        <v>641</v>
      </c>
      <c r="D551" s="155"/>
      <c r="E551" s="155">
        <v>0.96173452499784384</v>
      </c>
      <c r="F551" s="155">
        <v>0.949547172001034</v>
      </c>
      <c r="G551" s="155">
        <v>0.93849673400054612</v>
      </c>
      <c r="H551" s="155">
        <v>0.92766778564091124</v>
      </c>
      <c r="I551" s="155">
        <v>0.91680012001884892</v>
      </c>
      <c r="J551" s="530">
        <f t="shared" ref="J551:J563" si="135">(I551-100%)/5</f>
        <v>-1.6639975996230218E-2</v>
      </c>
      <c r="K551" s="533">
        <f t="shared" si="134"/>
        <v>-1.7223117235316776E-2</v>
      </c>
      <c r="L551" s="528">
        <v>-1.7223117235316776E-2</v>
      </c>
      <c r="M551" s="524"/>
      <c r="N551" s="524"/>
      <c r="O551" s="525"/>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
      <c r="A552" s="723" t="s">
        <v>636</v>
      </c>
      <c r="B552" s="11">
        <v>3</v>
      </c>
      <c r="C552" s="151" t="s">
        <v>642</v>
      </c>
      <c r="D552" s="155"/>
      <c r="E552" s="155">
        <v>1.0707061745580608</v>
      </c>
      <c r="F552" s="155">
        <v>1.0961797739954167</v>
      </c>
      <c r="G552" s="155">
        <v>1.1120352164720533</v>
      </c>
      <c r="H552" s="155">
        <v>1.1172916519636134</v>
      </c>
      <c r="I552" s="155">
        <v>1.1228072524832799</v>
      </c>
      <c r="J552" s="530">
        <f t="shared" si="135"/>
        <v>2.4561450496655989E-2</v>
      </c>
      <c r="K552" s="533">
        <f t="shared" si="134"/>
        <v>2.3436830336478032E-2</v>
      </c>
      <c r="L552" s="528">
        <v>2.3436830336478E-2</v>
      </c>
      <c r="M552" s="524"/>
      <c r="N552" s="524"/>
      <c r="O552" s="525"/>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
      <c r="A553" s="723" t="s">
        <v>636</v>
      </c>
      <c r="B553" s="11">
        <v>4</v>
      </c>
      <c r="C553" s="151" t="s">
        <v>643</v>
      </c>
      <c r="D553" s="155"/>
      <c r="E553" s="155">
        <v>0.99704312080608826</v>
      </c>
      <c r="F553" s="155">
        <v>0.99705853203848904</v>
      </c>
      <c r="G553" s="155">
        <v>0.99472603914083957</v>
      </c>
      <c r="H553" s="155">
        <v>0.9891090180954597</v>
      </c>
      <c r="I553" s="155">
        <v>0.98354979851924307</v>
      </c>
      <c r="J553" s="530">
        <f t="shared" si="135"/>
        <v>-3.2900402961513866E-3</v>
      </c>
      <c r="K553" s="533">
        <f t="shared" si="134"/>
        <v>-3.3119051937137156E-3</v>
      </c>
      <c r="L553" s="528">
        <v>-3.3119051937137156E-3</v>
      </c>
      <c r="M553" s="524"/>
      <c r="N553" s="524"/>
      <c r="O553" s="525"/>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
      <c r="A554" s="723" t="s">
        <v>636</v>
      </c>
      <c r="B554" s="11">
        <v>5</v>
      </c>
      <c r="C554" s="151" t="s">
        <v>644</v>
      </c>
      <c r="D554" s="155"/>
      <c r="E554" s="155">
        <v>0.99263087643060499</v>
      </c>
      <c r="F554" s="155">
        <v>0.99530151668079492</v>
      </c>
      <c r="G554" s="155">
        <v>0.99708461172748208</v>
      </c>
      <c r="H554" s="155">
        <v>0.99857946574262668</v>
      </c>
      <c r="I554" s="155">
        <v>1.0006058081967233</v>
      </c>
      <c r="J554" s="530">
        <f t="shared" si="135"/>
        <v>1.2116163934465796E-4</v>
      </c>
      <c r="K554" s="533">
        <f t="shared" si="134"/>
        <v>1.2113228972654433E-4</v>
      </c>
      <c r="L554" s="528">
        <v>1.2113228972654433E-4</v>
      </c>
      <c r="M554" s="524"/>
      <c r="N554" s="524"/>
      <c r="O554" s="525"/>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
      <c r="A555" s="723" t="s">
        <v>636</v>
      </c>
      <c r="B555" s="11">
        <v>6</v>
      </c>
      <c r="C555" s="522" t="s">
        <v>645</v>
      </c>
      <c r="D555" s="523"/>
      <c r="E555" s="523">
        <v>1.0123419501207302</v>
      </c>
      <c r="F555" s="523">
        <v>1.0224746276334522</v>
      </c>
      <c r="G555" s="523">
        <v>1.0318096590054313</v>
      </c>
      <c r="H555" s="523">
        <v>1.040568100689119</v>
      </c>
      <c r="I555" s="523">
        <v>1.0491476885800255</v>
      </c>
      <c r="J555" s="540">
        <f t="shared" si="135"/>
        <v>9.8295377160050983E-3</v>
      </c>
      <c r="K555" s="541">
        <f t="shared" si="134"/>
        <v>9.641807463928842E-3</v>
      </c>
      <c r="L555" s="724">
        <v>9.6418074639288403E-3</v>
      </c>
      <c r="M555" s="524"/>
      <c r="N555" s="524"/>
      <c r="O555" s="525"/>
      <c r="P555" s="13"/>
      <c r="Q555" s="526"/>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
      <c r="A556" s="723" t="s">
        <v>636</v>
      </c>
      <c r="B556" s="11">
        <v>7</v>
      </c>
      <c r="C556" s="151" t="s">
        <v>646</v>
      </c>
      <c r="D556" s="155"/>
      <c r="E556" s="155">
        <v>1.0234861902526262</v>
      </c>
      <c r="F556" s="155">
        <v>1.0362595252458171</v>
      </c>
      <c r="G556" s="155">
        <v>1.0484007089616401</v>
      </c>
      <c r="H556" s="155">
        <v>1.0594741481215733</v>
      </c>
      <c r="I556" s="155">
        <v>1.0705464348984648</v>
      </c>
      <c r="J556" s="530">
        <f t="shared" si="135"/>
        <v>1.4109286979692959E-2</v>
      </c>
      <c r="K556" s="533">
        <f t="shared" si="134"/>
        <v>1.372720562144969E-2</v>
      </c>
      <c r="L556" s="528">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
      <c r="A557" s="723" t="s">
        <v>636</v>
      </c>
      <c r="B557" s="11">
        <v>8</v>
      </c>
      <c r="C557" s="151" t="s">
        <v>647</v>
      </c>
      <c r="D557" s="155"/>
      <c r="E557" s="155">
        <v>1.0327181385810218</v>
      </c>
      <c r="F557" s="155">
        <v>1.0462000918268668</v>
      </c>
      <c r="G557" s="155">
        <v>1.0579618766687933</v>
      </c>
      <c r="H557" s="155">
        <v>1.0679645783102321</v>
      </c>
      <c r="I557" s="155">
        <v>1.0772361012999514</v>
      </c>
      <c r="J557" s="530">
        <f t="shared" si="135"/>
        <v>1.544722025999028E-2</v>
      </c>
      <c r="K557" s="533">
        <f t="shared" si="134"/>
        <v>1.4990973227517745E-2</v>
      </c>
      <c r="L557" s="528">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
      <c r="A558" s="723" t="s">
        <v>636</v>
      </c>
      <c r="B558" s="11">
        <v>9</v>
      </c>
      <c r="C558" s="151" t="s">
        <v>648</v>
      </c>
      <c r="D558" s="155"/>
      <c r="E558" s="155">
        <v>1.0231841082591016</v>
      </c>
      <c r="F558" s="155">
        <v>1.0358890289056439</v>
      </c>
      <c r="G558" s="155">
        <v>1.0481652070229122</v>
      </c>
      <c r="H558" s="155">
        <v>1.0592891805745575</v>
      </c>
      <c r="I558" s="155">
        <v>1.069681907109314</v>
      </c>
      <c r="J558" s="530">
        <f t="shared" si="135"/>
        <v>1.3936381421862798E-2</v>
      </c>
      <c r="K558" s="533">
        <f t="shared" si="134"/>
        <v>1.3563424108683053E-2</v>
      </c>
      <c r="L558" s="528">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
      <c r="A559" s="723" t="s">
        <v>636</v>
      </c>
      <c r="B559" s="11">
        <v>10</v>
      </c>
      <c r="C559" s="151" t="s">
        <v>649</v>
      </c>
      <c r="D559" s="155"/>
      <c r="E559" s="155">
        <v>1.0341666734322146</v>
      </c>
      <c r="F559" s="155">
        <v>1.0480179725760268</v>
      </c>
      <c r="G559" s="155">
        <v>1.0601012155156095</v>
      </c>
      <c r="H559" s="155">
        <v>1.0702848288878077</v>
      </c>
      <c r="I559" s="155">
        <v>1.0797421461131422</v>
      </c>
      <c r="J559" s="530">
        <f t="shared" si="135"/>
        <v>1.5948429222628447E-2</v>
      </c>
      <c r="K559" s="533">
        <f t="shared" si="134"/>
        <v>1.5462782371323147E-2</v>
      </c>
      <c r="L559" s="528">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
      <c r="A560" s="723" t="s">
        <v>636</v>
      </c>
      <c r="B560" s="11">
        <v>11</v>
      </c>
      <c r="C560" s="151" t="s">
        <v>650</v>
      </c>
      <c r="D560" s="155"/>
      <c r="E560" s="155">
        <v>1.0233409873632719</v>
      </c>
      <c r="F560" s="155">
        <v>1.0360814373748364</v>
      </c>
      <c r="G560" s="155">
        <v>1.0482875093579402</v>
      </c>
      <c r="H560" s="155">
        <v>1.0593852390742311</v>
      </c>
      <c r="I560" s="155">
        <v>1.0701308790705675</v>
      </c>
      <c r="J560" s="530">
        <f t="shared" si="135"/>
        <v>1.4026175814113495E-2</v>
      </c>
      <c r="K560" s="533">
        <f t="shared" si="134"/>
        <v>1.364849335671825E-2</v>
      </c>
      <c r="L560" s="528">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
      <c r="A561" s="723" t="s">
        <v>636</v>
      </c>
      <c r="B561" s="11">
        <v>12</v>
      </c>
      <c r="C561" s="151" t="s">
        <v>651</v>
      </c>
      <c r="D561" s="155"/>
      <c r="E561" s="155">
        <v>1.0334066911438702</v>
      </c>
      <c r="F561" s="155">
        <v>1.0470642108004322</v>
      </c>
      <c r="G561" s="155">
        <v>1.0589787988674986</v>
      </c>
      <c r="H561" s="155">
        <v>1.0690674958412283</v>
      </c>
      <c r="I561" s="155">
        <v>1.0784273350333435</v>
      </c>
      <c r="J561" s="530">
        <f t="shared" si="135"/>
        <v>1.5685467006668709E-2</v>
      </c>
      <c r="K561" s="533">
        <f t="shared" si="134"/>
        <v>1.5215354312122953E-2</v>
      </c>
      <c r="L561" s="528">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
      <c r="A562" s="723" t="s">
        <v>636</v>
      </c>
      <c r="B562" s="11">
        <v>13</v>
      </c>
      <c r="C562" s="151" t="s">
        <v>652</v>
      </c>
      <c r="D562" s="155"/>
      <c r="E562" s="155">
        <v>1.0535754755454367</v>
      </c>
      <c r="F562" s="155">
        <v>1.079128927735721</v>
      </c>
      <c r="G562" s="155">
        <v>1.10377830980113</v>
      </c>
      <c r="H562" s="155">
        <v>1.1267313398994689</v>
      </c>
      <c r="I562" s="155">
        <v>1.1493400902365778</v>
      </c>
      <c r="J562" s="530">
        <f t="shared" si="135"/>
        <v>2.9868018047315557E-2</v>
      </c>
      <c r="K562" s="533">
        <f t="shared" si="134"/>
        <v>2.8228674820024224E-2</v>
      </c>
      <c r="L562" s="528">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
      <c r="A563" s="58"/>
      <c r="B563" s="424">
        <v>14</v>
      </c>
      <c r="C563" s="151" t="s">
        <v>653</v>
      </c>
      <c r="D563" s="155"/>
      <c r="E563" s="155">
        <v>1.0081055095898279</v>
      </c>
      <c r="F563" s="155">
        <v>1.0157451629461605</v>
      </c>
      <c r="G563" s="155">
        <v>1.0222827798035592</v>
      </c>
      <c r="H563" s="155">
        <v>1.0276922014787842</v>
      </c>
      <c r="I563" s="155">
        <v>1.032997413899986</v>
      </c>
      <c r="J563" s="530">
        <f t="shared" si="135"/>
        <v>6.5994827799972008E-3</v>
      </c>
      <c r="K563" s="533">
        <f t="shared" si="134"/>
        <v>6.5140621434043311E-3</v>
      </c>
      <c r="L563" s="528">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
      <c r="B564" s="11">
        <v>15</v>
      </c>
      <c r="C564" s="151"/>
      <c r="D564" s="155"/>
      <c r="E564" s="155"/>
      <c r="F564" s="155"/>
      <c r="G564" s="155"/>
      <c r="H564" s="155"/>
      <c r="I564" s="155"/>
      <c r="J564" s="531" t="s">
        <v>654</v>
      </c>
      <c r="K564" s="6"/>
      <c r="L564" s="356" t="s">
        <v>655</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
      <c r="E565" s="15"/>
      <c r="L565" s="356" t="s">
        <v>656</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
      <c r="E566" s="15"/>
      <c r="L566" s="356" t="s">
        <v>657</v>
      </c>
      <c r="M566" s="13"/>
      <c r="N566" s="13"/>
      <c r="O566" s="13"/>
      <c r="P566" s="13"/>
      <c r="Q566" s="13"/>
      <c r="R566" s="527"/>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
      <c r="C567" s="542" t="s">
        <v>658</v>
      </c>
      <c r="E567" s="15"/>
      <c r="L567" s="356" t="s">
        <v>659</v>
      </c>
      <c r="M567" s="13"/>
      <c r="N567" s="13"/>
      <c r="O567" s="13"/>
      <c r="P567" s="13"/>
      <c r="Q567" s="13"/>
      <c r="R567" s="527"/>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
      <c r="E568" s="15"/>
      <c r="L568" s="356" t="s">
        <v>660</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
      <c r="E569" s="15"/>
      <c r="L569" s="356"/>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
      <c r="C570" s="11"/>
      <c r="L570" s="356" t="s">
        <v>661</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x14ac:dyDescent="0.25">
      <c r="C571" s="11"/>
      <c r="L571" s="356" t="s">
        <v>662</v>
      </c>
      <c r="M571" s="13"/>
      <c r="N571" s="13"/>
      <c r="O571" s="725"/>
      <c r="P571" s="726" t="s">
        <v>663</v>
      </c>
      <c r="Q571" s="727"/>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8.5" x14ac:dyDescent="0.2">
      <c r="C572" s="11"/>
      <c r="M572" s="13"/>
      <c r="N572" s="13"/>
      <c r="O572" s="728" t="s">
        <v>633</v>
      </c>
      <c r="P572" s="728" t="s">
        <v>634</v>
      </c>
      <c r="Q572" s="729" t="s">
        <v>664</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
      <c r="A573" s="721"/>
      <c r="B573" s="722"/>
      <c r="C573" s="151" t="s">
        <v>640</v>
      </c>
      <c r="D573" s="730"/>
      <c r="E573" s="155">
        <v>1.0090702843828887</v>
      </c>
      <c r="F573" s="155">
        <v>1.0170393771683619</v>
      </c>
      <c r="G573" s="155">
        <v>1.0238793000184203</v>
      </c>
      <c r="H573" s="155">
        <v>1.0295635385778663</v>
      </c>
      <c r="I573" s="155">
        <v>1.0351195322438309</v>
      </c>
      <c r="J573" s="155">
        <v>1.0405457031681826</v>
      </c>
      <c r="K573" s="155">
        <v>1.0458422140156769</v>
      </c>
      <c r="L573" s="155">
        <v>1.0510151972476083</v>
      </c>
      <c r="M573" s="155">
        <v>1.0560652872565244</v>
      </c>
      <c r="N573" s="155">
        <v>1.0609963391971375</v>
      </c>
      <c r="O573" s="530">
        <f>(N573-100%)/10</f>
        <v>6.0996339197137541E-3</v>
      </c>
      <c r="P573" s="533">
        <f>(N573/100%)^(1/10)-1</f>
        <v>5.9384037531065026E-3</v>
      </c>
      <c r="Q573" s="731">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
      <c r="A574" s="723" t="s">
        <v>665</v>
      </c>
      <c r="C574" s="151" t="s">
        <v>641</v>
      </c>
      <c r="D574" s="730"/>
      <c r="E574" s="155">
        <v>0.96173452499784384</v>
      </c>
      <c r="F574" s="155">
        <v>0.949547172001034</v>
      </c>
      <c r="G574" s="155">
        <v>0.93849673400054612</v>
      </c>
      <c r="H574" s="155">
        <v>0.92766778564091124</v>
      </c>
      <c r="I574" s="155">
        <v>0.91680012001884892</v>
      </c>
      <c r="J574" s="155">
        <v>0.92160605208729784</v>
      </c>
      <c r="K574" s="155">
        <v>0.92629714488325532</v>
      </c>
      <c r="L574" s="155">
        <v>0.93087882989658866</v>
      </c>
      <c r="M574" s="155">
        <v>0.93535166900555988</v>
      </c>
      <c r="N574" s="155">
        <v>0.93971907670114618</v>
      </c>
      <c r="O574" s="530">
        <f t="shared" ref="O574:O586" si="136">(N574-100%)/10</f>
        <v>-6.0280923298853817E-3</v>
      </c>
      <c r="P574" s="533">
        <f t="shared" ref="P574:P586" si="137">(N574/100%)^(1/10)-1</f>
        <v>-6.1981420710855994E-3</v>
      </c>
      <c r="Q574" s="731">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
      <c r="A575" s="723" t="s">
        <v>665</v>
      </c>
      <c r="C575" s="151" t="s">
        <v>642</v>
      </c>
      <c r="D575" s="730"/>
      <c r="E575" s="155">
        <v>1.0707061745580608</v>
      </c>
      <c r="F575" s="155">
        <v>1.0961797739954167</v>
      </c>
      <c r="G575" s="155">
        <v>1.1120352164720533</v>
      </c>
      <c r="H575" s="155">
        <v>1.1172916519636134</v>
      </c>
      <c r="I575" s="155">
        <v>1.1228072524832799</v>
      </c>
      <c r="J575" s="155">
        <v>1.1286930887343545</v>
      </c>
      <c r="K575" s="155">
        <v>1.1344382810596616</v>
      </c>
      <c r="L575" s="155">
        <v>1.140049481417553</v>
      </c>
      <c r="M575" s="155">
        <v>1.145527377941651</v>
      </c>
      <c r="N575" s="155">
        <v>1.1508761523670457</v>
      </c>
      <c r="O575" s="530">
        <f t="shared" si="136"/>
        <v>1.5087615236704566E-2</v>
      </c>
      <c r="P575" s="533">
        <f t="shared" si="137"/>
        <v>1.4151550808456648E-2</v>
      </c>
      <c r="Q575" s="731">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
      <c r="A576" s="723" t="s">
        <v>665</v>
      </c>
      <c r="C576" s="151" t="s">
        <v>643</v>
      </c>
      <c r="D576" s="730"/>
      <c r="E576" s="155">
        <v>0.99704312080608826</v>
      </c>
      <c r="F576" s="155">
        <v>0.99705853203848904</v>
      </c>
      <c r="G576" s="155">
        <v>0.99472603914083957</v>
      </c>
      <c r="H576" s="155">
        <v>0.9891090180954597</v>
      </c>
      <c r="I576" s="155">
        <v>0.98354979851924307</v>
      </c>
      <c r="J576" s="155">
        <v>0.98870563719596893</v>
      </c>
      <c r="K576" s="155">
        <v>0.99373827547071536</v>
      </c>
      <c r="L576" s="155">
        <v>0.99865354028508957</v>
      </c>
      <c r="M576" s="155">
        <v>1.0034520344261542</v>
      </c>
      <c r="N576" s="155">
        <v>1.0081374209845206</v>
      </c>
      <c r="O576" s="530">
        <f t="shared" si="136"/>
        <v>8.1374209845206378E-4</v>
      </c>
      <c r="P576" s="533">
        <f t="shared" si="137"/>
        <v>8.1077757246905691E-4</v>
      </c>
      <c r="Q576" s="731">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
      <c r="A577" s="723" t="s">
        <v>665</v>
      </c>
      <c r="C577" s="151" t="s">
        <v>644</v>
      </c>
      <c r="D577" s="730"/>
      <c r="E577" s="155">
        <v>0.99263087643060499</v>
      </c>
      <c r="F577" s="155">
        <v>0.99530151668079492</v>
      </c>
      <c r="G577" s="155">
        <v>0.99708461172748208</v>
      </c>
      <c r="H577" s="155">
        <v>0.99857946574262668</v>
      </c>
      <c r="I577" s="155">
        <v>1.0006058081967233</v>
      </c>
      <c r="J577" s="155">
        <v>1.0058510557010429</v>
      </c>
      <c r="K577" s="155">
        <v>1.0109709663510638</v>
      </c>
      <c r="L577" s="155">
        <v>1.0159714681350021</v>
      </c>
      <c r="M577" s="155">
        <v>1.0208531742930185</v>
      </c>
      <c r="N577" s="155">
        <v>1.0256198114383941</v>
      </c>
      <c r="O577" s="530">
        <f t="shared" si="136"/>
        <v>2.5619811438394092E-3</v>
      </c>
      <c r="P577" s="533">
        <f t="shared" si="137"/>
        <v>2.5329148145079028E-3</v>
      </c>
      <c r="Q577" s="731">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
      <c r="A578" s="723" t="s">
        <v>665</v>
      </c>
      <c r="C578" s="522" t="s">
        <v>645</v>
      </c>
      <c r="D578" s="523"/>
      <c r="E578" s="523">
        <v>1.0123419501207302</v>
      </c>
      <c r="F578" s="523">
        <v>1.0224746276334522</v>
      </c>
      <c r="G578" s="523">
        <v>1.0318096590054313</v>
      </c>
      <c r="H578" s="523">
        <v>1.040568100689119</v>
      </c>
      <c r="I578" s="523">
        <v>1.0491476885800255</v>
      </c>
      <c r="J578" s="523">
        <v>1.0546473961073131</v>
      </c>
      <c r="K578" s="523">
        <v>1.0600156863772707</v>
      </c>
      <c r="L578" s="523">
        <v>1.0652587749595908</v>
      </c>
      <c r="M578" s="523">
        <v>1.0703773048442411</v>
      </c>
      <c r="N578" s="523">
        <v>1.0753751834317971</v>
      </c>
      <c r="O578" s="540">
        <f t="shared" si="136"/>
        <v>7.5375183431797051E-3</v>
      </c>
      <c r="P578" s="541">
        <f t="shared" si="137"/>
        <v>7.2934292896156272E-3</v>
      </c>
      <c r="Q578" s="541">
        <v>7.2934292896156298E-3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
      <c r="A579" s="723" t="s">
        <v>665</v>
      </c>
      <c r="C579" s="151" t="s">
        <v>646</v>
      </c>
      <c r="D579" s="730"/>
      <c r="E579" s="155">
        <v>1.0234861902526262</v>
      </c>
      <c r="F579" s="155">
        <v>1.0362595252458171</v>
      </c>
      <c r="G579" s="155">
        <v>1.0484007089616401</v>
      </c>
      <c r="H579" s="155">
        <v>1.0594741481215733</v>
      </c>
      <c r="I579" s="155">
        <v>1.0705464348984648</v>
      </c>
      <c r="J579" s="155">
        <v>1.0761583161906882</v>
      </c>
      <c r="K579" s="155">
        <v>1.0816360997978576</v>
      </c>
      <c r="L579" s="155">
        <v>1.0869861280643798</v>
      </c>
      <c r="M579" s="155">
        <v>1.0922090570948486</v>
      </c>
      <c r="N579" s="155">
        <v>1.0973088739864103</v>
      </c>
      <c r="O579" s="530">
        <f t="shared" si="136"/>
        <v>9.7308873986410305E-3</v>
      </c>
      <c r="P579" s="533">
        <f t="shared" si="137"/>
        <v>9.3293197294876951E-3</v>
      </c>
      <c r="Q579" s="731">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
      <c r="A580" s="723" t="s">
        <v>665</v>
      </c>
      <c r="C580" s="151" t="s">
        <v>647</v>
      </c>
      <c r="D580" s="730"/>
      <c r="E580" s="155">
        <v>1.0327181385810218</v>
      </c>
      <c r="F580" s="155">
        <v>1.0462000918268668</v>
      </c>
      <c r="G580" s="155">
        <v>1.0579618766687933</v>
      </c>
      <c r="H580" s="155">
        <v>1.0679645783102321</v>
      </c>
      <c r="I580" s="155">
        <v>1.0772361012999514</v>
      </c>
      <c r="J580" s="155">
        <v>1.0828830503038651</v>
      </c>
      <c r="K580" s="155">
        <v>1.0883950636686206</v>
      </c>
      <c r="L580" s="155">
        <v>1.0937785233708797</v>
      </c>
      <c r="M580" s="155">
        <v>1.0990340896151238</v>
      </c>
      <c r="N580" s="155">
        <v>1.1041657744132061</v>
      </c>
      <c r="O580" s="530">
        <f t="shared" si="136"/>
        <v>1.0416577441320607E-2</v>
      </c>
      <c r="P580" s="533">
        <f t="shared" si="137"/>
        <v>9.95826625164975E-3</v>
      </c>
      <c r="Q580" s="731">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
      <c r="A581" s="723" t="s">
        <v>665</v>
      </c>
      <c r="C581" s="151" t="s">
        <v>648</v>
      </c>
      <c r="D581" s="730"/>
      <c r="E581" s="155">
        <v>1.0231841082591016</v>
      </c>
      <c r="F581" s="155">
        <v>1.0358890289056439</v>
      </c>
      <c r="G581" s="155">
        <v>1.0481652070229122</v>
      </c>
      <c r="H581" s="155">
        <v>1.0592891805745575</v>
      </c>
      <c r="I581" s="155">
        <v>1.069681907109314</v>
      </c>
      <c r="J581" s="155">
        <v>1.0752892564847816</v>
      </c>
      <c r="K581" s="155">
        <v>1.0807626164667843</v>
      </c>
      <c r="L581" s="155">
        <v>1.0861083242779219</v>
      </c>
      <c r="M581" s="155">
        <v>1.0913270354929456</v>
      </c>
      <c r="N581" s="155">
        <v>1.0964227339891921</v>
      </c>
      <c r="O581" s="530">
        <f t="shared" si="136"/>
        <v>9.64227339891921E-3</v>
      </c>
      <c r="P581" s="533">
        <f t="shared" si="137"/>
        <v>9.2477809488915597E-3</v>
      </c>
      <c r="Q581" s="731">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
      <c r="A582" s="723" t="s">
        <v>665</v>
      </c>
      <c r="C582" s="151" t="s">
        <v>649</v>
      </c>
      <c r="D582" s="730"/>
      <c r="E582" s="155">
        <v>1.0341666734322146</v>
      </c>
      <c r="F582" s="155">
        <v>1.0480179725760268</v>
      </c>
      <c r="G582" s="155">
        <v>1.0601012155156095</v>
      </c>
      <c r="H582" s="155">
        <v>1.0702848288878077</v>
      </c>
      <c r="I582" s="155">
        <v>1.0797421461131422</v>
      </c>
      <c r="J582" s="155">
        <v>1.0854022319839363</v>
      </c>
      <c r="K582" s="155">
        <v>1.0909270683059678</v>
      </c>
      <c r="L582" s="155">
        <v>1.0963230519027078</v>
      </c>
      <c r="M582" s="155">
        <v>1.1015908445145153</v>
      </c>
      <c r="N582" s="155">
        <v>1.1067344674866482</v>
      </c>
      <c r="O582" s="530">
        <f t="shared" si="136"/>
        <v>1.0673446748664817E-2</v>
      </c>
      <c r="P582" s="533">
        <f t="shared" si="137"/>
        <v>1.0192973847719333E-2</v>
      </c>
      <c r="Q582" s="731">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
      <c r="A583" s="723" t="s">
        <v>665</v>
      </c>
      <c r="C583" s="151" t="s">
        <v>650</v>
      </c>
      <c r="D583" s="730"/>
      <c r="E583" s="155">
        <v>1.0233409873632719</v>
      </c>
      <c r="F583" s="155">
        <v>1.0360814373748364</v>
      </c>
      <c r="G583" s="155">
        <v>1.0482875093579402</v>
      </c>
      <c r="H583" s="155">
        <v>1.0593852390742311</v>
      </c>
      <c r="I583" s="155">
        <v>1.0701308790705675</v>
      </c>
      <c r="J583" s="155">
        <v>1.0757405819892984</v>
      </c>
      <c r="K583" s="155">
        <v>1.0812162392759013</v>
      </c>
      <c r="L583" s="155">
        <v>1.0865641908128645</v>
      </c>
      <c r="M583" s="155">
        <v>1.0917850924501005</v>
      </c>
      <c r="N583" s="155">
        <v>1.0968829297370777</v>
      </c>
      <c r="O583" s="530">
        <f t="shared" si="136"/>
        <v>9.6882929737077683E-3</v>
      </c>
      <c r="P583" s="533">
        <f t="shared" si="137"/>
        <v>9.2901335764377091E-3</v>
      </c>
      <c r="Q583" s="731">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
      <c r="A584" s="723" t="s">
        <v>665</v>
      </c>
      <c r="C584" s="151" t="s">
        <v>651</v>
      </c>
      <c r="D584" s="730"/>
      <c r="E584" s="155">
        <v>1.0334066911438702</v>
      </c>
      <c r="F584" s="155">
        <v>1.0470642108004322</v>
      </c>
      <c r="G584" s="155">
        <v>1.0589787988674986</v>
      </c>
      <c r="H584" s="155">
        <v>1.0690674958412283</v>
      </c>
      <c r="I584" s="155">
        <v>1.0784273350333435</v>
      </c>
      <c r="J584" s="155">
        <v>1.0840805285700352</v>
      </c>
      <c r="K584" s="155">
        <v>1.0895986372524757</v>
      </c>
      <c r="L584" s="155">
        <v>1.0949880501146705</v>
      </c>
      <c r="M584" s="155">
        <v>1.1002494280911717</v>
      </c>
      <c r="N584" s="155">
        <v>1.1053867876304115</v>
      </c>
      <c r="O584" s="530">
        <f t="shared" si="136"/>
        <v>1.0538678763041154E-2</v>
      </c>
      <c r="P584" s="533">
        <f t="shared" si="137"/>
        <v>1.0069894342066732E-2</v>
      </c>
      <c r="Q584" s="731">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
      <c r="A585" s="723" t="s">
        <v>665</v>
      </c>
      <c r="C585" s="151" t="s">
        <v>652</v>
      </c>
      <c r="D585" s="730"/>
      <c r="E585" s="155">
        <v>1.0535754755454367</v>
      </c>
      <c r="F585" s="155">
        <v>1.079128927735721</v>
      </c>
      <c r="G585" s="155">
        <v>1.10377830980113</v>
      </c>
      <c r="H585" s="155">
        <v>1.1267313398994689</v>
      </c>
      <c r="I585" s="155">
        <v>1.1493400902365778</v>
      </c>
      <c r="J585" s="155">
        <v>1.1553650135285909</v>
      </c>
      <c r="K585" s="155">
        <v>1.1612459693658381</v>
      </c>
      <c r="L585" s="155">
        <v>1.1669897668977929</v>
      </c>
      <c r="M585" s="155">
        <v>1.1725971105192283</v>
      </c>
      <c r="N585" s="155">
        <v>1.1780722807829951</v>
      </c>
      <c r="O585" s="530">
        <f t="shared" si="136"/>
        <v>1.7807228078299507E-2</v>
      </c>
      <c r="P585" s="533">
        <f t="shared" si="137"/>
        <v>1.6522963134986579E-2</v>
      </c>
      <c r="Q585" s="731">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
      <c r="A586" s="58"/>
      <c r="B586" s="424"/>
      <c r="C586" s="151" t="s">
        <v>653</v>
      </c>
      <c r="D586" s="730"/>
      <c r="E586" s="155">
        <v>1.0081055095898279</v>
      </c>
      <c r="F586" s="155">
        <v>1.0157451629461605</v>
      </c>
      <c r="G586" s="155">
        <v>1.0222827798035592</v>
      </c>
      <c r="H586" s="155">
        <v>1.0276922014787842</v>
      </c>
      <c r="I586" s="155">
        <v>1.032997413899986</v>
      </c>
      <c r="J586" s="155">
        <v>1.0384124605275808</v>
      </c>
      <c r="K586" s="155">
        <v>1.0436981128969209</v>
      </c>
      <c r="L586" s="155">
        <v>1.0488604908970247</v>
      </c>
      <c r="M586" s="155">
        <v>1.053900227619859</v>
      </c>
      <c r="N586" s="155">
        <v>1.0588211703166104</v>
      </c>
      <c r="O586" s="530">
        <f t="shared" si="136"/>
        <v>5.8821170316610384E-3</v>
      </c>
      <c r="P586" s="533">
        <f t="shared" si="137"/>
        <v>5.7319838926312983E-3</v>
      </c>
      <c r="Q586" s="731">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
      <c r="C587" s="11"/>
      <c r="E587" s="15"/>
      <c r="M587" s="13"/>
      <c r="N587" s="13"/>
      <c r="O587" s="531" t="s">
        <v>654</v>
      </c>
      <c r="P587" s="531" t="s">
        <v>654</v>
      </c>
      <c r="Q587" s="732"/>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
      <c r="C588" s="11"/>
      <c r="E588" s="15"/>
      <c r="M588" s="13"/>
      <c r="N588" s="13"/>
      <c r="O588" s="531" t="s">
        <v>666</v>
      </c>
      <c r="P588" s="531" t="s">
        <v>666</v>
      </c>
      <c r="Q588" s="732"/>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
      <c r="C589" s="11"/>
      <c r="E589" s="15"/>
      <c r="M589" s="13"/>
      <c r="N589" s="13"/>
      <c r="O589" s="13"/>
      <c r="P589" s="13"/>
      <c r="Q589" s="732" t="s">
        <v>661</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
      <c r="E590" s="15"/>
      <c r="M590" s="13"/>
      <c r="N590" s="13"/>
      <c r="O590" s="13"/>
      <c r="P590" s="13"/>
      <c r="Q590" s="732" t="s">
        <v>662</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
      <c r="N653" s="1"/>
      <c r="O653" s="1"/>
      <c r="P653" s="1"/>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
      <c r="N654" s="1"/>
      <c r="O654" s="1"/>
      <c r="P654" s="1"/>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
      <c r="N655" s="1"/>
      <c r="O655" s="1"/>
      <c r="P655" s="1"/>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
      <c r="N656" s="1"/>
      <c r="O656" s="1"/>
      <c r="P656" s="1"/>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
      <c r="N657" s="1"/>
      <c r="O657" s="1"/>
      <c r="P657" s="1"/>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
      <c r="N658" s="1"/>
      <c r="O658" s="1"/>
      <c r="P658" s="1"/>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
      <c r="N659" s="1"/>
      <c r="O659" s="1"/>
      <c r="P659" s="1"/>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
      <c r="N660" s="1"/>
      <c r="O660" s="1"/>
      <c r="P660" s="1"/>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
      <c r="N661" s="1"/>
      <c r="O661" s="1"/>
      <c r="P661" s="1"/>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
      <c r="N662" s="1"/>
      <c r="O662" s="1"/>
      <c r="P662" s="1"/>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
      <c r="N663" s="1"/>
      <c r="O663" s="1"/>
      <c r="P663" s="1"/>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
      <c r="N664" s="1"/>
      <c r="O664" s="1"/>
      <c r="P664" s="1"/>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
      <c r="N665" s="1"/>
      <c r="O665" s="1"/>
      <c r="P665" s="1"/>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13:42" x14ac:dyDescent="0.2">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13:42" x14ac:dyDescent="0.2">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13:42" x14ac:dyDescent="0.2">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13:42" x14ac:dyDescent="0.2">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13:42" x14ac:dyDescent="0.2">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13:42" x14ac:dyDescent="0.2">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13:42" x14ac:dyDescent="0.2">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13:42" x14ac:dyDescent="0.2">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13:42" x14ac:dyDescent="0.2">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13:42" x14ac:dyDescent="0.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13:42" x14ac:dyDescent="0.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13:42" x14ac:dyDescent="0.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13:42" x14ac:dyDescent="0.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13:42" x14ac:dyDescent="0.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13: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13: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sheetData>
  <mergeCells count="1">
    <mergeCell ref="D548:I548"/>
  </mergeCells>
  <phoneticPr fontId="44" type="noConversion"/>
  <conditionalFormatting sqref="B144:B148">
    <cfRule type="cellIs" dxfId="1" priority="6" stopIfTrue="1" operator="lessThan">
      <formula>0</formula>
    </cfRule>
  </conditionalFormatting>
  <dataValidations disablePrompts="1"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G201:H201 G25:H25 H498:H513 H515:H519 H30:H134 G150:H156 G144:H148 G203:H496 G136:H142 G28:K28 G595:K732 K25:L25 H29 K29:L29 K201:L201 K498:L513 K515:L519 K30:L134 K150:L156 K144:L148 K203:L496 K136:L142" formulaRange="1"/>
    <ignoredError sqref="F144:F148 F150:F152" formula="1"/>
    <ignoredError sqref="L135 H135 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T167"/>
  <sheetViews>
    <sheetView showGridLines="0" zoomScale="75" zoomScaleNormal="75" workbookViewId="0">
      <selection activeCell="E139" sqref="E139"/>
    </sheetView>
  </sheetViews>
  <sheetFormatPr defaultRowHeight="15" x14ac:dyDescent="0.25"/>
  <cols>
    <col min="1" max="1" width="2.42578125" customWidth="1"/>
    <col min="2" max="2" width="5.85546875" customWidth="1"/>
    <col min="3" max="3" width="41.140625" customWidth="1"/>
    <col min="4" max="4" width="19.42578125" customWidth="1"/>
    <col min="5" max="5" width="16.42578125" customWidth="1"/>
    <col min="6" max="6" width="13.140625" customWidth="1"/>
    <col min="7" max="10" width="13.42578125" customWidth="1"/>
    <col min="11" max="11" width="17.5703125" customWidth="1"/>
    <col min="12" max="12" width="13.42578125" customWidth="1"/>
    <col min="13" max="13" width="3.42578125" customWidth="1"/>
  </cols>
  <sheetData>
    <row r="1" spans="2:18" ht="30" customHeight="1" x14ac:dyDescent="0.25">
      <c r="B1" s="566" t="s">
        <v>667</v>
      </c>
    </row>
    <row r="2" spans="2:18" ht="30" customHeight="1" x14ac:dyDescent="0.25">
      <c r="B2" s="171" t="s">
        <v>668</v>
      </c>
      <c r="C2" s="171"/>
      <c r="D2" s="170"/>
      <c r="E2" s="186"/>
      <c r="F2" s="170"/>
      <c r="G2" s="170"/>
      <c r="H2" s="170"/>
      <c r="I2" s="170"/>
      <c r="J2" s="170"/>
      <c r="K2" s="170"/>
      <c r="L2" s="170"/>
      <c r="M2" s="170"/>
      <c r="N2" s="170"/>
      <c r="O2" s="170"/>
      <c r="P2" s="170"/>
      <c r="Q2" s="170"/>
      <c r="R2" s="170"/>
    </row>
    <row r="4" spans="2:18" x14ac:dyDescent="0.25">
      <c r="B4" s="172" t="s">
        <v>669</v>
      </c>
      <c r="C4" s="346"/>
      <c r="D4" s="346"/>
      <c r="E4" s="346"/>
      <c r="F4" s="346"/>
      <c r="G4" s="346"/>
      <c r="H4" s="346"/>
      <c r="I4" s="346"/>
      <c r="J4" s="346"/>
      <c r="K4" s="346"/>
      <c r="L4" s="346"/>
      <c r="M4" s="173"/>
    </row>
    <row r="5" spans="2:18" x14ac:dyDescent="0.25">
      <c r="B5" s="176"/>
      <c r="C5" t="s">
        <v>670</v>
      </c>
      <c r="M5" s="175"/>
    </row>
    <row r="6" spans="2:18" x14ac:dyDescent="0.25">
      <c r="B6" s="176"/>
      <c r="C6" t="s">
        <v>671</v>
      </c>
      <c r="M6" s="175"/>
    </row>
    <row r="7" spans="2:18" x14ac:dyDescent="0.25">
      <c r="B7" s="176"/>
      <c r="C7" t="s">
        <v>672</v>
      </c>
      <c r="M7" s="175"/>
    </row>
    <row r="8" spans="2:18" x14ac:dyDescent="0.25">
      <c r="B8" s="177"/>
      <c r="C8" s="178"/>
      <c r="D8" s="178"/>
      <c r="E8" s="178"/>
      <c r="F8" s="178"/>
      <c r="G8" s="178"/>
      <c r="H8" s="178"/>
      <c r="I8" s="178"/>
      <c r="J8" s="178"/>
      <c r="K8" s="178"/>
      <c r="L8" s="178"/>
      <c r="M8" s="175"/>
    </row>
    <row r="9" spans="2:18" x14ac:dyDescent="0.25">
      <c r="M9" s="216"/>
    </row>
    <row r="10" spans="2:18" x14ac:dyDescent="0.25">
      <c r="B10" s="172" t="s">
        <v>673</v>
      </c>
      <c r="C10" s="346"/>
      <c r="D10" s="346"/>
      <c r="E10" s="346"/>
      <c r="F10" s="346"/>
      <c r="G10" s="346"/>
      <c r="H10" s="346"/>
      <c r="I10" s="346"/>
      <c r="J10" s="346"/>
      <c r="K10" s="346"/>
      <c r="L10" s="346"/>
      <c r="M10" s="175"/>
    </row>
    <row r="11" spans="2:18" x14ac:dyDescent="0.25">
      <c r="B11" s="174"/>
      <c r="C11" t="s">
        <v>674</v>
      </c>
      <c r="E11" s="163" t="s">
        <v>67</v>
      </c>
      <c r="M11" s="175"/>
    </row>
    <row r="12" spans="2:18" x14ac:dyDescent="0.25">
      <c r="B12" s="174"/>
      <c r="C12" t="s">
        <v>87</v>
      </c>
      <c r="E12" s="163" t="s">
        <v>108</v>
      </c>
      <c r="G12" s="139">
        <f>'Population selection'!F16</f>
        <v>49287976</v>
      </c>
      <c r="H12" t="str">
        <f>C25&amp;" population based on selection on left"</f>
        <v>People aged 12 years and over population based on selection on left</v>
      </c>
      <c r="M12" s="175"/>
    </row>
    <row r="13" spans="2:18" x14ac:dyDescent="0.25">
      <c r="B13" s="174"/>
      <c r="G13" s="733">
        <f>2.05533586601874%</f>
        <v>2.0553358660187402E-2</v>
      </c>
      <c r="H13" t="s">
        <v>675</v>
      </c>
      <c r="M13" s="175"/>
    </row>
    <row r="14" spans="2:18" x14ac:dyDescent="0.25">
      <c r="B14" s="174"/>
      <c r="C14" s="161"/>
      <c r="G14" s="139">
        <f>(100%+G13)*G12</f>
        <v>50301009.448362708</v>
      </c>
      <c r="H14" t="s">
        <v>676</v>
      </c>
      <c r="M14" s="175"/>
    </row>
    <row r="15" spans="2:18" x14ac:dyDescent="0.25">
      <c r="B15" s="176"/>
      <c r="C15" t="s">
        <v>677</v>
      </c>
      <c r="E15" s="255" t="s">
        <v>65</v>
      </c>
      <c r="F15" s="185" t="str">
        <f>IF(E15="yes","","If no, enter current locality population below")</f>
        <v/>
      </c>
      <c r="M15" s="175"/>
    </row>
    <row r="16" spans="2:18" x14ac:dyDescent="0.25">
      <c r="B16" s="176"/>
      <c r="F16" s="185" t="str">
        <f>IF(AND(NOT(ISBLANK(E17)),E15="yes"),"error - change cell above to 'no'","")</f>
        <v/>
      </c>
      <c r="M16" s="175"/>
    </row>
    <row r="17" spans="2:18" x14ac:dyDescent="0.25">
      <c r="B17" s="176"/>
      <c r="C17" t="str">
        <f>"Manually entered current locality population "&amp;IF(E15="no","","(n/a)")</f>
        <v>Manually entered current locality population (n/a)</v>
      </c>
      <c r="E17" s="378"/>
      <c r="F17" s="675" t="str">
        <f>IF(E15="yes","Leave blue cell on left blank if NICE estimate is used","")</f>
        <v>Leave blue cell on left blank if NICE estimate is used</v>
      </c>
      <c r="M17" s="175"/>
    </row>
    <row r="18" spans="2:18" x14ac:dyDescent="0.25">
      <c r="B18" s="176"/>
      <c r="F18" s="185" t="str">
        <f>IF(AND(ISBLANK(E17),E15="no"),"error - enter current locality population above","")</f>
        <v/>
      </c>
      <c r="M18" s="175"/>
    </row>
    <row r="19" spans="2:18" x14ac:dyDescent="0.25">
      <c r="B19" s="176"/>
      <c r="C19" t="s">
        <v>678</v>
      </c>
      <c r="D19" s="166"/>
      <c r="E19" s="169">
        <v>9.6418074639288403E-3</v>
      </c>
      <c r="F19" t="str">
        <f>IF(E19=0.964180746392884%,"Enter local value or delete the NICE assumption if required","Local value")</f>
        <v>Enter local value or delete the NICE assumption if required</v>
      </c>
      <c r="M19" s="175"/>
    </row>
    <row r="20" spans="2:18" x14ac:dyDescent="0.25">
      <c r="B20" s="176"/>
      <c r="C20" t="s">
        <v>679</v>
      </c>
      <c r="D20" s="166"/>
      <c r="E20" s="169">
        <v>0</v>
      </c>
      <c r="F20" t="str">
        <f>IF(E20=0,"Enter local value or delete the NICE assumption if required","Local value")</f>
        <v>Enter local value or delete the NICE assumption if required</v>
      </c>
      <c r="M20" s="175"/>
    </row>
    <row r="21" spans="2:18" x14ac:dyDescent="0.25">
      <c r="B21" s="177"/>
      <c r="C21" s="178"/>
      <c r="D21" s="178"/>
      <c r="E21" s="178"/>
      <c r="F21" s="178"/>
      <c r="G21" s="178"/>
      <c r="H21" s="178"/>
      <c r="I21" s="178"/>
      <c r="J21" s="178"/>
      <c r="K21" s="178"/>
      <c r="L21" s="178"/>
      <c r="M21" s="179"/>
    </row>
    <row r="23" spans="2:18" x14ac:dyDescent="0.25">
      <c r="B23" s="172" t="s">
        <v>680</v>
      </c>
      <c r="C23" s="346"/>
      <c r="D23" s="346"/>
      <c r="E23" s="346"/>
      <c r="F23" s="346"/>
      <c r="G23" s="346"/>
      <c r="H23" s="346"/>
      <c r="I23" s="346"/>
      <c r="J23" s="346"/>
      <c r="K23" s="346"/>
      <c r="L23" s="346"/>
      <c r="M23" s="346"/>
      <c r="N23" s="346"/>
      <c r="O23" s="346"/>
      <c r="P23" s="346"/>
      <c r="Q23" s="346"/>
      <c r="R23" s="173"/>
    </row>
    <row r="24" spans="2:18" ht="84.95" customHeight="1" x14ac:dyDescent="0.25">
      <c r="B24" s="174"/>
      <c r="F24" s="260" t="s">
        <v>681</v>
      </c>
      <c r="G24" s="180" t="s">
        <v>682</v>
      </c>
      <c r="H24" s="247" t="s">
        <v>683</v>
      </c>
      <c r="I24" s="428"/>
      <c r="J24" s="428"/>
      <c r="K24" s="428"/>
      <c r="L24" s="428"/>
      <c r="M24" s="428"/>
      <c r="N24" s="428"/>
      <c r="O24" s="428"/>
      <c r="P24" s="428"/>
      <c r="Q24" s="428"/>
      <c r="R24" s="248"/>
    </row>
    <row r="25" spans="2:18" x14ac:dyDescent="0.25">
      <c r="B25" s="174"/>
      <c r="C25" s="259" t="s">
        <v>684</v>
      </c>
      <c r="D25" s="262"/>
      <c r="E25" s="183"/>
      <c r="F25" s="139">
        <f>IF(ISBLANK(E17),G14,'Population selection'!F16)</f>
        <v>50301009.448362708</v>
      </c>
      <c r="G25" s="261"/>
      <c r="H25" s="258" t="s">
        <v>685</v>
      </c>
      <c r="I25" s="216"/>
      <c r="J25" s="216"/>
      <c r="K25" s="216"/>
      <c r="L25" s="216"/>
      <c r="M25" s="216"/>
      <c r="N25" s="216"/>
      <c r="O25" s="216"/>
      <c r="P25" s="216"/>
      <c r="Q25" s="216"/>
      <c r="R25" s="183"/>
    </row>
    <row r="26" spans="2:18" ht="30" x14ac:dyDescent="0.25">
      <c r="B26" s="174"/>
      <c r="C26" s="263" t="s">
        <v>686</v>
      </c>
      <c r="D26" s="264"/>
      <c r="E26" s="183"/>
      <c r="F26" s="229"/>
      <c r="G26" s="139">
        <f>K43</f>
        <v>52773187.795991734</v>
      </c>
      <c r="H26" s="258" t="s">
        <v>685</v>
      </c>
      <c r="I26" s="178"/>
      <c r="J26" s="178"/>
      <c r="K26" s="178"/>
      <c r="L26" s="178"/>
      <c r="M26" s="178"/>
      <c r="N26" s="178"/>
      <c r="O26" s="178"/>
      <c r="P26" s="178"/>
      <c r="Q26" s="178"/>
      <c r="R26" s="179"/>
    </row>
    <row r="27" spans="2:18" ht="28.35" customHeight="1" x14ac:dyDescent="0.25">
      <c r="B27" s="176"/>
      <c r="C27" s="182" t="s">
        <v>687</v>
      </c>
      <c r="D27" s="183"/>
      <c r="E27" s="735">
        <v>3.7891E-5</v>
      </c>
      <c r="F27" s="354">
        <f>E27*F25</f>
        <v>1905.9555490079115</v>
      </c>
      <c r="G27" s="354">
        <f>E27*K42*K43</f>
        <v>1999.6288587779227</v>
      </c>
      <c r="H27" t="s">
        <v>688</v>
      </c>
      <c r="I27" s="346"/>
      <c r="J27" s="346"/>
      <c r="K27" s="346"/>
      <c r="L27" s="372" t="s">
        <v>689</v>
      </c>
      <c r="M27" s="346"/>
      <c r="N27" s="346"/>
      <c r="O27" s="346"/>
      <c r="P27" s="346"/>
      <c r="Q27" s="346"/>
      <c r="R27" s="173"/>
    </row>
    <row r="28" spans="2:18" ht="28.35" customHeight="1" x14ac:dyDescent="0.25">
      <c r="B28" s="176"/>
      <c r="C28" s="182" t="s">
        <v>690</v>
      </c>
      <c r="D28" s="183"/>
      <c r="E28" s="169">
        <v>0.51773000000000002</v>
      </c>
      <c r="F28" s="354">
        <f>F27*E28</f>
        <v>986.77036638786603</v>
      </c>
      <c r="G28" s="354">
        <f>G27*E28</f>
        <v>1035.2678490550938</v>
      </c>
      <c r="H28" s="691" t="s">
        <v>691</v>
      </c>
      <c r="I28" s="216"/>
      <c r="J28" s="216"/>
      <c r="K28" s="216"/>
      <c r="L28" s="693"/>
      <c r="M28" s="216"/>
      <c r="N28" s="216"/>
      <c r="O28" s="216"/>
      <c r="P28" s="216"/>
      <c r="Q28" s="216"/>
      <c r="R28" s="183"/>
    </row>
    <row r="29" spans="2:18" ht="30" x14ac:dyDescent="0.25">
      <c r="B29" s="176"/>
      <c r="C29" s="182" t="s">
        <v>692</v>
      </c>
      <c r="D29" s="183"/>
      <c r="E29" s="736">
        <v>0.67650160000000004</v>
      </c>
      <c r="F29" s="354">
        <f>F28*E29</f>
        <v>667.55173169397767</v>
      </c>
      <c r="G29" s="354">
        <f>G28*E29</f>
        <v>700.36035631432947</v>
      </c>
      <c r="H29" s="372" t="s">
        <v>693</v>
      </c>
      <c r="I29" s="264"/>
      <c r="J29" s="264"/>
      <c r="K29" s="264"/>
      <c r="L29" s="264"/>
      <c r="M29" s="264"/>
      <c r="N29" s="264"/>
      <c r="O29" s="264"/>
      <c r="P29" s="264"/>
      <c r="Q29" s="264"/>
      <c r="R29" s="567"/>
    </row>
    <row r="30" spans="2:18" ht="30.6" customHeight="1" x14ac:dyDescent="0.25">
      <c r="B30" s="176"/>
      <c r="C30" s="182" t="s">
        <v>694</v>
      </c>
      <c r="D30" s="183"/>
      <c r="E30" s="169">
        <v>0.1059335</v>
      </c>
      <c r="F30" s="354">
        <f>F29*E30</f>
        <v>70.716091369403983</v>
      </c>
      <c r="G30" s="354">
        <f>G29*E30</f>
        <v>74.191623805624019</v>
      </c>
      <c r="H30" s="258" t="s">
        <v>695</v>
      </c>
      <c r="I30" s="264"/>
      <c r="J30" s="264"/>
      <c r="K30" s="264"/>
      <c r="L30" s="264"/>
      <c r="M30" s="264"/>
      <c r="N30" s="264"/>
      <c r="O30" s="264"/>
      <c r="P30" s="264"/>
      <c r="Q30" s="264"/>
      <c r="R30" s="567"/>
    </row>
    <row r="31" spans="2:18" ht="33.6" customHeight="1" x14ac:dyDescent="0.25">
      <c r="B31" s="176"/>
      <c r="C31" s="825" t="s">
        <v>696</v>
      </c>
      <c r="D31" s="824"/>
      <c r="E31" s="169">
        <v>0.85</v>
      </c>
      <c r="F31" s="354">
        <f>F30*E31</f>
        <v>60.108677663993383</v>
      </c>
      <c r="G31" s="354">
        <f>G30*E31</f>
        <v>63.062880234780415</v>
      </c>
      <c r="H31" t="s">
        <v>697</v>
      </c>
      <c r="I31" s="216"/>
      <c r="J31" s="216"/>
      <c r="K31" s="216"/>
      <c r="L31" s="216"/>
      <c r="M31" s="216"/>
      <c r="N31" s="216"/>
      <c r="O31" s="216"/>
      <c r="P31" s="216"/>
      <c r="Q31" s="216"/>
      <c r="R31" s="183"/>
    </row>
    <row r="32" spans="2:18" ht="29.1" customHeight="1" x14ac:dyDescent="0.25">
      <c r="B32" s="176"/>
      <c r="C32" s="826" t="s">
        <v>698</v>
      </c>
      <c r="D32" s="827"/>
      <c r="E32" s="169">
        <v>0.62149529999999997</v>
      </c>
      <c r="F32" s="354">
        <f>F29*E32</f>
        <v>414.88026375466814</v>
      </c>
      <c r="G32" s="354">
        <f>G29*E32</f>
        <v>435.27066975568107</v>
      </c>
      <c r="H32" s="833" t="s">
        <v>699</v>
      </c>
      <c r="I32" s="834"/>
      <c r="J32" s="834"/>
      <c r="K32" s="834"/>
      <c r="L32" s="834"/>
      <c r="M32" s="834"/>
      <c r="N32" s="834"/>
      <c r="O32" s="834"/>
      <c r="P32" s="834"/>
      <c r="Q32" s="834"/>
      <c r="R32" s="835"/>
    </row>
    <row r="33" spans="2:18" ht="30" x14ac:dyDescent="0.25">
      <c r="B33" s="176"/>
      <c r="C33" s="246" t="s">
        <v>700</v>
      </c>
      <c r="D33" s="216"/>
      <c r="E33" s="734"/>
      <c r="F33" s="200">
        <f>F32+F31</f>
        <v>474.98894141866151</v>
      </c>
      <c r="G33" s="200">
        <f>G32+G31</f>
        <v>498.33354999046151</v>
      </c>
      <c r="H33" s="220" t="s">
        <v>701</v>
      </c>
      <c r="I33" s="216"/>
      <c r="J33" s="216"/>
      <c r="K33" s="216"/>
      <c r="L33" s="216"/>
      <c r="M33" s="216"/>
      <c r="N33" s="216"/>
      <c r="O33" s="216"/>
      <c r="P33" s="216"/>
      <c r="Q33" s="216"/>
      <c r="R33" s="183"/>
    </row>
    <row r="34" spans="2:18" x14ac:dyDescent="0.25">
      <c r="B34" s="176"/>
      <c r="C34" s="379"/>
      <c r="E34" s="380"/>
      <c r="F34" s="381"/>
      <c r="G34" s="381"/>
      <c r="H34" s="209"/>
      <c r="R34" s="175"/>
    </row>
    <row r="35" spans="2:18" x14ac:dyDescent="0.25">
      <c r="B35" s="176"/>
      <c r="C35" t="s">
        <v>702</v>
      </c>
      <c r="F35" s="255" t="s">
        <v>65</v>
      </c>
      <c r="G35" s="381"/>
      <c r="H35" s="209"/>
      <c r="R35" s="175"/>
    </row>
    <row r="36" spans="2:18" x14ac:dyDescent="0.25">
      <c r="B36" s="176"/>
      <c r="C36" s="379"/>
      <c r="E36" s="380"/>
      <c r="F36" s="381"/>
      <c r="G36" s="381"/>
      <c r="H36" s="209"/>
      <c r="R36" s="175"/>
    </row>
    <row r="37" spans="2:18" x14ac:dyDescent="0.25">
      <c r="B37" s="176"/>
      <c r="C37" t="str">
        <f>"Manually entered current eligible population age 12-17 years "&amp;IF(F35="no","","(n/a)")</f>
        <v>Manually entered current eligible population age 12-17 years (n/a)</v>
      </c>
      <c r="F37" s="543"/>
      <c r="G37" s="737" t="str">
        <f>IF(F35="yes","Leave blue cell on left blank if NICE estimate is used","enter local value on left")</f>
        <v>Leave blue cell on left blank if NICE estimate is used</v>
      </c>
      <c r="R37" s="175"/>
    </row>
    <row r="38" spans="2:18" x14ac:dyDescent="0.25">
      <c r="B38" s="176"/>
      <c r="C38" t="str">
        <f>"Manually entered current eligible population over 18 years "&amp;IF(F35="no","","(n/a)")</f>
        <v>Manually entered current eligible population over 18 years (n/a)</v>
      </c>
      <c r="F38" s="543"/>
      <c r="G38" s="737" t="str">
        <f>IF(F35="yes","Leave blue cell on left blank if NICE estimate is used","enter local value on left")</f>
        <v>Leave blue cell on left blank if NICE estimate is used</v>
      </c>
      <c r="R38" s="175"/>
    </row>
    <row r="39" spans="2:18" x14ac:dyDescent="0.25">
      <c r="B39" s="176"/>
      <c r="G39" s="622" t="str">
        <f>IF(AND(F35="yes",F37&gt;0),"error, set the drop down above to be 'no'","")</f>
        <v/>
      </c>
      <c r="R39" s="175"/>
    </row>
    <row r="40" spans="2:18" ht="45" x14ac:dyDescent="0.25">
      <c r="B40" s="176"/>
      <c r="C40" s="178"/>
      <c r="F40" s="256" t="s">
        <v>681</v>
      </c>
      <c r="G40" s="180" t="s">
        <v>703</v>
      </c>
      <c r="H40" s="180" t="s">
        <v>704</v>
      </c>
      <c r="I40" s="257" t="s">
        <v>705</v>
      </c>
      <c r="J40" s="180" t="s">
        <v>706</v>
      </c>
      <c r="K40" s="180" t="s">
        <v>707</v>
      </c>
      <c r="R40" s="175"/>
    </row>
    <row r="41" spans="2:18" x14ac:dyDescent="0.25">
      <c r="B41" s="176"/>
      <c r="C41" s="258" t="s">
        <v>708</v>
      </c>
      <c r="D41" s="216"/>
      <c r="E41" s="183"/>
      <c r="F41" s="229"/>
      <c r="G41" s="369">
        <f>IF(E19&lt;&gt;"",E19+100%,100%)</f>
        <v>1.0096418074639288</v>
      </c>
      <c r="H41" s="369">
        <f>IF($E$19&lt;&gt;"",G41*(100%+$E$19),100%)</f>
        <v>1.0193765793790293</v>
      </c>
      <c r="I41" s="369">
        <f>IF($E$19&lt;&gt;"",H41*(100%+$E$19),100%)</f>
        <v>1.0292052120906403</v>
      </c>
      <c r="J41" s="369">
        <f>IF($E$19&lt;&gt;"",I41*(100%+$E$19),100%)</f>
        <v>1.0391286105864903</v>
      </c>
      <c r="K41" s="369">
        <f>IF($E$19&lt;&gt;"",J41*(100%+$E$19),100%)</f>
        <v>1.0491476885800251</v>
      </c>
      <c r="L41" t="s">
        <v>709</v>
      </c>
      <c r="R41" s="175"/>
    </row>
    <row r="42" spans="2:18" x14ac:dyDescent="0.25">
      <c r="B42" s="176"/>
      <c r="C42" s="258" t="s">
        <v>710</v>
      </c>
      <c r="D42" s="216"/>
      <c r="E42" s="183"/>
      <c r="F42" s="229"/>
      <c r="G42" s="369">
        <f>IF(E20&lt;&gt;"",E20+100%,100%)</f>
        <v>1</v>
      </c>
      <c r="H42" s="369">
        <f>IF($E$20&lt;&gt;"",G42*(100%+$E$20),100%)</f>
        <v>1</v>
      </c>
      <c r="I42" s="369">
        <f>IF($E$20&lt;&gt;"",H42*(100%+$E$20),100%)</f>
        <v>1</v>
      </c>
      <c r="J42" s="369">
        <f>IF($E$20&lt;&gt;"",I42*(100%+$E$20),100%)</f>
        <v>1</v>
      </c>
      <c r="K42" s="369">
        <f>IF($E$20&lt;&gt;"",J42*(100%+$E$20),100%)</f>
        <v>1</v>
      </c>
      <c r="L42" t="s">
        <v>709</v>
      </c>
      <c r="R42" s="175"/>
    </row>
    <row r="43" spans="2:18" x14ac:dyDescent="0.25">
      <c r="B43" s="176"/>
      <c r="C43" s="425" t="str">
        <f>IF('Inputs and eligible population'!E17=0,"Baseline population (inflated by growth(s))","Manually entered locality population (inflated by growth(s))")</f>
        <v>Baseline population (inflated by growth(s))</v>
      </c>
      <c r="D43" s="216"/>
      <c r="E43" s="183"/>
      <c r="F43" s="139">
        <f>IF(ISBLANK(E17),G14,'Population selection'!F16)</f>
        <v>50301009.448362708</v>
      </c>
      <c r="G43" s="139">
        <f>F43*G41</f>
        <v>50786002.096705087</v>
      </c>
      <c r="H43" s="139">
        <f>F43*H41</f>
        <v>51275670.950784206</v>
      </c>
      <c r="I43" s="139">
        <f>F43*I41</f>
        <v>51770061.097675443</v>
      </c>
      <c r="J43" s="139">
        <f>F43*J41</f>
        <v>52269218.059175059</v>
      </c>
      <c r="K43" s="139">
        <f>F43*K41</f>
        <v>52773187.795991734</v>
      </c>
      <c r="R43" s="175"/>
    </row>
    <row r="44" spans="2:18" x14ac:dyDescent="0.25">
      <c r="B44" s="176"/>
      <c r="C44" s="246" t="str">
        <f>IF(ISBLANK(F36),"Eligible population, NICE estimate","Eligible population, local estimate")</f>
        <v>Eligible population, NICE estimate</v>
      </c>
      <c r="D44" s="216"/>
      <c r="E44" s="183" t="s">
        <v>711</v>
      </c>
      <c r="F44" s="139">
        <f>IF(ISBLANK(F37),F31,F37)</f>
        <v>60.108677663993383</v>
      </c>
      <c r="G44" s="139">
        <f>$F$44*G41*G42</f>
        <v>60.68823396094097</v>
      </c>
      <c r="H44" s="139">
        <f t="shared" ref="H44:K44" si="0">$F$44*H41*H42</f>
        <v>61.273378228118233</v>
      </c>
      <c r="I44" s="139">
        <f t="shared" si="0"/>
        <v>61.864164343658246</v>
      </c>
      <c r="J44" s="139">
        <f t="shared" si="0"/>
        <v>62.46064670517665</v>
      </c>
      <c r="K44" s="139">
        <f t="shared" si="0"/>
        <v>63.062880234780437</v>
      </c>
      <c r="L44" s="756" t="str">
        <f>IF(F35="no","local estimate","")</f>
        <v/>
      </c>
      <c r="R44" s="175"/>
    </row>
    <row r="45" spans="2:18" x14ac:dyDescent="0.25">
      <c r="B45" s="176"/>
      <c r="C45" s="246" t="str">
        <f>IF(ISBLANK(F37),"Eligible population, NICE estimate","Eligible population, local estimate")</f>
        <v>Eligible population, NICE estimate</v>
      </c>
      <c r="D45" s="216"/>
      <c r="E45" s="183" t="s">
        <v>712</v>
      </c>
      <c r="F45" s="139">
        <f>IF(ISBLANK(F38),F32,F38)</f>
        <v>414.88026375466814</v>
      </c>
      <c r="G45" s="139">
        <f>$F$45*G41*G42</f>
        <v>418.88045937837467</v>
      </c>
      <c r="H45" s="139">
        <f>$F$45*H41*H42</f>
        <v>422.91922411810305</v>
      </c>
      <c r="I45" s="139">
        <f>$F$45*I41*I42</f>
        <v>426.99692984984404</v>
      </c>
      <c r="J45" s="139">
        <f>$F$45*J41*J42</f>
        <v>431.11395203514496</v>
      </c>
      <c r="K45" s="139">
        <f>$F$45*K41*K42</f>
        <v>435.27066975568124</v>
      </c>
      <c r="L45" s="756" t="str">
        <f>IF(F35="no","local estimate","")</f>
        <v/>
      </c>
      <c r="R45" s="175"/>
    </row>
    <row r="46" spans="2:18" x14ac:dyDescent="0.25">
      <c r="B46" s="176"/>
      <c r="C46" s="346"/>
      <c r="D46" s="346"/>
      <c r="E46" s="173"/>
      <c r="F46" s="200">
        <f>IF(ISBLANK(F37),F33,F44+F45)</f>
        <v>474.98894141866151</v>
      </c>
      <c r="G46" s="200">
        <f t="shared" ref="G46:K46" si="1">SUM(G44:G45)</f>
        <v>479.56869333931564</v>
      </c>
      <c r="H46" s="200">
        <f t="shared" si="1"/>
        <v>484.19260234622129</v>
      </c>
      <c r="I46" s="200">
        <f t="shared" si="1"/>
        <v>488.86109419350225</v>
      </c>
      <c r="J46" s="200">
        <f t="shared" si="1"/>
        <v>493.57459874032162</v>
      </c>
      <c r="K46" s="200">
        <f t="shared" si="1"/>
        <v>498.33354999046168</v>
      </c>
      <c r="R46" s="175"/>
    </row>
    <row r="47" spans="2:18" x14ac:dyDescent="0.25">
      <c r="B47" s="177"/>
      <c r="C47" s="178"/>
      <c r="D47" s="178"/>
      <c r="E47" s="178"/>
      <c r="F47" s="738"/>
      <c r="G47" s="738"/>
      <c r="H47" s="738"/>
      <c r="I47" s="738"/>
      <c r="J47" s="738"/>
      <c r="K47" s="738"/>
      <c r="L47" s="178"/>
      <c r="M47" s="178"/>
      <c r="N47" s="178"/>
      <c r="O47" s="178"/>
      <c r="P47" s="178"/>
      <c r="Q47" s="178"/>
      <c r="R47" s="179"/>
    </row>
    <row r="50" spans="2:20" x14ac:dyDescent="0.25">
      <c r="B50" s="172" t="s">
        <v>713</v>
      </c>
      <c r="C50" s="346"/>
      <c r="D50" s="346"/>
      <c r="E50" s="346"/>
      <c r="F50" s="346"/>
      <c r="G50" s="346"/>
      <c r="H50" s="346"/>
      <c r="I50" s="346"/>
      <c r="J50" s="346"/>
      <c r="K50" s="346"/>
      <c r="L50" s="346"/>
      <c r="M50" s="173"/>
    </row>
    <row r="51" spans="2:20" x14ac:dyDescent="0.25">
      <c r="B51" s="176"/>
      <c r="D51" s="679"/>
      <c r="E51" s="767" t="s">
        <v>714</v>
      </c>
      <c r="F51" s="232" t="s">
        <v>715</v>
      </c>
      <c r="G51" s="679"/>
      <c r="H51" s="679"/>
      <c r="I51" s="679"/>
      <c r="J51" s="679"/>
      <c r="K51" s="679"/>
      <c r="M51" s="175"/>
    </row>
    <row r="52" spans="2:20" x14ac:dyDescent="0.25">
      <c r="B52" s="176"/>
      <c r="D52" s="678" t="s">
        <v>716</v>
      </c>
      <c r="E52" s="680">
        <v>1</v>
      </c>
      <c r="F52" s="195">
        <v>1</v>
      </c>
      <c r="M52" s="175"/>
    </row>
    <row r="53" spans="2:20" x14ac:dyDescent="0.25">
      <c r="B53" s="176"/>
      <c r="D53" s="166" t="s">
        <v>717</v>
      </c>
      <c r="E53" s="681">
        <v>3</v>
      </c>
      <c r="F53" s="219">
        <f>'Unit costs'!J14</f>
        <v>3</v>
      </c>
      <c r="K53" s="683"/>
      <c r="M53" s="175"/>
    </row>
    <row r="54" spans="2:20" x14ac:dyDescent="0.25">
      <c r="B54" s="176"/>
      <c r="D54" s="166" t="s">
        <v>718</v>
      </c>
      <c r="E54" s="811">
        <v>21</v>
      </c>
      <c r="F54" s="768">
        <v>21</v>
      </c>
      <c r="M54" s="175"/>
    </row>
    <row r="55" spans="2:20" x14ac:dyDescent="0.25">
      <c r="B55" s="176"/>
      <c r="C55" s="166"/>
      <c r="E55" s="166"/>
      <c r="M55" s="175"/>
    </row>
    <row r="56" spans="2:20" x14ac:dyDescent="0.25">
      <c r="B56" s="176"/>
      <c r="D56" s="166"/>
      <c r="E56" s="166"/>
      <c r="F56" s="166"/>
      <c r="G56" s="166"/>
      <c r="M56" s="175"/>
    </row>
    <row r="57" spans="2:20" ht="32.1" customHeight="1" x14ac:dyDescent="0.25">
      <c r="B57" s="176"/>
      <c r="C57" s="229" t="s">
        <v>719</v>
      </c>
      <c r="D57" s="234" t="s">
        <v>720</v>
      </c>
      <c r="E57" s="230"/>
      <c r="F57" s="230"/>
      <c r="G57" s="230"/>
      <c r="H57" s="231"/>
      <c r="I57" s="232" t="s">
        <v>721</v>
      </c>
      <c r="J57" s="180" t="s">
        <v>722</v>
      </c>
      <c r="K57" s="232" t="s">
        <v>723</v>
      </c>
      <c r="M57" s="175"/>
    </row>
    <row r="58" spans="2:20" ht="22.5" customHeight="1" x14ac:dyDescent="0.25">
      <c r="B58" s="176"/>
      <c r="C58" s="585" t="s">
        <v>716</v>
      </c>
      <c r="D58" s="220" t="s">
        <v>724</v>
      </c>
      <c r="E58" s="221"/>
      <c r="F58" s="221"/>
      <c r="G58" s="221"/>
      <c r="H58" s="216"/>
      <c r="I58" s="588"/>
      <c r="J58" s="426">
        <v>0.2</v>
      </c>
      <c r="K58" s="370"/>
      <c r="M58" s="175"/>
    </row>
    <row r="59" spans="2:20" ht="47.25" customHeight="1" x14ac:dyDescent="0.25">
      <c r="B59" s="176"/>
      <c r="C59" s="586" t="s">
        <v>717</v>
      </c>
      <c r="D59" s="822" t="s">
        <v>725</v>
      </c>
      <c r="E59" s="823"/>
      <c r="F59" s="823"/>
      <c r="G59" s="823"/>
      <c r="H59" s="824"/>
      <c r="I59" s="588"/>
      <c r="J59" s="426">
        <v>0.2</v>
      </c>
      <c r="K59" s="758" t="s">
        <v>726</v>
      </c>
      <c r="M59" s="175"/>
      <c r="P59" s="757"/>
      <c r="Q59" s="757"/>
      <c r="R59" s="757"/>
      <c r="S59" s="757"/>
      <c r="T59" s="757"/>
    </row>
    <row r="60" spans="2:20" ht="34.5" customHeight="1" x14ac:dyDescent="0.25">
      <c r="B60" s="176"/>
      <c r="C60" s="365" t="s">
        <v>718</v>
      </c>
      <c r="D60" s="822" t="s">
        <v>727</v>
      </c>
      <c r="E60" s="823"/>
      <c r="F60" s="823"/>
      <c r="G60" s="823"/>
      <c r="H60" s="824"/>
      <c r="I60" s="588"/>
      <c r="J60" s="426">
        <v>0.2</v>
      </c>
      <c r="K60" s="370" t="s">
        <v>728</v>
      </c>
      <c r="M60" s="175"/>
      <c r="P60" s="757"/>
      <c r="Q60" s="757"/>
      <c r="R60" s="757"/>
      <c r="S60" s="757"/>
      <c r="T60" s="757"/>
    </row>
    <row r="61" spans="2:20" ht="57.6" customHeight="1" x14ac:dyDescent="0.25">
      <c r="B61" s="176"/>
      <c r="C61" s="365" t="s">
        <v>729</v>
      </c>
      <c r="D61" s="220" t="s">
        <v>730</v>
      </c>
      <c r="E61" s="221"/>
      <c r="F61" s="221"/>
      <c r="G61" s="221"/>
      <c r="H61" s="216"/>
      <c r="I61" s="222"/>
      <c r="J61" s="426"/>
      <c r="K61" s="766" t="s">
        <v>731</v>
      </c>
      <c r="M61" s="175"/>
      <c r="P61" s="757"/>
      <c r="Q61" s="757"/>
      <c r="R61" s="757"/>
      <c r="S61" s="757"/>
      <c r="T61" s="757"/>
    </row>
    <row r="62" spans="2:20" x14ac:dyDescent="0.25">
      <c r="B62" s="176"/>
      <c r="C62" s="213"/>
      <c r="D62" s="166"/>
      <c r="E62" s="166"/>
      <c r="F62" s="166"/>
      <c r="G62" s="166"/>
      <c r="M62" s="175"/>
      <c r="P62" s="757"/>
      <c r="Q62" s="757"/>
      <c r="R62" s="757"/>
      <c r="S62" s="757"/>
      <c r="T62" s="757"/>
    </row>
    <row r="63" spans="2:20" ht="30" x14ac:dyDescent="0.25">
      <c r="B63" s="176"/>
      <c r="D63" s="687" t="s">
        <v>732</v>
      </c>
      <c r="E63" s="688" t="s">
        <v>733</v>
      </c>
      <c r="F63" s="689" t="s">
        <v>734</v>
      </c>
      <c r="G63" s="829" t="s">
        <v>723</v>
      </c>
      <c r="H63" s="830"/>
      <c r="I63" s="830"/>
      <c r="J63" s="830"/>
      <c r="K63" s="831"/>
      <c r="M63" s="175"/>
      <c r="P63" s="757"/>
      <c r="Q63" s="757"/>
      <c r="R63" s="757"/>
      <c r="S63" s="757"/>
      <c r="T63" s="757"/>
    </row>
    <row r="64" spans="2:20" x14ac:dyDescent="0.25">
      <c r="B64" s="176"/>
      <c r="C64" s="218" t="s">
        <v>735</v>
      </c>
      <c r="D64" s="219">
        <v>51.83</v>
      </c>
      <c r="E64" s="684">
        <f>F44/F46</f>
        <v>0.1265475307371689</v>
      </c>
      <c r="F64" s="682">
        <f>D64*E64</f>
        <v>6.5589585181074641</v>
      </c>
      <c r="G64" s="372" t="s">
        <v>736</v>
      </c>
      <c r="K64" s="175" t="s">
        <v>737</v>
      </c>
      <c r="M64" s="175"/>
      <c r="P64" s="757"/>
      <c r="Q64" s="757"/>
      <c r="R64" s="757"/>
      <c r="S64" s="757"/>
      <c r="T64" s="757"/>
    </row>
    <row r="65" spans="2:13" x14ac:dyDescent="0.25">
      <c r="B65" s="176"/>
      <c r="C65" s="218" t="s">
        <v>738</v>
      </c>
      <c r="D65" s="219">
        <f>(85.1-71.8)/2+71.8</f>
        <v>78.449999999999989</v>
      </c>
      <c r="E65" s="685">
        <f>F45/F46</f>
        <v>0.87345246926283115</v>
      </c>
      <c r="F65" s="682">
        <f>D65*E65</f>
        <v>68.522346213669096</v>
      </c>
      <c r="G65" s="372" t="s">
        <v>739</v>
      </c>
      <c r="J65" t="s">
        <v>740</v>
      </c>
      <c r="K65" s="175"/>
      <c r="M65" s="175"/>
    </row>
    <row r="66" spans="2:13" x14ac:dyDescent="0.25">
      <c r="B66" s="176"/>
      <c r="C66" s="218" t="s">
        <v>741</v>
      </c>
      <c r="D66" s="364"/>
      <c r="E66" s="365"/>
      <c r="F66" s="686">
        <f>F64+F65</f>
        <v>75.081304731776555</v>
      </c>
      <c r="G66" s="690"/>
      <c r="H66" s="178"/>
      <c r="I66" s="178"/>
      <c r="J66" s="178"/>
      <c r="K66" s="179"/>
      <c r="M66" s="175"/>
    </row>
    <row r="67" spans="2:13" x14ac:dyDescent="0.25">
      <c r="B67" s="176"/>
      <c r="D67" s="683"/>
      <c r="E67" s="209"/>
      <c r="F67" s="166"/>
      <c r="G67" s="166"/>
      <c r="M67" s="175"/>
    </row>
    <row r="68" spans="2:13" x14ac:dyDescent="0.25">
      <c r="B68" s="176"/>
      <c r="D68" s="683"/>
      <c r="E68" s="209"/>
      <c r="F68" s="166"/>
      <c r="G68" s="166"/>
      <c r="M68" s="175"/>
    </row>
    <row r="69" spans="2:13" x14ac:dyDescent="0.25">
      <c r="B69" s="176"/>
      <c r="C69" s="161" t="s">
        <v>742</v>
      </c>
      <c r="E69" t="s">
        <v>743</v>
      </c>
      <c r="M69" s="175"/>
    </row>
    <row r="70" spans="2:13" x14ac:dyDescent="0.25">
      <c r="B70" s="176"/>
      <c r="D70" s="390" t="s">
        <v>744</v>
      </c>
      <c r="E70" s="233" t="s">
        <v>745</v>
      </c>
      <c r="F70" s="233" t="s">
        <v>746</v>
      </c>
      <c r="G70" s="233" t="s">
        <v>747</v>
      </c>
      <c r="H70" s="233" t="s">
        <v>748</v>
      </c>
      <c r="I70" s="232" t="s">
        <v>749</v>
      </c>
      <c r="J70" s="232" t="s">
        <v>750</v>
      </c>
      <c r="M70" s="175"/>
    </row>
    <row r="71" spans="2:13" x14ac:dyDescent="0.25">
      <c r="B71" s="176"/>
      <c r="D71" s="584" t="s">
        <v>716</v>
      </c>
      <c r="E71" s="167">
        <v>0</v>
      </c>
      <c r="F71" s="167">
        <v>0.03</v>
      </c>
      <c r="G71" s="167">
        <v>0.05</v>
      </c>
      <c r="H71" s="167">
        <v>7.0000000000000007E-2</v>
      </c>
      <c r="I71" s="167">
        <v>0.09</v>
      </c>
      <c r="J71" s="167">
        <v>0.11</v>
      </c>
      <c r="M71" s="175"/>
    </row>
    <row r="72" spans="2:13" x14ac:dyDescent="0.25">
      <c r="B72" s="176"/>
      <c r="D72" s="371" t="s">
        <v>751</v>
      </c>
      <c r="E72" s="167">
        <v>1</v>
      </c>
      <c r="F72" s="167">
        <f>100%-F71</f>
        <v>0.97</v>
      </c>
      <c r="G72" s="167">
        <f t="shared" ref="G72:J72" si="2">100%-G71</f>
        <v>0.95</v>
      </c>
      <c r="H72" s="167">
        <f t="shared" si="2"/>
        <v>0.92999999999999994</v>
      </c>
      <c r="I72" s="167">
        <f t="shared" si="2"/>
        <v>0.91</v>
      </c>
      <c r="J72" s="167">
        <f t="shared" si="2"/>
        <v>0.89</v>
      </c>
      <c r="M72" s="175"/>
    </row>
    <row r="73" spans="2:13" x14ac:dyDescent="0.25">
      <c r="B73" s="176"/>
      <c r="E73" s="165">
        <f t="shared" ref="E73:J73" si="3">SUM(E71:E72)</f>
        <v>1</v>
      </c>
      <c r="F73" s="165">
        <f t="shared" si="3"/>
        <v>1</v>
      </c>
      <c r="G73" s="165">
        <f t="shared" si="3"/>
        <v>1</v>
      </c>
      <c r="H73" s="165">
        <f t="shared" si="3"/>
        <v>1</v>
      </c>
      <c r="I73" s="165">
        <f t="shared" si="3"/>
        <v>1</v>
      </c>
      <c r="J73" s="165">
        <f t="shared" si="3"/>
        <v>1</v>
      </c>
      <c r="M73" s="175"/>
    </row>
    <row r="74" spans="2:13" x14ac:dyDescent="0.25">
      <c r="B74" s="176"/>
      <c r="C74" t="s">
        <v>752</v>
      </c>
      <c r="E74" s="374"/>
      <c r="F74" s="374"/>
      <c r="G74" s="374"/>
      <c r="H74" s="374"/>
      <c r="I74" s="374"/>
      <c r="J74" s="374"/>
      <c r="M74" s="175"/>
    </row>
    <row r="75" spans="2:13" x14ac:dyDescent="0.25">
      <c r="B75" s="176"/>
      <c r="C75" t="s">
        <v>753</v>
      </c>
      <c r="E75" s="590"/>
      <c r="F75" s="590"/>
      <c r="G75" s="590"/>
      <c r="H75" s="590"/>
      <c r="I75" s="590"/>
      <c r="J75" s="590"/>
      <c r="M75" s="175"/>
    </row>
    <row r="76" spans="2:13" x14ac:dyDescent="0.25">
      <c r="B76" s="176"/>
      <c r="C76" s="161" t="s">
        <v>754</v>
      </c>
      <c r="E76" s="590"/>
      <c r="F76" s="590"/>
      <c r="G76" s="590"/>
      <c r="H76" s="590"/>
      <c r="I76" s="590"/>
      <c r="J76" s="590"/>
      <c r="M76" s="175"/>
    </row>
    <row r="77" spans="2:13" x14ac:dyDescent="0.25">
      <c r="B77" s="176"/>
      <c r="D77" s="390" t="s">
        <v>744</v>
      </c>
      <c r="E77" s="233" t="s">
        <v>745</v>
      </c>
      <c r="F77" s="233" t="s">
        <v>746</v>
      </c>
      <c r="G77" s="233" t="s">
        <v>747</v>
      </c>
      <c r="H77" s="233" t="s">
        <v>748</v>
      </c>
      <c r="I77" s="232" t="s">
        <v>749</v>
      </c>
      <c r="J77" s="232" t="s">
        <v>750</v>
      </c>
      <c r="M77" s="175"/>
    </row>
    <row r="78" spans="2:13" x14ac:dyDescent="0.25">
      <c r="B78" s="176"/>
      <c r="D78" s="371" t="s">
        <v>755</v>
      </c>
      <c r="E78" s="670">
        <v>0</v>
      </c>
      <c r="F78" s="670">
        <v>0</v>
      </c>
      <c r="G78" s="167">
        <v>0.92900000000000005</v>
      </c>
      <c r="H78" s="167">
        <v>0.92900000000000005</v>
      </c>
      <c r="I78" s="167">
        <v>0.92900000000000005</v>
      </c>
      <c r="J78" s="167">
        <v>0.92900000000000005</v>
      </c>
      <c r="M78" s="175"/>
    </row>
    <row r="79" spans="2:13" x14ac:dyDescent="0.25">
      <c r="B79" s="176"/>
      <c r="E79" s="165">
        <f t="shared" ref="E79:J79" si="4">SUM(E78:E78)</f>
        <v>0</v>
      </c>
      <c r="F79" s="165">
        <f t="shared" si="4"/>
        <v>0</v>
      </c>
      <c r="G79" s="165">
        <f t="shared" si="4"/>
        <v>0.92900000000000005</v>
      </c>
      <c r="H79" s="165">
        <f t="shared" si="4"/>
        <v>0.92900000000000005</v>
      </c>
      <c r="I79" s="165">
        <f t="shared" si="4"/>
        <v>0.92900000000000005</v>
      </c>
      <c r="J79" s="165">
        <f t="shared" si="4"/>
        <v>0.92900000000000005</v>
      </c>
      <c r="M79" s="175"/>
    </row>
    <row r="80" spans="2:13" ht="44.45" customHeight="1" x14ac:dyDescent="0.25">
      <c r="B80" s="176"/>
      <c r="C80" s="832" t="s">
        <v>756</v>
      </c>
      <c r="D80" s="832"/>
      <c r="E80" s="832"/>
      <c r="F80" s="832"/>
      <c r="G80" s="832"/>
      <c r="H80" s="832"/>
      <c r="I80" s="832"/>
      <c r="J80" s="832"/>
      <c r="M80" s="175"/>
    </row>
    <row r="81" spans="2:13" x14ac:dyDescent="0.25">
      <c r="B81" s="176"/>
      <c r="E81" s="590"/>
      <c r="F81" s="590"/>
      <c r="G81" s="590"/>
      <c r="H81" s="590"/>
      <c r="I81" s="590"/>
      <c r="J81" s="590"/>
      <c r="M81" s="175"/>
    </row>
    <row r="82" spans="2:13" x14ac:dyDescent="0.25">
      <c r="B82" s="176"/>
      <c r="C82" s="161" t="s">
        <v>757</v>
      </c>
      <c r="E82" s="596"/>
      <c r="F82" s="596"/>
      <c r="G82" s="596"/>
      <c r="H82" s="596"/>
      <c r="I82" s="596"/>
      <c r="J82" s="596"/>
      <c r="M82" s="175"/>
    </row>
    <row r="83" spans="2:13" x14ac:dyDescent="0.25">
      <c r="B83" s="176"/>
      <c r="E83" s="233" t="s">
        <v>745</v>
      </c>
      <c r="F83" s="233" t="s">
        <v>746</v>
      </c>
      <c r="G83" s="233" t="s">
        <v>747</v>
      </c>
      <c r="H83" s="233" t="s">
        <v>748</v>
      </c>
      <c r="I83" s="232" t="s">
        <v>749</v>
      </c>
      <c r="J83" s="232" t="s">
        <v>750</v>
      </c>
      <c r="M83" s="175"/>
    </row>
    <row r="84" spans="2:13" x14ac:dyDescent="0.25">
      <c r="B84" s="176"/>
      <c r="D84" s="166" t="s">
        <v>758</v>
      </c>
      <c r="E84" s="740">
        <v>0.5</v>
      </c>
      <c r="F84" s="740">
        <v>0.5</v>
      </c>
      <c r="G84" s="740">
        <v>0.5</v>
      </c>
      <c r="H84" s="740">
        <v>0.5</v>
      </c>
      <c r="I84" s="740">
        <v>0.5</v>
      </c>
      <c r="J84" s="740">
        <v>0.5</v>
      </c>
      <c r="M84" s="175"/>
    </row>
    <row r="85" spans="2:13" x14ac:dyDescent="0.25">
      <c r="B85" s="176"/>
      <c r="D85" s="166" t="s">
        <v>759</v>
      </c>
      <c r="E85" s="597">
        <f>100%-E84</f>
        <v>0.5</v>
      </c>
      <c r="F85" s="597">
        <f t="shared" ref="F85:J85" si="5">100%-F84</f>
        <v>0.5</v>
      </c>
      <c r="G85" s="597">
        <f t="shared" si="5"/>
        <v>0.5</v>
      </c>
      <c r="H85" s="597">
        <f t="shared" si="5"/>
        <v>0.5</v>
      </c>
      <c r="I85" s="597">
        <f t="shared" si="5"/>
        <v>0.5</v>
      </c>
      <c r="J85" s="597">
        <f t="shared" si="5"/>
        <v>0.5</v>
      </c>
      <c r="M85" s="175"/>
    </row>
    <row r="86" spans="2:13" x14ac:dyDescent="0.25">
      <c r="B86" s="177"/>
      <c r="C86" s="178"/>
      <c r="D86" s="739"/>
      <c r="E86" s="596"/>
      <c r="F86" s="596"/>
      <c r="G86" s="596"/>
      <c r="H86" s="596"/>
      <c r="I86" s="596"/>
      <c r="J86" s="596"/>
      <c r="K86" s="178"/>
      <c r="L86" s="178"/>
      <c r="M86" s="179"/>
    </row>
    <row r="87" spans="2:13" x14ac:dyDescent="0.25">
      <c r="D87" s="178"/>
      <c r="K87" s="178"/>
    </row>
    <row r="88" spans="2:13" ht="15.75" x14ac:dyDescent="0.25">
      <c r="B88" s="817" t="s">
        <v>1193</v>
      </c>
      <c r="C88" s="346"/>
      <c r="E88" s="346"/>
      <c r="F88" s="346"/>
      <c r="G88" s="346"/>
      <c r="H88" s="346"/>
      <c r="I88" s="346"/>
      <c r="J88" s="346"/>
      <c r="L88" s="346"/>
      <c r="M88" s="173"/>
    </row>
    <row r="89" spans="2:13" x14ac:dyDescent="0.25">
      <c r="B89" s="176" t="s">
        <v>760</v>
      </c>
      <c r="M89" s="175"/>
    </row>
    <row r="90" spans="2:13" x14ac:dyDescent="0.25">
      <c r="B90" s="176" t="s">
        <v>761</v>
      </c>
      <c r="M90" s="175"/>
    </row>
    <row r="91" spans="2:13" x14ac:dyDescent="0.25">
      <c r="B91" s="176"/>
      <c r="C91" s="371"/>
      <c r="D91" s="235"/>
      <c r="E91" s="235"/>
      <c r="F91" s="235"/>
      <c r="M91" s="175"/>
    </row>
    <row r="92" spans="2:13" ht="42.95" customHeight="1" x14ac:dyDescent="0.25">
      <c r="B92" s="176"/>
      <c r="C92" s="436" t="s">
        <v>762</v>
      </c>
      <c r="D92" s="436" t="s">
        <v>763</v>
      </c>
      <c r="E92" s="436" t="s">
        <v>764</v>
      </c>
      <c r="F92" s="436" t="s">
        <v>765</v>
      </c>
      <c r="G92" s="587" t="s">
        <v>716</v>
      </c>
      <c r="H92" s="436" t="s">
        <v>766</v>
      </c>
      <c r="J92" s="436" t="s">
        <v>767</v>
      </c>
      <c r="K92" s="436" t="s">
        <v>768</v>
      </c>
      <c r="M92" s="175"/>
    </row>
    <row r="93" spans="2:13" ht="42.95" customHeight="1" x14ac:dyDescent="0.25">
      <c r="B93" s="176"/>
      <c r="C93" s="439" t="s">
        <v>769</v>
      </c>
      <c r="D93" s="436" t="s">
        <v>770</v>
      </c>
      <c r="E93" s="180" t="s">
        <v>771</v>
      </c>
      <c r="F93" s="436" t="s">
        <v>772</v>
      </c>
      <c r="G93" s="619"/>
      <c r="H93" s="436"/>
      <c r="J93" s="436"/>
      <c r="K93" s="436"/>
      <c r="M93" s="175"/>
    </row>
    <row r="94" spans="2:13" ht="42.95" customHeight="1" x14ac:dyDescent="0.25">
      <c r="B94" s="176"/>
      <c r="C94" s="439" t="s">
        <v>769</v>
      </c>
      <c r="D94" s="180" t="s">
        <v>773</v>
      </c>
      <c r="E94" s="180" t="s">
        <v>774</v>
      </c>
      <c r="F94" s="617" t="s">
        <v>772</v>
      </c>
      <c r="G94" s="193">
        <v>1</v>
      </c>
      <c r="H94" s="193">
        <v>0</v>
      </c>
      <c r="J94" s="229"/>
      <c r="K94" s="229"/>
      <c r="M94" s="175"/>
    </row>
    <row r="95" spans="2:13" ht="42.95" customHeight="1" x14ac:dyDescent="0.25">
      <c r="B95" s="176"/>
      <c r="C95" s="439" t="s">
        <v>769</v>
      </c>
      <c r="D95" s="180" t="s">
        <v>775</v>
      </c>
      <c r="E95" s="180" t="s">
        <v>776</v>
      </c>
      <c r="F95" s="617" t="s">
        <v>772</v>
      </c>
      <c r="G95" s="193">
        <v>20</v>
      </c>
      <c r="H95" s="193">
        <v>0</v>
      </c>
      <c r="J95" s="504" t="s">
        <v>777</v>
      </c>
      <c r="K95" s="808">
        <f>VLOOKUP(J95,payscales!$B:$K,10,0)</f>
        <v>42.15</v>
      </c>
      <c r="M95" s="175"/>
    </row>
    <row r="96" spans="2:13" ht="42.95" customHeight="1" x14ac:dyDescent="0.25">
      <c r="B96" s="176"/>
      <c r="C96" s="439" t="s">
        <v>769</v>
      </c>
      <c r="D96" s="180" t="s">
        <v>778</v>
      </c>
      <c r="E96" s="180" t="s">
        <v>774</v>
      </c>
      <c r="F96" s="617" t="s">
        <v>772</v>
      </c>
      <c r="G96" s="193">
        <v>1</v>
      </c>
      <c r="H96" s="164">
        <v>0</v>
      </c>
      <c r="J96" s="229"/>
      <c r="K96" s="229"/>
      <c r="M96" s="175"/>
    </row>
    <row r="97" spans="2:13" ht="42.95" customHeight="1" x14ac:dyDescent="0.25">
      <c r="B97" s="176"/>
      <c r="C97" s="439" t="s">
        <v>769</v>
      </c>
      <c r="D97" s="180" t="s">
        <v>778</v>
      </c>
      <c r="E97" s="180" t="s">
        <v>776</v>
      </c>
      <c r="F97" s="617" t="s">
        <v>772</v>
      </c>
      <c r="G97" s="193">
        <v>30</v>
      </c>
      <c r="H97" s="164">
        <v>0</v>
      </c>
      <c r="J97" s="504" t="s">
        <v>777</v>
      </c>
      <c r="K97" s="808">
        <f>VLOOKUP(J97,payscales!$B:$K,10,0)</f>
        <v>42.15</v>
      </c>
      <c r="M97" s="175"/>
    </row>
    <row r="98" spans="2:13" ht="42.95" customHeight="1" x14ac:dyDescent="0.25">
      <c r="B98" s="176"/>
      <c r="C98" s="437" t="s">
        <v>779</v>
      </c>
      <c r="D98" s="180" t="s">
        <v>780</v>
      </c>
      <c r="E98" s="180" t="s">
        <v>774</v>
      </c>
      <c r="F98" s="617" t="s">
        <v>772</v>
      </c>
      <c r="G98" s="195">
        <v>4</v>
      </c>
      <c r="H98" s="195"/>
      <c r="J98" s="229"/>
      <c r="K98" s="229"/>
      <c r="M98" s="175"/>
    </row>
    <row r="99" spans="2:13" ht="42.95" customHeight="1" x14ac:dyDescent="0.25">
      <c r="B99" s="176"/>
      <c r="C99" s="437" t="s">
        <v>779</v>
      </c>
      <c r="D99" s="180" t="s">
        <v>781</v>
      </c>
      <c r="E99" s="180" t="s">
        <v>782</v>
      </c>
      <c r="F99" s="617" t="s">
        <v>772</v>
      </c>
      <c r="G99" s="195">
        <v>15</v>
      </c>
      <c r="H99" s="195"/>
      <c r="J99" s="536" t="s">
        <v>783</v>
      </c>
      <c r="K99" s="808">
        <f>VLOOKUP(J99,payscales!$B:$K,10,0)</f>
        <v>121.08</v>
      </c>
      <c r="M99" s="175"/>
    </row>
    <row r="100" spans="2:13" ht="42.95" customHeight="1" x14ac:dyDescent="0.25">
      <c r="B100" s="176"/>
      <c r="C100" s="437" t="s">
        <v>784</v>
      </c>
      <c r="D100" s="180" t="s">
        <v>785</v>
      </c>
      <c r="E100" s="180" t="s">
        <v>786</v>
      </c>
      <c r="F100" s="617" t="s">
        <v>772</v>
      </c>
      <c r="G100" s="193">
        <v>1</v>
      </c>
      <c r="H100" s="164"/>
      <c r="J100" s="229"/>
      <c r="K100" s="229"/>
      <c r="M100" s="175"/>
    </row>
    <row r="101" spans="2:13" ht="42.95" customHeight="1" x14ac:dyDescent="0.25">
      <c r="B101" s="176"/>
      <c r="C101" s="437" t="s">
        <v>784</v>
      </c>
      <c r="D101" s="180" t="s">
        <v>785</v>
      </c>
      <c r="E101" s="180" t="s">
        <v>787</v>
      </c>
      <c r="F101" s="617" t="s">
        <v>772</v>
      </c>
      <c r="G101" s="193">
        <v>60</v>
      </c>
      <c r="H101" s="164"/>
      <c r="J101" s="504" t="s">
        <v>777</v>
      </c>
      <c r="K101" s="808">
        <f>VLOOKUP(J101,payscales!$B:$K,10,0)</f>
        <v>42.15</v>
      </c>
      <c r="M101" s="175"/>
    </row>
    <row r="102" spans="2:13" ht="42.95" customHeight="1" x14ac:dyDescent="0.25">
      <c r="B102" s="176"/>
      <c r="C102" s="437" t="s">
        <v>784</v>
      </c>
      <c r="D102" s="180" t="s">
        <v>785</v>
      </c>
      <c r="E102" s="180" t="s">
        <v>788</v>
      </c>
      <c r="F102" s="617" t="s">
        <v>772</v>
      </c>
      <c r="G102" s="193">
        <v>1</v>
      </c>
      <c r="H102" s="164"/>
      <c r="J102" s="229"/>
      <c r="K102" s="229"/>
      <c r="M102" s="175"/>
    </row>
    <row r="103" spans="2:13" ht="42.95" customHeight="1" x14ac:dyDescent="0.25">
      <c r="B103" s="176"/>
      <c r="C103" s="437" t="s">
        <v>784</v>
      </c>
      <c r="D103" s="180" t="s">
        <v>785</v>
      </c>
      <c r="E103" s="180" t="s">
        <v>789</v>
      </c>
      <c r="F103" s="617" t="s">
        <v>772</v>
      </c>
      <c r="G103" s="193">
        <v>15</v>
      </c>
      <c r="H103" s="164"/>
      <c r="J103" s="504" t="s">
        <v>777</v>
      </c>
      <c r="K103" s="808">
        <f>VLOOKUP(J103,payscales!$B:$K,10,0)</f>
        <v>42.15</v>
      </c>
      <c r="M103" s="175"/>
    </row>
    <row r="104" spans="2:13" ht="42.95" customHeight="1" x14ac:dyDescent="0.25">
      <c r="B104" s="176"/>
      <c r="C104" s="434" t="s">
        <v>790</v>
      </c>
      <c r="D104" s="180" t="s">
        <v>791</v>
      </c>
      <c r="E104" s="180" t="s">
        <v>792</v>
      </c>
      <c r="F104" s="617" t="s">
        <v>793</v>
      </c>
      <c r="G104" s="193">
        <v>3</v>
      </c>
      <c r="H104" s="193"/>
      <c r="J104" s="229"/>
      <c r="K104" s="229"/>
      <c r="M104" s="175"/>
    </row>
    <row r="105" spans="2:13" ht="42.95" customHeight="1" x14ac:dyDescent="0.25">
      <c r="B105" s="176"/>
      <c r="C105" s="434" t="s">
        <v>790</v>
      </c>
      <c r="D105" s="180" t="s">
        <v>794</v>
      </c>
      <c r="E105" s="180" t="s">
        <v>792</v>
      </c>
      <c r="F105" s="617" t="s">
        <v>793</v>
      </c>
      <c r="G105" s="193">
        <f>'Unit costs'!J15</f>
        <v>21</v>
      </c>
      <c r="H105" s="193"/>
      <c r="J105" s="649"/>
      <c r="K105" s="614"/>
      <c r="M105" s="175"/>
    </row>
    <row r="106" spans="2:13" ht="42.95" customHeight="1" x14ac:dyDescent="0.25">
      <c r="B106" s="176"/>
      <c r="C106" s="434" t="s">
        <v>790</v>
      </c>
      <c r="D106" s="592" t="s">
        <v>795</v>
      </c>
      <c r="E106" s="180" t="s">
        <v>796</v>
      </c>
      <c r="F106" s="618" t="s">
        <v>797</v>
      </c>
      <c r="G106" s="193">
        <v>4</v>
      </c>
      <c r="H106" s="193"/>
      <c r="J106" s="232"/>
      <c r="K106" s="232"/>
      <c r="L106" s="372"/>
      <c r="M106" s="175"/>
    </row>
    <row r="107" spans="2:13" ht="60" x14ac:dyDescent="0.25">
      <c r="B107" s="176"/>
      <c r="C107" s="438" t="s">
        <v>798</v>
      </c>
      <c r="D107" s="180" t="s">
        <v>799</v>
      </c>
      <c r="E107" s="180" t="s">
        <v>800</v>
      </c>
      <c r="F107" s="616" t="s">
        <v>801</v>
      </c>
      <c r="G107" s="193">
        <v>3</v>
      </c>
      <c r="H107" s="193"/>
      <c r="J107" s="229"/>
      <c r="K107" s="229"/>
      <c r="M107" s="175"/>
    </row>
    <row r="108" spans="2:13" ht="35.450000000000003" customHeight="1" x14ac:dyDescent="0.25">
      <c r="B108" s="176"/>
      <c r="C108" s="438" t="s">
        <v>798</v>
      </c>
      <c r="D108" s="180" t="s">
        <v>802</v>
      </c>
      <c r="E108" s="180" t="s">
        <v>800</v>
      </c>
      <c r="F108" s="616" t="s">
        <v>801</v>
      </c>
      <c r="G108" s="193">
        <v>60</v>
      </c>
      <c r="H108" s="193"/>
      <c r="J108" s="591" t="s">
        <v>783</v>
      </c>
      <c r="K108" s="808">
        <f>VLOOKUP(J108,payscales!$B:$K,10,0)</f>
        <v>121.08</v>
      </c>
      <c r="M108" s="175"/>
    </row>
    <row r="109" spans="2:13" ht="35.450000000000003" customHeight="1" x14ac:dyDescent="0.25">
      <c r="B109" s="176"/>
      <c r="C109" s="438" t="s">
        <v>798</v>
      </c>
      <c r="D109" s="180" t="s">
        <v>803</v>
      </c>
      <c r="E109" s="180" t="s">
        <v>804</v>
      </c>
      <c r="F109" s="616" t="s">
        <v>805</v>
      </c>
      <c r="G109" s="193">
        <v>1</v>
      </c>
      <c r="H109" s="193"/>
      <c r="J109" s="229"/>
      <c r="K109" s="229"/>
      <c r="M109" s="175"/>
    </row>
    <row r="110" spans="2:13" ht="48" customHeight="1" x14ac:dyDescent="0.25">
      <c r="B110" s="176"/>
      <c r="C110" s="438" t="s">
        <v>798</v>
      </c>
      <c r="D110" s="180" t="s">
        <v>803</v>
      </c>
      <c r="E110" s="180" t="s">
        <v>806</v>
      </c>
      <c r="F110" s="616" t="s">
        <v>805</v>
      </c>
      <c r="G110" s="193">
        <f>60*2</f>
        <v>120</v>
      </c>
      <c r="H110" s="193"/>
      <c r="J110" s="591" t="s">
        <v>783</v>
      </c>
      <c r="K110" s="808">
        <f>VLOOKUP(J110,payscales!$B:$K,10,0)</f>
        <v>121.08</v>
      </c>
      <c r="M110" s="175"/>
    </row>
    <row r="111" spans="2:13" ht="48" customHeight="1" x14ac:dyDescent="0.25">
      <c r="B111" s="176"/>
      <c r="C111" s="434" t="s">
        <v>790</v>
      </c>
      <c r="D111" s="180" t="s">
        <v>807</v>
      </c>
      <c r="E111" s="180" t="s">
        <v>808</v>
      </c>
      <c r="F111" s="616" t="s">
        <v>805</v>
      </c>
      <c r="G111" s="193">
        <v>28</v>
      </c>
      <c r="H111" s="193"/>
      <c r="J111" s="229"/>
      <c r="K111" s="229"/>
      <c r="M111" s="175"/>
    </row>
    <row r="112" spans="2:13" ht="48" customHeight="1" x14ac:dyDescent="0.25">
      <c r="B112" s="176"/>
      <c r="C112" s="434" t="s">
        <v>790</v>
      </c>
      <c r="D112" s="180" t="s">
        <v>809</v>
      </c>
      <c r="E112" s="180" t="s">
        <v>810</v>
      </c>
      <c r="F112" s="621" t="s">
        <v>811</v>
      </c>
      <c r="G112" s="193">
        <f>52/2</f>
        <v>26</v>
      </c>
      <c r="H112" s="193"/>
      <c r="J112" s="232"/>
      <c r="K112" s="232"/>
      <c r="M112" s="175"/>
    </row>
    <row r="113" spans="2:13" ht="60.6" customHeight="1" x14ac:dyDescent="0.25">
      <c r="B113" s="176"/>
      <c r="C113" s="434" t="s">
        <v>790</v>
      </c>
      <c r="D113" s="180" t="s">
        <v>809</v>
      </c>
      <c r="E113" s="180" t="s">
        <v>812</v>
      </c>
      <c r="F113" s="621" t="s">
        <v>811</v>
      </c>
      <c r="G113" s="193">
        <v>60</v>
      </c>
      <c r="H113" s="193"/>
      <c r="J113" s="504" t="s">
        <v>777</v>
      </c>
      <c r="K113" s="808">
        <f>VLOOKUP(J113,payscales!$B:$K,10,0)</f>
        <v>42.15</v>
      </c>
      <c r="M113" s="175"/>
    </row>
    <row r="114" spans="2:13" ht="45" x14ac:dyDescent="0.25">
      <c r="B114" s="176"/>
      <c r="C114" s="434" t="s">
        <v>790</v>
      </c>
      <c r="D114" s="180" t="s">
        <v>813</v>
      </c>
      <c r="E114" s="180" t="s">
        <v>814</v>
      </c>
      <c r="F114" s="247"/>
      <c r="G114" s="620"/>
      <c r="H114" s="164">
        <f>'Unit costs'!N42</f>
        <v>15</v>
      </c>
      <c r="J114" s="232"/>
      <c r="K114" s="232"/>
      <c r="M114" s="175"/>
    </row>
    <row r="115" spans="2:13" ht="41.45" customHeight="1" x14ac:dyDescent="0.25">
      <c r="B115" s="176"/>
      <c r="C115" s="434" t="s">
        <v>790</v>
      </c>
      <c r="D115" s="180" t="s">
        <v>802</v>
      </c>
      <c r="E115" s="180" t="s">
        <v>815</v>
      </c>
      <c r="F115" s="615"/>
      <c r="G115" s="620"/>
      <c r="H115" s="164">
        <f>60*8</f>
        <v>480</v>
      </c>
      <c r="J115" s="504" t="s">
        <v>777</v>
      </c>
      <c r="K115" s="808">
        <f>VLOOKUP(J115,payscales!$B:$K,10,0)</f>
        <v>42.15</v>
      </c>
      <c r="M115" s="175"/>
    </row>
    <row r="116" spans="2:13" ht="39" customHeight="1" x14ac:dyDescent="0.25">
      <c r="B116" s="176"/>
      <c r="C116" s="434" t="s">
        <v>790</v>
      </c>
      <c r="D116" s="180" t="s">
        <v>816</v>
      </c>
      <c r="E116" s="180" t="s">
        <v>817</v>
      </c>
      <c r="F116" s="618" t="s">
        <v>818</v>
      </c>
      <c r="G116" s="620"/>
      <c r="H116" s="164">
        <v>6</v>
      </c>
      <c r="J116" s="232"/>
      <c r="K116" s="232"/>
      <c r="M116" s="175"/>
    </row>
    <row r="117" spans="2:13" ht="39" customHeight="1" x14ac:dyDescent="0.25">
      <c r="B117" s="176"/>
      <c r="C117" s="434" t="s">
        <v>790</v>
      </c>
      <c r="D117" s="180" t="s">
        <v>816</v>
      </c>
      <c r="E117" s="180" t="s">
        <v>819</v>
      </c>
      <c r="F117" s="618" t="s">
        <v>818</v>
      </c>
      <c r="G117" s="620"/>
      <c r="H117" s="164">
        <v>30</v>
      </c>
      <c r="J117" s="504" t="s">
        <v>777</v>
      </c>
      <c r="K117" s="808">
        <f>VLOOKUP(J117,payscales!$B:$K,10,0)</f>
        <v>42.15</v>
      </c>
      <c r="M117" s="175"/>
    </row>
    <row r="118" spans="2:13" ht="45" x14ac:dyDescent="0.25">
      <c r="B118" s="176"/>
      <c r="C118" s="435" t="s">
        <v>820</v>
      </c>
      <c r="D118" s="180" t="s">
        <v>821</v>
      </c>
      <c r="E118" s="180" t="s">
        <v>822</v>
      </c>
      <c r="F118" s="618" t="s">
        <v>797</v>
      </c>
      <c r="G118" s="193">
        <v>4</v>
      </c>
      <c r="H118" s="164">
        <v>0</v>
      </c>
      <c r="J118" s="232"/>
      <c r="K118" s="232"/>
      <c r="M118" s="175"/>
    </row>
    <row r="119" spans="2:13" ht="45" x14ac:dyDescent="0.25">
      <c r="B119" s="176"/>
      <c r="C119" s="435" t="s">
        <v>820</v>
      </c>
      <c r="D119" s="257" t="s">
        <v>823</v>
      </c>
      <c r="E119" s="180" t="s">
        <v>800</v>
      </c>
      <c r="F119" s="618" t="s">
        <v>797</v>
      </c>
      <c r="G119" s="194">
        <v>0</v>
      </c>
      <c r="H119" s="164">
        <v>0</v>
      </c>
      <c r="J119" s="232"/>
      <c r="K119" s="232"/>
      <c r="M119" s="175"/>
    </row>
    <row r="120" spans="2:13" ht="45" x14ac:dyDescent="0.25">
      <c r="B120" s="176"/>
      <c r="C120" s="435" t="s">
        <v>820</v>
      </c>
      <c r="D120" s="180" t="s">
        <v>821</v>
      </c>
      <c r="E120" s="180" t="s">
        <v>824</v>
      </c>
      <c r="F120" s="618" t="s">
        <v>797</v>
      </c>
      <c r="G120" s="193">
        <v>40</v>
      </c>
      <c r="H120" s="164">
        <v>0</v>
      </c>
      <c r="J120" s="504" t="s">
        <v>777</v>
      </c>
      <c r="K120" s="808">
        <f>VLOOKUP(J120,payscales!$B:$K,10,0)</f>
        <v>42.15</v>
      </c>
      <c r="M120" s="175"/>
    </row>
    <row r="121" spans="2:13" ht="45" x14ac:dyDescent="0.25">
      <c r="B121" s="176"/>
      <c r="C121" s="435" t="s">
        <v>820</v>
      </c>
      <c r="D121" s="257" t="s">
        <v>823</v>
      </c>
      <c r="E121" s="180" t="s">
        <v>825</v>
      </c>
      <c r="F121" s="618" t="s">
        <v>797</v>
      </c>
      <c r="G121" s="194">
        <v>0</v>
      </c>
      <c r="H121" s="164">
        <v>0</v>
      </c>
      <c r="J121" s="504" t="s">
        <v>777</v>
      </c>
      <c r="K121" s="808">
        <f>VLOOKUP(J121,payscales!$B:$K,10,0)</f>
        <v>42.15</v>
      </c>
      <c r="M121" s="175"/>
    </row>
    <row r="122" spans="2:13" ht="45" x14ac:dyDescent="0.25">
      <c r="B122" s="176"/>
      <c r="C122" s="438" t="s">
        <v>798</v>
      </c>
      <c r="D122" s="180" t="s">
        <v>826</v>
      </c>
      <c r="E122" s="180" t="s">
        <v>827</v>
      </c>
      <c r="F122" s="616" t="s">
        <v>828</v>
      </c>
      <c r="G122" s="535">
        <v>12</v>
      </c>
      <c r="H122" s="433">
        <v>12</v>
      </c>
      <c r="J122" s="229"/>
      <c r="K122" s="229"/>
      <c r="M122" s="175"/>
    </row>
    <row r="123" spans="2:13" ht="45" x14ac:dyDescent="0.25">
      <c r="B123" s="176"/>
      <c r="C123" s="438" t="s">
        <v>798</v>
      </c>
      <c r="D123" s="180" t="s">
        <v>826</v>
      </c>
      <c r="E123" s="180" t="s">
        <v>782</v>
      </c>
      <c r="F123" s="616" t="s">
        <v>828</v>
      </c>
      <c r="G123" s="195">
        <v>45</v>
      </c>
      <c r="H123" s="195">
        <v>45</v>
      </c>
      <c r="J123" s="645" t="s">
        <v>783</v>
      </c>
      <c r="K123" s="808">
        <f>VLOOKUP(J123,payscales!$B:$K,10,0)</f>
        <v>121.08</v>
      </c>
      <c r="M123" s="175"/>
    </row>
    <row r="124" spans="2:13" x14ac:dyDescent="0.25">
      <c r="B124" s="176"/>
      <c r="M124" s="175"/>
    </row>
    <row r="125" spans="2:13" x14ac:dyDescent="0.25">
      <c r="B125" s="176"/>
      <c r="C125" s="371"/>
      <c r="D125" s="235"/>
      <c r="E125" s="235"/>
      <c r="F125" s="235"/>
      <c r="M125" s="175"/>
    </row>
    <row r="126" spans="2:13" x14ac:dyDescent="0.25">
      <c r="B126" s="176"/>
      <c r="C126" s="217" t="s">
        <v>829</v>
      </c>
      <c r="D126" s="166"/>
      <c r="M126" s="175"/>
    </row>
    <row r="127" spans="2:13" x14ac:dyDescent="0.25">
      <c r="B127" s="176"/>
      <c r="C127" s="217" t="s">
        <v>830</v>
      </c>
      <c r="D127" s="166"/>
      <c r="M127" s="175"/>
    </row>
    <row r="128" spans="2:13" x14ac:dyDescent="0.25">
      <c r="B128" s="176"/>
      <c r="C128" t="s">
        <v>831</v>
      </c>
      <c r="D128" s="166"/>
      <c r="M128" s="175"/>
    </row>
    <row r="129" spans="2:14" x14ac:dyDescent="0.25">
      <c r="B129" s="176"/>
      <c r="C129" t="s">
        <v>832</v>
      </c>
      <c r="D129" s="166"/>
      <c r="M129" s="175"/>
    </row>
    <row r="130" spans="2:14" x14ac:dyDescent="0.25">
      <c r="B130" s="176"/>
      <c r="C130" s="821" t="s">
        <v>833</v>
      </c>
      <c r="D130" s="821"/>
      <c r="E130" s="821"/>
      <c r="F130" s="821"/>
      <c r="G130" s="821"/>
      <c r="H130" s="821"/>
      <c r="I130" s="821"/>
      <c r="J130" s="821"/>
      <c r="K130" s="821"/>
      <c r="L130" s="821"/>
      <c r="M130" s="175"/>
    </row>
    <row r="131" spans="2:14" x14ac:dyDescent="0.25">
      <c r="B131" s="176"/>
      <c r="C131" s="372" t="s">
        <v>834</v>
      </c>
      <c r="D131" s="166"/>
      <c r="M131" s="175"/>
    </row>
    <row r="132" spans="2:14" x14ac:dyDescent="0.25">
      <c r="B132" s="176"/>
      <c r="C132" s="658" t="s">
        <v>835</v>
      </c>
      <c r="D132" s="166"/>
      <c r="M132" s="175"/>
    </row>
    <row r="133" spans="2:14" x14ac:dyDescent="0.25">
      <c r="B133" s="176"/>
      <c r="C133" s="209" t="s">
        <v>1197</v>
      </c>
      <c r="D133" s="166"/>
      <c r="M133" s="175"/>
    </row>
    <row r="134" spans="2:14" x14ac:dyDescent="0.25">
      <c r="B134" s="176"/>
      <c r="C134" s="658" t="s">
        <v>836</v>
      </c>
      <c r="D134" s="166"/>
      <c r="M134" s="175"/>
    </row>
    <row r="135" spans="2:14" x14ac:dyDescent="0.25">
      <c r="B135" s="176"/>
      <c r="C135" s="209" t="s">
        <v>1197</v>
      </c>
      <c r="D135" s="166"/>
      <c r="M135" s="175"/>
    </row>
    <row r="136" spans="2:14" ht="14.1" customHeight="1" x14ac:dyDescent="0.25">
      <c r="B136" s="176"/>
      <c r="C136" s="217" t="s">
        <v>837</v>
      </c>
      <c r="D136" s="594"/>
      <c r="E136" s="594"/>
      <c r="F136" s="594"/>
      <c r="G136" s="594"/>
      <c r="H136" s="594"/>
      <c r="I136" s="594"/>
      <c r="J136" s="594"/>
      <c r="K136" s="594"/>
      <c r="M136" s="175"/>
    </row>
    <row r="137" spans="2:14" x14ac:dyDescent="0.25">
      <c r="B137" s="176"/>
      <c r="C137" t="s">
        <v>838</v>
      </c>
      <c r="D137" s="166"/>
      <c r="M137" s="175"/>
    </row>
    <row r="138" spans="2:14" x14ac:dyDescent="0.25">
      <c r="B138" s="176"/>
      <c r="C138" s="660" t="s">
        <v>801</v>
      </c>
      <c r="D138" s="166"/>
      <c r="H138" s="373"/>
      <c r="M138" s="175"/>
      <c r="N138" s="372"/>
    </row>
    <row r="139" spans="2:14" x14ac:dyDescent="0.25">
      <c r="B139" s="176"/>
      <c r="C139" s="661" t="s">
        <v>839</v>
      </c>
      <c r="D139" s="166"/>
      <c r="H139" s="373"/>
      <c r="M139" s="175"/>
      <c r="N139" s="372"/>
    </row>
    <row r="140" spans="2:14" x14ac:dyDescent="0.25">
      <c r="B140" s="176"/>
      <c r="C140" s="660" t="s">
        <v>805</v>
      </c>
      <c r="D140" s="166"/>
      <c r="H140" s="373"/>
      <c r="M140" s="175"/>
      <c r="N140" s="372"/>
    </row>
    <row r="141" spans="2:14" x14ac:dyDescent="0.25">
      <c r="B141" s="176"/>
      <c r="C141" s="661" t="s">
        <v>840</v>
      </c>
      <c r="D141" s="166"/>
      <c r="H141" s="373"/>
      <c r="M141" s="175"/>
      <c r="N141" s="372"/>
    </row>
    <row r="142" spans="2:14" x14ac:dyDescent="0.25">
      <c r="B142" s="176"/>
      <c r="C142" s="661" t="s">
        <v>841</v>
      </c>
      <c r="D142" s="166"/>
      <c r="H142" s="373"/>
      <c r="M142" s="175"/>
      <c r="N142" s="372"/>
    </row>
    <row r="143" spans="2:14" x14ac:dyDescent="0.25">
      <c r="B143" s="176"/>
      <c r="C143" s="661" t="s">
        <v>842</v>
      </c>
      <c r="D143" s="166"/>
      <c r="H143" s="373"/>
      <c r="M143" s="175"/>
      <c r="N143" s="372"/>
    </row>
    <row r="144" spans="2:14" x14ac:dyDescent="0.25">
      <c r="B144" s="176"/>
      <c r="C144" s="660" t="s">
        <v>811</v>
      </c>
      <c r="D144" s="166"/>
      <c r="H144" s="373"/>
      <c r="M144" s="175"/>
      <c r="N144" s="372"/>
    </row>
    <row r="145" spans="2:14" x14ac:dyDescent="0.25">
      <c r="B145" s="176"/>
      <c r="C145" s="661" t="s">
        <v>843</v>
      </c>
      <c r="D145" s="166"/>
      <c r="H145" s="373"/>
      <c r="M145" s="175"/>
      <c r="N145" s="372"/>
    </row>
    <row r="146" spans="2:14" x14ac:dyDescent="0.25">
      <c r="B146" s="176"/>
      <c r="C146" s="217" t="s">
        <v>826</v>
      </c>
      <c r="D146" s="166"/>
      <c r="H146" s="373"/>
      <c r="M146" s="175"/>
    </row>
    <row r="147" spans="2:14" ht="43.35" customHeight="1" x14ac:dyDescent="0.25">
      <c r="B147" s="176"/>
      <c r="C147" s="821" t="s">
        <v>844</v>
      </c>
      <c r="D147" s="821"/>
      <c r="E147" s="821"/>
      <c r="F147" s="821"/>
      <c r="G147" s="821"/>
      <c r="H147" s="821"/>
      <c r="I147" s="821"/>
      <c r="J147" s="821"/>
      <c r="K147" s="821"/>
      <c r="L147" s="821"/>
      <c r="M147" s="175"/>
    </row>
    <row r="148" spans="2:14" ht="17.45" customHeight="1" x14ac:dyDescent="0.25">
      <c r="B148" s="176"/>
      <c r="C148" s="659" t="s">
        <v>766</v>
      </c>
      <c r="D148" s="657"/>
      <c r="E148" s="657"/>
      <c r="F148" s="657"/>
      <c r="G148" s="657"/>
      <c r="H148" s="657"/>
      <c r="I148" s="657"/>
      <c r="J148" s="595"/>
      <c r="K148" s="595"/>
      <c r="L148" s="595"/>
      <c r="M148" s="175"/>
    </row>
    <row r="149" spans="2:14" ht="14.45" customHeight="1" x14ac:dyDescent="0.25">
      <c r="B149" s="176"/>
      <c r="C149" s="828" t="s">
        <v>845</v>
      </c>
      <c r="D149" s="828"/>
      <c r="E149" s="828"/>
      <c r="F149" s="828"/>
      <c r="G149" s="828"/>
      <c r="H149" s="828"/>
      <c r="I149" s="828"/>
      <c r="J149" s="828"/>
      <c r="K149" s="828"/>
      <c r="L149" s="595"/>
      <c r="M149" s="175"/>
    </row>
    <row r="150" spans="2:14" ht="29.45" customHeight="1" x14ac:dyDescent="0.25">
      <c r="B150" s="176"/>
      <c r="C150" s="594" t="s">
        <v>846</v>
      </c>
      <c r="D150" s="594"/>
      <c r="E150" s="372" t="s">
        <v>847</v>
      </c>
      <c r="F150" s="594"/>
      <c r="G150" s="594"/>
      <c r="H150" s="594"/>
      <c r="I150" s="594"/>
      <c r="J150" s="594"/>
      <c r="K150" s="594"/>
      <c r="L150" s="595"/>
      <c r="M150" s="175"/>
    </row>
    <row r="151" spans="2:14" ht="17.45" customHeight="1" x14ac:dyDescent="0.25">
      <c r="B151" s="176"/>
      <c r="C151" s="821" t="s">
        <v>848</v>
      </c>
      <c r="D151" s="821"/>
      <c r="E151" s="821"/>
      <c r="F151" s="821"/>
      <c r="G151" s="821"/>
      <c r="H151" s="821"/>
      <c r="I151" s="821"/>
      <c r="K151" s="595"/>
      <c r="L151" s="595"/>
      <c r="M151" s="175"/>
    </row>
    <row r="152" spans="2:14" ht="17.45" customHeight="1" x14ac:dyDescent="0.25">
      <c r="B152" s="177"/>
      <c r="C152" s="754"/>
      <c r="D152" s="754"/>
      <c r="E152" s="754"/>
      <c r="F152" s="754"/>
      <c r="G152" s="754"/>
      <c r="H152" s="754"/>
      <c r="I152" s="754"/>
      <c r="J152" s="178"/>
      <c r="K152" s="754"/>
      <c r="L152" s="754"/>
      <c r="M152" s="179"/>
    </row>
    <row r="153" spans="2:14" x14ac:dyDescent="0.25">
      <c r="D153" s="166"/>
      <c r="E153" s="166"/>
      <c r="F153" s="166"/>
      <c r="G153" s="166"/>
    </row>
    <row r="154" spans="2:14" x14ac:dyDescent="0.25">
      <c r="B154" s="429" t="s">
        <v>849</v>
      </c>
      <c r="C154" s="428"/>
      <c r="D154" s="428"/>
      <c r="E154" s="428"/>
      <c r="F154" s="428"/>
      <c r="G154" s="428"/>
      <c r="H154" s="428"/>
      <c r="I154" s="428"/>
      <c r="J154" s="428"/>
      <c r="K154" s="428"/>
      <c r="L154" s="428"/>
      <c r="M154" s="248"/>
    </row>
    <row r="155" spans="2:14" x14ac:dyDescent="0.25">
      <c r="B155" s="252"/>
      <c r="C155" s="245"/>
      <c r="D155" s="245"/>
      <c r="E155" s="245"/>
      <c r="F155" s="245"/>
      <c r="G155" s="245"/>
      <c r="H155" s="245"/>
      <c r="I155" s="245"/>
      <c r="J155" s="245"/>
      <c r="K155" s="245"/>
      <c r="L155" s="245"/>
      <c r="M155" s="253"/>
    </row>
    <row r="156" spans="2:14" x14ac:dyDescent="0.25">
      <c r="B156" s="252"/>
      <c r="C156" s="741" t="s">
        <v>850</v>
      </c>
      <c r="D156" s="245"/>
      <c r="E156" s="245"/>
      <c r="F156" s="245"/>
      <c r="G156" s="245"/>
      <c r="H156" s="245"/>
      <c r="I156" s="245"/>
      <c r="J156" s="245"/>
      <c r="K156" s="245"/>
      <c r="L156" s="245"/>
      <c r="M156" s="253"/>
    </row>
    <row r="157" spans="2:14" x14ac:dyDescent="0.25">
      <c r="B157" s="252"/>
      <c r="C157" s="742" t="s">
        <v>851</v>
      </c>
      <c r="D157" s="245"/>
      <c r="E157" s="245"/>
      <c r="F157" s="245"/>
      <c r="G157" s="245"/>
      <c r="H157" s="245"/>
      <c r="I157" s="245"/>
      <c r="J157" s="245"/>
      <c r="K157" s="245"/>
      <c r="L157" s="245"/>
      <c r="M157" s="253"/>
    </row>
    <row r="158" spans="2:14" x14ac:dyDescent="0.25">
      <c r="B158" s="252"/>
      <c r="C158" s="742" t="s">
        <v>852</v>
      </c>
      <c r="D158" s="245"/>
      <c r="E158" s="245"/>
      <c r="F158" s="245"/>
      <c r="G158" s="245"/>
      <c r="H158" s="245"/>
      <c r="I158" s="245"/>
      <c r="J158" s="245"/>
      <c r="K158" s="245"/>
      <c r="L158" s="245"/>
      <c r="M158" s="253"/>
    </row>
    <row r="159" spans="2:14" x14ac:dyDescent="0.25">
      <c r="B159" s="252"/>
      <c r="C159" s="484" t="s">
        <v>853</v>
      </c>
      <c r="D159" s="245"/>
      <c r="E159" s="245"/>
      <c r="F159" s="245"/>
      <c r="G159" s="245"/>
      <c r="H159" s="245"/>
      <c r="I159" s="245"/>
      <c r="J159" s="245"/>
      <c r="K159" s="245"/>
      <c r="L159" s="245"/>
      <c r="M159" s="253"/>
    </row>
    <row r="160" spans="2:14" x14ac:dyDescent="0.25">
      <c r="B160" s="252"/>
      <c r="C160" s="484" t="s">
        <v>854</v>
      </c>
      <c r="D160" s="245"/>
      <c r="E160" s="245"/>
      <c r="F160" s="245"/>
      <c r="G160" s="245"/>
      <c r="H160" s="245"/>
      <c r="I160" s="245"/>
      <c r="J160" s="245"/>
      <c r="K160" s="245"/>
      <c r="L160" s="245"/>
      <c r="M160" s="253"/>
    </row>
    <row r="161" spans="2:13" x14ac:dyDescent="0.25">
      <c r="B161" s="252"/>
      <c r="C161" s="484"/>
      <c r="D161" s="245"/>
      <c r="E161" s="245"/>
      <c r="F161" s="245"/>
      <c r="G161" s="245"/>
      <c r="H161" s="245"/>
      <c r="I161" s="245"/>
      <c r="J161" s="245"/>
      <c r="K161" s="245"/>
      <c r="L161" s="245"/>
      <c r="M161" s="253"/>
    </row>
    <row r="162" spans="2:13" x14ac:dyDescent="0.25">
      <c r="B162" s="252"/>
      <c r="C162" s="743" t="s">
        <v>855</v>
      </c>
      <c r="D162" s="245"/>
      <c r="E162" s="245"/>
      <c r="F162" s="245"/>
      <c r="G162" s="245"/>
      <c r="H162" s="245"/>
      <c r="I162" s="245"/>
      <c r="J162" s="245"/>
      <c r="K162" s="245"/>
      <c r="L162" s="245"/>
      <c r="M162" s="253"/>
    </row>
    <row r="163" spans="2:13" x14ac:dyDescent="0.25">
      <c r="B163" s="252"/>
      <c r="C163" s="742" t="s">
        <v>856</v>
      </c>
      <c r="D163" s="245"/>
      <c r="E163" s="245"/>
      <c r="F163" s="245"/>
      <c r="G163" s="245"/>
      <c r="H163" s="245"/>
      <c r="I163" s="245"/>
      <c r="J163" s="245"/>
      <c r="K163" s="245"/>
      <c r="L163" s="245"/>
      <c r="M163" s="253"/>
    </row>
    <row r="164" spans="2:13" x14ac:dyDescent="0.25">
      <c r="B164" s="252"/>
      <c r="C164" s="484" t="s">
        <v>857</v>
      </c>
      <c r="D164" s="245"/>
      <c r="E164" s="245"/>
      <c r="F164" s="245"/>
      <c r="G164" s="245"/>
      <c r="H164" s="245"/>
      <c r="I164" s="245"/>
      <c r="J164" s="245"/>
      <c r="K164" s="245"/>
      <c r="L164" s="245"/>
      <c r="M164" s="253"/>
    </row>
    <row r="165" spans="2:13" x14ac:dyDescent="0.25">
      <c r="B165" s="252"/>
      <c r="C165" s="484" t="s">
        <v>858</v>
      </c>
      <c r="D165" s="245"/>
      <c r="E165" s="245"/>
      <c r="F165" s="245"/>
      <c r="G165" s="245"/>
      <c r="H165" s="245"/>
      <c r="I165" s="245"/>
      <c r="J165" s="245"/>
      <c r="K165" s="245"/>
      <c r="L165" s="245"/>
      <c r="M165" s="253"/>
    </row>
    <row r="166" spans="2:13" x14ac:dyDescent="0.25">
      <c r="B166" s="252"/>
      <c r="C166" s="484" t="s">
        <v>859</v>
      </c>
      <c r="D166" s="245"/>
      <c r="E166" s="245"/>
      <c r="F166" s="245"/>
      <c r="G166" s="245"/>
      <c r="H166" s="245"/>
      <c r="I166" s="245"/>
      <c r="J166" s="245"/>
      <c r="K166" s="245"/>
      <c r="L166" s="245"/>
      <c r="M166" s="253"/>
    </row>
    <row r="167" spans="2:13" x14ac:dyDescent="0.25">
      <c r="B167" s="250"/>
      <c r="C167" s="254"/>
      <c r="D167" s="249"/>
      <c r="E167" s="249"/>
      <c r="F167" s="249"/>
      <c r="G167" s="249"/>
      <c r="H167" s="249"/>
      <c r="I167" s="249"/>
      <c r="J167" s="249"/>
      <c r="K167" s="249"/>
      <c r="L167" s="249"/>
      <c r="M167" s="251"/>
    </row>
  </sheetData>
  <sheetProtection algorithmName="SHA-512" hashValue="XX6RN4yPKwaPymFTio7NRSqoe7bPr5QHfE1OZSp/B6tXMYTPiDos4ApV2N7PoDeo070kY9Qxmq/YsKpVLi4l9w==" saltValue="DIJ312Fpgs72IqWH3Ot0/w==" spinCount="100000" sheet="1" objects="1" scenarios="1"/>
  <protectedRanges>
    <protectedRange sqref="J123:K123" name="Range31"/>
    <protectedRange sqref="J120:K121" name="Range30"/>
    <protectedRange sqref="J117:K117" name="Range29"/>
    <protectedRange sqref="J115:K115" name="Range28"/>
    <protectedRange sqref="J113:K113" name="Range27"/>
    <protectedRange sqref="E17" name="Range6"/>
    <protectedRange sqref="E11:E12 E15 E17 E19:E20 E27:G31 F32:G32 F35 E33:F34 E36:F36 G39 I58:J61 G125:H125 G91:H91 E78:J78 G33:G36 E71:J72 E84:J84 D64:D68 E52:J55 D55 F37:F38 G94:H123" name="Range1"/>
    <protectedRange sqref="E11:E12" name="Range2"/>
    <protectedRange sqref="G13" name="Range3"/>
    <protectedRange sqref="E19:E20" name="Range4"/>
    <protectedRange sqref="E15" name="Range5"/>
    <protectedRange sqref="E27:G32" name="Range7"/>
    <protectedRange sqref="E17" name="Range8"/>
    <protectedRange sqref="F35:F38" name="Range9"/>
    <protectedRange sqref="E52:F55" name="Range10"/>
    <protectedRange sqref="D55" name="Range11"/>
    <protectedRange sqref="I58:J61" name="Range12"/>
    <protectedRange sqref="D64:E65" name="Range13"/>
    <protectedRange sqref="F66" name="Range14"/>
    <protectedRange sqref="E71:J72" name="Range15"/>
    <protectedRange sqref="E71:J72" name="Range16"/>
    <protectedRange sqref="G78:J78" name="Range17"/>
    <protectedRange sqref="E84:J85" name="Range18"/>
    <protectedRange sqref="G94:H113" name="Range19"/>
    <protectedRange sqref="H114:H123" name="Range20"/>
    <protectedRange sqref="G118:G123" name="Range21"/>
    <protectedRange sqref="J95:K95" name="Range22"/>
    <protectedRange sqref="J97:K97" name="Range23"/>
    <protectedRange sqref="J99:K99" name="Range24"/>
    <protectedRange sqref="J101:K101" name="Range25"/>
    <protectedRange sqref="J103:K103" name="Range26"/>
  </protectedRanges>
  <mergeCells count="11">
    <mergeCell ref="C151:I151"/>
    <mergeCell ref="D60:H60"/>
    <mergeCell ref="C31:D31"/>
    <mergeCell ref="C32:D32"/>
    <mergeCell ref="D59:H59"/>
    <mergeCell ref="C147:L147"/>
    <mergeCell ref="C149:K149"/>
    <mergeCell ref="C130:L130"/>
    <mergeCell ref="G63:K63"/>
    <mergeCell ref="C80:J80"/>
    <mergeCell ref="H32:R32"/>
  </mergeCells>
  <phoneticPr fontId="44"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L27" r:id="rId1" display="https://nhr.mdsas.com/" xr:uid="{6C76EA21-067F-4198-9DDB-A58550A625C0}"/>
    <hyperlink ref="C131" r:id="rId2" location=":~:text=The%20egg%20retrieval%20process%20takes%20about%2015%20minutes.&amp;text=After%20the%20egg%20retrieval%2C%20you,wake%20up%20from%20the%20anesthesia." display="https://extendfertility.com/services/egg-freezing/the-egg-retrieval/ - :~:text=The%20egg%20retrieval%20process%20takes%20about%2015%20minutes.&amp;text=After%20the%20egg%20retrieval%2C%20you,wake%20up%20from%20the%20anesthesia." xr:uid="{A0F475E2-C9CE-492E-9C94-C389AE7C01D3}"/>
    <hyperlink ref="E150" r:id="rId3" display="https://www.stgeorges.nhs.uk/wp-content/uploads/2020/02/UKTS-adults-and-children-with-thalassaemia-guidelines-2016.pdf" xr:uid="{BFEED6B6-980C-4870-892F-50E5604C6989}"/>
    <hyperlink ref="G64" r:id="rId4" display="https://www.groupeproxim.ca/en/article/health/average-height-and-weight" xr:uid="{53DF099C-AB2D-4B2E-9D9F-78864E3E3A62}"/>
    <hyperlink ref="G65" r:id="rId5" display="https://digital.nhs.uk/data-and-information/publications/statistical/health-survey-for-england/2021/part-4-trends" xr:uid="{1A0C05F7-D386-4E55-A5CA-07FCCC7BC81E}"/>
    <hyperlink ref="H29" r:id="rId6" display="https://nhr.mdsas.com/wp-content/uploads/2024/03/NHR-Annual-Report-2021-2022.pdf" xr:uid="{D79E604D-64F8-4684-B39F-0772869AD637}"/>
    <hyperlink ref="C157" r:id="rId7" display="Office for National Statistics Population Estimates, England and Wales: mid-2022" xr:uid="{06563D7D-E49F-47C1-B599-8343F7E3CF35}"/>
    <hyperlink ref="C158" r:id="rId8" xr:uid="{4158B418-5DF8-4D31-AF26-9981546B617F}"/>
    <hyperlink ref="C163" r:id="rId9" xr:uid="{29FFBB07-9ECA-4B27-984A-9BAAEE704A99}"/>
    <hyperlink ref="K59" r:id="rId10" display="https://bnf.nice.org.uk/drugs/plerixafor/medicinal-forms/" xr:uid="{82361BA7-9D05-4A5B-B6AF-E29C9ECE355D}"/>
    <hyperlink ref="K61" r:id="rId11" display="https://hospital.blood.co.uk/components/portfolio-and-prices/" xr:uid="{5DCC6926-BB96-492C-B20F-CACDB9216277}"/>
  </hyperlinks>
  <pageMargins left="0.7" right="0.7" top="0.75" bottom="0.75" header="0.3" footer="0.3"/>
  <pageSetup paperSize="9" scale="49" orientation="portrait" r:id="rId12"/>
  <rowBreaks count="1" manualBreakCount="1">
    <brk id="68" max="12" man="1"/>
  </rowBreaks>
  <legacyDrawing r:id="rId13"/>
  <extLst>
    <ext xmlns:x14="http://schemas.microsoft.com/office/spreadsheetml/2009/9/main" uri="{CCE6A557-97BC-4b89-ADB6-D9C93CAAB3DF}">
      <x14:dataValidations xmlns:xm="http://schemas.microsoft.com/office/excel/2006/main" count="4">
        <x14:dataValidation type="list" allowBlank="1" showInputMessage="1" showErrorMessage="1" prompt="Please select yes or no" xr:uid="{39366EE1-C007-48FC-9822-34A2EDD2FCE5}">
          <x14:formula1>
            <xm:f>'Population selection'!$R$6:$R$7</xm:f>
          </x14:formula1>
          <xm:sqref>E15 F35</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J102 J100 J98 J104:J106</xm:sqref>
        </x14:dataValidation>
        <x14:dataValidation type="list" allowBlank="1" showInputMessage="1" showErrorMessage="1" xr:uid="{BD54A9FB-52DC-4E86-B70E-EB017B4599E1}">
          <x14:formula1>
            <xm:f>payscales!$Q$5:$Q$43</xm:f>
          </x14:formula1>
          <xm:sqref>J95 J97 J101 J99 J103 J108 J110 J113 J115 J117 J120:J121 J123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AK62"/>
  <sheetViews>
    <sheetView showGridLines="0" zoomScale="80" zoomScaleNormal="80" workbookViewId="0">
      <selection activeCell="O8" sqref="O8"/>
    </sheetView>
  </sheetViews>
  <sheetFormatPr defaultColWidth="9.140625" defaultRowHeight="12.75" x14ac:dyDescent="0.2"/>
  <cols>
    <col min="1" max="1" width="3.5703125" style="3" customWidth="1"/>
    <col min="2" max="2" width="30.140625" style="3" customWidth="1"/>
    <col min="3" max="3" width="29.85546875" style="3" bestFit="1" customWidth="1"/>
    <col min="4" max="4" width="11.85546875" style="3" customWidth="1"/>
    <col min="5" max="5" width="11.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2" width="10.5703125" style="3" customWidth="1"/>
    <col min="13" max="13" width="12.5703125" style="3" customWidth="1"/>
    <col min="14" max="14" width="13.5703125" style="3" customWidth="1"/>
    <col min="15" max="15" width="13" style="3" customWidth="1"/>
    <col min="16" max="17" width="12.140625" style="3" customWidth="1"/>
    <col min="18" max="18" width="3.42578125" style="3" customWidth="1"/>
    <col min="19" max="19" width="9.42578125" style="3" customWidth="1"/>
    <col min="20" max="20" width="51.42578125" style="3" customWidth="1"/>
    <col min="21" max="16384" width="9.140625" style="3"/>
  </cols>
  <sheetData>
    <row r="1" spans="1:37" ht="30" customHeight="1" x14ac:dyDescent="0.35">
      <c r="A1" s="211"/>
      <c r="B1" s="566" t="s">
        <v>667</v>
      </c>
      <c r="C1" s="160"/>
      <c r="D1" s="142"/>
      <c r="E1" s="142"/>
      <c r="F1" s="142"/>
      <c r="G1" s="142"/>
      <c r="H1" s="142"/>
      <c r="I1" s="142"/>
      <c r="J1" s="142" t="s">
        <v>860</v>
      </c>
      <c r="K1" s="142" t="s">
        <v>860</v>
      </c>
      <c r="L1" s="142" t="s">
        <v>860</v>
      </c>
      <c r="M1" s="142" t="s">
        <v>860</v>
      </c>
      <c r="N1" s="168"/>
      <c r="O1" s="211"/>
      <c r="P1" s="211"/>
      <c r="Q1" s="211"/>
      <c r="R1" s="211"/>
    </row>
    <row r="2" spans="1:37" ht="26.25" customHeight="1" x14ac:dyDescent="0.35">
      <c r="A2" s="211"/>
      <c r="B2" s="158" t="s">
        <v>53</v>
      </c>
      <c r="C2" s="159" t="s">
        <v>860</v>
      </c>
      <c r="D2" s="142" t="s">
        <v>860</v>
      </c>
      <c r="E2" s="142" t="s">
        <v>860</v>
      </c>
      <c r="F2" s="142" t="s">
        <v>860</v>
      </c>
      <c r="G2" s="142" t="s">
        <v>860</v>
      </c>
      <c r="H2" s="142" t="s">
        <v>860</v>
      </c>
      <c r="I2" s="142" t="s">
        <v>860</v>
      </c>
      <c r="J2" s="142" t="s">
        <v>860</v>
      </c>
      <c r="K2" s="143" t="s">
        <v>860</v>
      </c>
      <c r="L2" s="143"/>
      <c r="M2" s="143"/>
      <c r="N2" s="143"/>
      <c r="O2" s="211"/>
      <c r="P2" s="211"/>
      <c r="Q2" s="211"/>
      <c r="R2" s="211"/>
    </row>
    <row r="3" spans="1:37" ht="14.45" customHeight="1" x14ac:dyDescent="0.35">
      <c r="A3" s="211"/>
      <c r="B3" s="140"/>
      <c r="C3" s="160"/>
      <c r="D3" s="142"/>
      <c r="E3" s="142"/>
      <c r="F3" s="142"/>
      <c r="G3" s="142" t="s">
        <v>860</v>
      </c>
      <c r="H3" s="142" t="s">
        <v>860</v>
      </c>
      <c r="I3" s="142" t="s">
        <v>860</v>
      </c>
      <c r="J3" s="142" t="s">
        <v>860</v>
      </c>
      <c r="K3" s="143" t="s">
        <v>860</v>
      </c>
      <c r="L3" s="143"/>
      <c r="M3" s="143"/>
      <c r="N3" s="143"/>
      <c r="O3" s="211"/>
      <c r="P3" s="211"/>
      <c r="Q3" s="211"/>
      <c r="R3" s="211"/>
    </row>
    <row r="4" spans="1:37" ht="14.45" customHeight="1" x14ac:dyDescent="0.35">
      <c r="A4" s="211"/>
      <c r="B4" t="s">
        <v>861</v>
      </c>
      <c r="C4" s="160"/>
      <c r="D4" s="142"/>
      <c r="E4" s="142"/>
      <c r="F4" s="142"/>
      <c r="G4" s="142" t="s">
        <v>860</v>
      </c>
      <c r="H4" s="142" t="s">
        <v>860</v>
      </c>
      <c r="I4" s="142" t="s">
        <v>860</v>
      </c>
      <c r="J4" s="142" t="s">
        <v>860</v>
      </c>
      <c r="K4" s="143" t="s">
        <v>860</v>
      </c>
      <c r="L4" s="142"/>
      <c r="M4" s="143"/>
      <c r="N4" s="143"/>
      <c r="O4" s="143"/>
      <c r="P4" s="143"/>
      <c r="Q4" s="143"/>
      <c r="R4" s="143"/>
    </row>
    <row r="5" spans="1:37" ht="14.45" customHeight="1" x14ac:dyDescent="0.35">
      <c r="A5" s="211"/>
      <c r="B5" t="s">
        <v>671</v>
      </c>
      <c r="C5" s="160"/>
      <c r="D5" s="142"/>
      <c r="E5" s="142"/>
      <c r="F5" s="142"/>
      <c r="G5" s="142"/>
      <c r="H5" s="142" t="s">
        <v>860</v>
      </c>
      <c r="I5" s="142" t="s">
        <v>860</v>
      </c>
      <c r="J5" s="142" t="s">
        <v>860</v>
      </c>
      <c r="K5" s="143" t="s">
        <v>860</v>
      </c>
      <c r="L5" s="142"/>
      <c r="M5" s="143"/>
      <c r="N5" s="143"/>
      <c r="O5" s="143"/>
      <c r="P5" s="143"/>
      <c r="Q5" s="143"/>
      <c r="R5" s="143"/>
      <c r="U5" s="836"/>
      <c r="V5" s="836"/>
      <c r="W5" s="836"/>
      <c r="X5" s="836"/>
      <c r="Y5" s="836"/>
      <c r="Z5" s="836"/>
      <c r="AA5" s="836"/>
      <c r="AB5" s="836"/>
      <c r="AC5" s="836"/>
      <c r="AD5" s="836"/>
      <c r="AE5" s="836"/>
      <c r="AF5" s="836"/>
      <c r="AG5" s="836"/>
      <c r="AH5" s="836"/>
      <c r="AI5" s="836"/>
      <c r="AJ5" s="836"/>
      <c r="AK5" s="836"/>
    </row>
    <row r="6" spans="1:37" s="268" customFormat="1" ht="29.45" customHeight="1" x14ac:dyDescent="0.25">
      <c r="A6" s="270"/>
      <c r="B6" s="266" t="s">
        <v>862</v>
      </c>
      <c r="C6" s="270"/>
      <c r="D6" s="270"/>
      <c r="E6" s="270"/>
      <c r="F6" s="270"/>
      <c r="G6" s="270"/>
      <c r="H6" s="270"/>
      <c r="I6" s="270"/>
      <c r="J6" s="270"/>
      <c r="K6" s="270"/>
      <c r="L6" s="270"/>
      <c r="M6" s="270"/>
      <c r="N6" s="270"/>
      <c r="O6" s="270"/>
      <c r="P6" s="270"/>
      <c r="Q6" s="270"/>
      <c r="R6" s="270"/>
      <c r="U6" s="836"/>
      <c r="V6" s="836"/>
      <c r="W6" s="836"/>
      <c r="X6" s="836"/>
      <c r="Y6" s="836"/>
      <c r="Z6" s="836"/>
      <c r="AA6" s="836"/>
      <c r="AB6" s="836"/>
      <c r="AC6" s="836"/>
      <c r="AD6" s="836"/>
      <c r="AE6" s="836"/>
      <c r="AF6" s="836"/>
      <c r="AG6" s="836"/>
      <c r="AH6" s="836"/>
      <c r="AI6" s="836"/>
      <c r="AJ6" s="836"/>
      <c r="AK6" s="836"/>
    </row>
    <row r="7" spans="1:37" s="268" customFormat="1" ht="57.6" customHeight="1" x14ac:dyDescent="0.25">
      <c r="A7" s="270"/>
      <c r="B7" s="269" t="s">
        <v>863</v>
      </c>
      <c r="C7" s="271" t="s">
        <v>864</v>
      </c>
      <c r="D7" s="272" t="s">
        <v>865</v>
      </c>
      <c r="E7" s="272" t="s">
        <v>866</v>
      </c>
      <c r="F7" s="272" t="s">
        <v>867</v>
      </c>
      <c r="G7" s="272" t="s">
        <v>868</v>
      </c>
      <c r="H7" s="272" t="s">
        <v>869</v>
      </c>
      <c r="I7" s="269" t="s">
        <v>870</v>
      </c>
      <c r="J7" s="269" t="s">
        <v>871</v>
      </c>
      <c r="K7" s="272" t="s">
        <v>872</v>
      </c>
      <c r="L7" s="272" t="s">
        <v>873</v>
      </c>
      <c r="M7" s="272" t="s">
        <v>874</v>
      </c>
      <c r="N7" s="269" t="s">
        <v>875</v>
      </c>
      <c r="O7" s="271" t="s">
        <v>876</v>
      </c>
      <c r="P7" s="269" t="s">
        <v>877</v>
      </c>
      <c r="Q7" s="272" t="s">
        <v>878</v>
      </c>
      <c r="R7" s="270"/>
      <c r="U7" s="836"/>
      <c r="V7" s="836"/>
      <c r="W7" s="836"/>
      <c r="X7" s="836"/>
      <c r="Y7" s="836"/>
      <c r="Z7" s="836"/>
      <c r="AA7" s="836"/>
      <c r="AB7" s="836"/>
      <c r="AC7" s="836"/>
      <c r="AD7" s="836"/>
      <c r="AE7" s="836"/>
      <c r="AF7" s="836"/>
      <c r="AG7" s="836"/>
      <c r="AH7" s="836"/>
      <c r="AI7" s="836"/>
      <c r="AJ7" s="836"/>
      <c r="AK7" s="836"/>
    </row>
    <row r="8" spans="1:37" s="268" customFormat="1" ht="30" x14ac:dyDescent="0.25">
      <c r="A8" s="270"/>
      <c r="B8" s="568" t="s">
        <v>879</v>
      </c>
      <c r="C8" s="275" t="s">
        <v>716</v>
      </c>
      <c r="D8" s="384" t="s">
        <v>880</v>
      </c>
      <c r="E8" s="384" t="s">
        <v>881</v>
      </c>
      <c r="F8" s="382"/>
      <c r="G8" s="382">
        <v>1</v>
      </c>
      <c r="H8" s="382">
        <f>F8*G8</f>
        <v>0</v>
      </c>
      <c r="I8" s="383" t="s">
        <v>882</v>
      </c>
      <c r="J8" s="383" t="s">
        <v>882</v>
      </c>
      <c r="K8" s="383" t="s">
        <v>882</v>
      </c>
      <c r="L8" s="382" t="str">
        <f>I8</f>
        <v>n/a</v>
      </c>
      <c r="M8" s="275">
        <v>1</v>
      </c>
      <c r="N8" s="275">
        <v>1</v>
      </c>
      <c r="O8" s="460">
        <f>'Inputs and eligible population'!I58</f>
        <v>0</v>
      </c>
      <c r="P8" s="387">
        <f>'Inputs and eligible population'!J58</f>
        <v>0.2</v>
      </c>
      <c r="Q8" s="461">
        <f>(O8*(100%+P8))</f>
        <v>0</v>
      </c>
      <c r="R8" s="270"/>
      <c r="U8" s="3"/>
    </row>
    <row r="9" spans="1:37" s="268" customFormat="1" ht="15.75" x14ac:dyDescent="0.25">
      <c r="A9" s="270"/>
      <c r="B9" s="275"/>
      <c r="C9" s="275" t="s">
        <v>883</v>
      </c>
      <c r="D9" s="384"/>
      <c r="E9" s="384"/>
      <c r="F9" s="382"/>
      <c r="G9" s="382"/>
      <c r="H9" s="382"/>
      <c r="I9" s="382"/>
      <c r="J9" s="383"/>
      <c r="K9" s="383"/>
      <c r="L9" s="382"/>
      <c r="M9" s="275"/>
      <c r="N9" s="388"/>
      <c r="O9" s="385"/>
      <c r="P9" s="387"/>
      <c r="Q9" s="375"/>
      <c r="R9" s="270"/>
      <c r="U9" s="589"/>
      <c r="V9" s="4"/>
      <c r="W9" s="4"/>
      <c r="X9" s="4"/>
      <c r="Y9" s="4"/>
      <c r="Z9" s="4"/>
      <c r="AA9" s="4"/>
      <c r="AB9" s="4"/>
      <c r="AC9" s="4"/>
      <c r="AD9" s="4"/>
      <c r="AE9" s="4"/>
      <c r="AF9" s="4"/>
      <c r="AG9" s="4"/>
      <c r="AH9" s="4"/>
    </row>
    <row r="10" spans="1:37" s="268" customFormat="1" ht="15" x14ac:dyDescent="0.25">
      <c r="A10" s="270"/>
      <c r="B10" s="275"/>
      <c r="C10" s="273" t="s">
        <v>884</v>
      </c>
      <c r="D10" s="276"/>
      <c r="E10" s="276"/>
      <c r="F10" s="276"/>
      <c r="G10" s="276"/>
      <c r="H10" s="276"/>
      <c r="I10" s="276"/>
      <c r="J10" s="276"/>
      <c r="K10" s="276"/>
      <c r="L10" s="276"/>
      <c r="M10" s="276"/>
      <c r="N10" s="276"/>
      <c r="O10" s="276"/>
      <c r="P10" s="274"/>
      <c r="Q10" s="569">
        <f>SUM(Q8:Q9)</f>
        <v>0</v>
      </c>
      <c r="R10" s="270"/>
      <c r="U10" s="3"/>
    </row>
    <row r="11" spans="1:37" s="268" customFormat="1" ht="15" x14ac:dyDescent="0.25">
      <c r="A11" s="270"/>
      <c r="B11" s="266"/>
      <c r="C11" s="270"/>
      <c r="D11" s="270"/>
      <c r="E11" s="270"/>
      <c r="F11" s="270"/>
      <c r="G11" s="270"/>
      <c r="H11" s="270"/>
      <c r="I11" s="270"/>
      <c r="J11" s="270"/>
      <c r="K11" s="270"/>
      <c r="L11" s="270"/>
      <c r="M11" s="270"/>
      <c r="N11" s="270"/>
      <c r="O11" s="270"/>
      <c r="P11" s="270"/>
      <c r="Q11" s="270"/>
      <c r="R11" s="270"/>
      <c r="U11" s="3"/>
    </row>
    <row r="12" spans="1:37" s="268" customFormat="1" ht="15" x14ac:dyDescent="0.25">
      <c r="A12" s="270"/>
      <c r="B12" s="266" t="s">
        <v>885</v>
      </c>
      <c r="C12" s="270"/>
      <c r="D12" s="270"/>
      <c r="E12" s="270"/>
      <c r="F12" s="270"/>
      <c r="G12" s="270"/>
      <c r="H12" s="270"/>
      <c r="I12" s="270"/>
      <c r="J12" s="270"/>
      <c r="K12" s="270"/>
      <c r="L12" s="270"/>
      <c r="M12" s="270"/>
      <c r="N12" s="270"/>
      <c r="O12" s="270"/>
      <c r="P12" s="270"/>
      <c r="Q12" s="270"/>
      <c r="R12" s="270"/>
      <c r="U12" s="3"/>
    </row>
    <row r="13" spans="1:37" s="268" customFormat="1" ht="75" x14ac:dyDescent="0.25">
      <c r="A13" s="270"/>
      <c r="B13" s="269" t="s">
        <v>863</v>
      </c>
      <c r="C13" s="271" t="s">
        <v>864</v>
      </c>
      <c r="D13" s="272" t="s">
        <v>865</v>
      </c>
      <c r="E13" s="272" t="s">
        <v>866</v>
      </c>
      <c r="F13" s="272" t="s">
        <v>867</v>
      </c>
      <c r="G13" s="272" t="s">
        <v>886</v>
      </c>
      <c r="H13" s="272" t="s">
        <v>869</v>
      </c>
      <c r="I13" s="272" t="s">
        <v>887</v>
      </c>
      <c r="J13" s="272" t="s">
        <v>888</v>
      </c>
      <c r="K13" s="272" t="s">
        <v>872</v>
      </c>
      <c r="L13" s="272" t="s">
        <v>889</v>
      </c>
      <c r="M13" s="272" t="s">
        <v>890</v>
      </c>
      <c r="N13" s="272" t="s">
        <v>891</v>
      </c>
      <c r="O13" s="269" t="s">
        <v>877</v>
      </c>
      <c r="P13" s="272" t="s">
        <v>878</v>
      </c>
      <c r="Q13" s="270"/>
      <c r="R13" s="270"/>
      <c r="U13" s="3"/>
    </row>
    <row r="14" spans="1:37" s="268" customFormat="1" ht="95.25" customHeight="1" x14ac:dyDescent="0.25">
      <c r="A14" s="270"/>
      <c r="B14" s="570" t="s">
        <v>892</v>
      </c>
      <c r="C14" s="275" t="s">
        <v>893</v>
      </c>
      <c r="D14" s="384" t="s">
        <v>894</v>
      </c>
      <c r="E14" s="384" t="s">
        <v>881</v>
      </c>
      <c r="F14" s="382">
        <v>24</v>
      </c>
      <c r="G14" s="382">
        <v>1</v>
      </c>
      <c r="H14" s="382">
        <f>F14*G14</f>
        <v>24</v>
      </c>
      <c r="I14" s="382">
        <v>1</v>
      </c>
      <c r="J14" s="383">
        <v>3</v>
      </c>
      <c r="K14" s="578"/>
      <c r="L14" s="598"/>
      <c r="M14" s="574">
        <f>'Inputs and eligible population'!I59</f>
        <v>0</v>
      </c>
      <c r="N14" s="571">
        <f>M14*J14*I14</f>
        <v>0</v>
      </c>
      <c r="O14" s="387">
        <f>'Inputs and eligible population'!J59</f>
        <v>0.2</v>
      </c>
      <c r="P14" s="461">
        <f>N14*(100%++O14)</f>
        <v>0</v>
      </c>
      <c r="Q14" s="572"/>
      <c r="R14" s="270"/>
      <c r="U14" s="3"/>
    </row>
    <row r="15" spans="1:37" s="268" customFormat="1" ht="60" x14ac:dyDescent="0.25">
      <c r="A15" s="270"/>
      <c r="B15" s="570" t="s">
        <v>895</v>
      </c>
      <c r="C15" s="275" t="s">
        <v>896</v>
      </c>
      <c r="D15" s="384" t="s">
        <v>880</v>
      </c>
      <c r="E15" s="384" t="s">
        <v>881</v>
      </c>
      <c r="F15" s="382">
        <v>200</v>
      </c>
      <c r="G15" s="382">
        <v>10</v>
      </c>
      <c r="H15" s="382">
        <f>F15*G15</f>
        <v>2000</v>
      </c>
      <c r="I15" s="575">
        <f>(25*'Inputs and eligible population'!F66)/200</f>
        <v>9.3851630914720694</v>
      </c>
      <c r="J15" s="383">
        <v>21</v>
      </c>
      <c r="K15" s="386">
        <f>'Inputs and eligible population'!F66</f>
        <v>75.081304731776555</v>
      </c>
      <c r="L15" s="579">
        <f>(25*K15)</f>
        <v>1877.0326182944139</v>
      </c>
      <c r="M15" s="574">
        <f>'Inputs and eligible population'!I60</f>
        <v>0</v>
      </c>
      <c r="N15" s="571">
        <f>M15*I15*J15</f>
        <v>0</v>
      </c>
      <c r="O15" s="387">
        <f>'Inputs and eligible population'!J60</f>
        <v>0.2</v>
      </c>
      <c r="P15" s="461">
        <f>N15*(100%++O15)</f>
        <v>0</v>
      </c>
      <c r="Q15" s="572"/>
      <c r="R15" s="270"/>
      <c r="U15" s="3"/>
    </row>
    <row r="16" spans="1:37" s="268" customFormat="1" ht="15" x14ac:dyDescent="0.25">
      <c r="A16" s="270"/>
      <c r="B16" s="275"/>
      <c r="C16" s="275" t="s">
        <v>883</v>
      </c>
      <c r="D16" s="384"/>
      <c r="E16" s="384"/>
      <c r="F16" s="382"/>
      <c r="G16" s="382"/>
      <c r="H16" s="382"/>
      <c r="I16" s="382"/>
      <c r="J16" s="383"/>
      <c r="K16" s="576"/>
      <c r="L16" s="577"/>
      <c r="M16" s="383"/>
      <c r="N16" s="382"/>
      <c r="O16" s="275"/>
      <c r="P16" s="386"/>
      <c r="Q16" s="572"/>
      <c r="R16" s="270"/>
      <c r="U16" s="3"/>
    </row>
    <row r="17" spans="1:29" s="268" customFormat="1" ht="15" x14ac:dyDescent="0.25">
      <c r="A17" s="270"/>
      <c r="B17" s="275"/>
      <c r="C17" s="273" t="s">
        <v>884</v>
      </c>
      <c r="D17" s="276"/>
      <c r="E17" s="276"/>
      <c r="F17" s="276"/>
      <c r="G17" s="276"/>
      <c r="H17" s="276"/>
      <c r="I17" s="276"/>
      <c r="J17" s="276"/>
      <c r="K17" s="276"/>
      <c r="L17" s="276"/>
      <c r="M17" s="276"/>
      <c r="N17" s="276"/>
      <c r="O17" s="276"/>
      <c r="P17" s="569">
        <f>P15+P14</f>
        <v>0</v>
      </c>
      <c r="Q17" s="573"/>
      <c r="R17" s="270"/>
      <c r="U17" s="3"/>
    </row>
    <row r="18" spans="1:29" s="268" customFormat="1" ht="15" x14ac:dyDescent="0.25">
      <c r="A18" s="270"/>
      <c r="B18" s="266"/>
      <c r="C18" s="270"/>
      <c r="D18" s="270"/>
      <c r="E18" s="270"/>
      <c r="F18" s="270"/>
      <c r="G18" s="270"/>
      <c r="H18" s="270"/>
      <c r="I18" s="270"/>
      <c r="J18" s="270"/>
      <c r="K18" s="270"/>
      <c r="L18" s="270"/>
      <c r="M18" s="270"/>
      <c r="N18" s="270"/>
      <c r="O18" s="270"/>
      <c r="P18" s="270"/>
      <c r="Q18" s="270"/>
      <c r="R18" s="270"/>
      <c r="U18" s="3"/>
    </row>
    <row r="19" spans="1:29" s="4" customFormat="1" ht="15" x14ac:dyDescent="0.2">
      <c r="A19" s="5"/>
      <c r="B19" s="214" t="s">
        <v>897</v>
      </c>
      <c r="C19" s="5"/>
      <c r="D19" s="196"/>
      <c r="E19" s="120"/>
      <c r="F19" s="197"/>
      <c r="G19" s="198"/>
      <c r="H19" s="5"/>
      <c r="I19" s="5"/>
      <c r="J19" s="199"/>
      <c r="K19" s="198"/>
      <c r="L19" s="198"/>
      <c r="M19" s="198"/>
      <c r="N19" s="198"/>
      <c r="O19" s="198"/>
      <c r="P19" s="198"/>
      <c r="Q19" s="5"/>
      <c r="R19" s="5"/>
      <c r="U19" s="3"/>
    </row>
    <row r="20" spans="1:29" s="4" customFormat="1" ht="15" x14ac:dyDescent="0.25">
      <c r="A20" s="5"/>
      <c r="B20" s="372" t="s">
        <v>898</v>
      </c>
      <c r="C20" s="5"/>
      <c r="D20" s="196"/>
      <c r="E20" s="120"/>
      <c r="F20" s="197"/>
      <c r="G20" s="198"/>
      <c r="H20" s="5"/>
      <c r="I20" s="5"/>
      <c r="J20" s="199"/>
      <c r="K20" s="198"/>
      <c r="L20" s="198"/>
      <c r="M20" s="198"/>
      <c r="N20" s="198"/>
      <c r="O20" s="198"/>
      <c r="P20" s="198"/>
      <c r="Q20" s="5"/>
      <c r="R20" s="5"/>
      <c r="U20" s="3"/>
    </row>
    <row r="21" spans="1:29" s="4" customFormat="1" ht="15" x14ac:dyDescent="0.2">
      <c r="A21" s="5"/>
      <c r="B21" s="214" t="s">
        <v>899</v>
      </c>
      <c r="C21" s="5"/>
      <c r="D21" s="196"/>
      <c r="E21" s="120"/>
      <c r="F21" s="197"/>
      <c r="G21" s="198"/>
      <c r="H21" s="5"/>
      <c r="I21" s="5"/>
      <c r="J21" s="199"/>
      <c r="K21" s="198"/>
      <c r="L21" s="198"/>
      <c r="M21" s="198"/>
      <c r="N21" s="198"/>
      <c r="O21" s="198"/>
      <c r="P21" s="198"/>
      <c r="Q21" s="5"/>
      <c r="R21" s="5"/>
      <c r="U21" s="3"/>
    </row>
    <row r="22" spans="1:29" s="4" customFormat="1" ht="29.1" customHeight="1" x14ac:dyDescent="0.25">
      <c r="A22" s="5"/>
      <c r="B22" s="837" t="s">
        <v>900</v>
      </c>
      <c r="C22" s="838"/>
      <c r="D22" s="838"/>
      <c r="E22" s="838"/>
      <c r="F22" s="838"/>
      <c r="G22" s="838"/>
      <c r="H22" s="838"/>
      <c r="I22" s="838"/>
      <c r="J22" s="838"/>
      <c r="K22" s="838"/>
      <c r="L22" s="838"/>
      <c r="M22" s="838"/>
      <c r="N22" s="198"/>
      <c r="O22" s="198"/>
      <c r="P22" s="199"/>
      <c r="Q22" s="5"/>
      <c r="R22" s="5"/>
      <c r="U22" s="3"/>
    </row>
    <row r="23" spans="1:29" s="4" customFormat="1" ht="15" x14ac:dyDescent="0.25">
      <c r="A23" s="5"/>
      <c r="B23" s="475"/>
      <c r="C23" s="5"/>
      <c r="D23" s="196"/>
      <c r="E23" s="120"/>
      <c r="F23" s="197"/>
      <c r="G23" s="198"/>
      <c r="H23" s="5"/>
      <c r="I23" s="5"/>
      <c r="J23" s="199"/>
      <c r="K23" s="198"/>
      <c r="L23" s="198"/>
      <c r="M23" s="198"/>
      <c r="N23" s="198"/>
      <c r="O23" s="198"/>
      <c r="P23" s="199"/>
      <c r="Q23" s="5"/>
      <c r="R23" s="5"/>
      <c r="U23" s="3"/>
    </row>
    <row r="24" spans="1:29" s="4" customFormat="1" ht="15" x14ac:dyDescent="0.25">
      <c r="A24" s="5"/>
      <c r="B24" s="266" t="s">
        <v>1191</v>
      </c>
      <c r="C24" s="270"/>
      <c r="D24" s="196"/>
      <c r="E24" s="120"/>
      <c r="F24" s="197"/>
      <c r="G24" s="198"/>
      <c r="H24" s="5"/>
      <c r="I24" s="5"/>
      <c r="J24" s="199"/>
      <c r="K24" s="198"/>
      <c r="L24" s="198"/>
      <c r="M24" s="198"/>
      <c r="N24" s="198"/>
      <c r="O24" s="198"/>
      <c r="P24" s="199"/>
      <c r="Q24" s="5"/>
      <c r="R24" s="5"/>
      <c r="U24" s="3"/>
    </row>
    <row r="25" spans="1:29" s="4" customFormat="1" ht="15" x14ac:dyDescent="0.25">
      <c r="A25" s="5"/>
      <c r="B25" s="269" t="s">
        <v>902</v>
      </c>
      <c r="C25" s="271" t="s">
        <v>903</v>
      </c>
      <c r="D25" s="271" t="s">
        <v>904</v>
      </c>
      <c r="E25" s="277" t="s">
        <v>905</v>
      </c>
      <c r="F25" s="472"/>
      <c r="G25" s="473"/>
      <c r="H25" s="474"/>
      <c r="I25" s="473"/>
      <c r="J25" s="474"/>
      <c r="K25" s="473"/>
      <c r="L25" s="474"/>
      <c r="M25" s="473"/>
      <c r="N25" s="476" t="s">
        <v>1178</v>
      </c>
      <c r="O25" s="815"/>
      <c r="P25" s="199"/>
      <c r="Q25" s="5"/>
      <c r="R25" s="5"/>
      <c r="U25" s="3"/>
    </row>
    <row r="26" spans="1:29" s="4" customFormat="1" ht="47.45" customHeight="1" x14ac:dyDescent="0.25">
      <c r="A26" s="5"/>
      <c r="B26" s="568" t="s">
        <v>879</v>
      </c>
      <c r="C26" s="520" t="s">
        <v>882</v>
      </c>
      <c r="D26" s="521">
        <f>'Inputs and eligible population'!E52</f>
        <v>1</v>
      </c>
      <c r="E26" s="843" t="s">
        <v>906</v>
      </c>
      <c r="F26" s="844"/>
      <c r="G26" s="844"/>
      <c r="H26" s="844"/>
      <c r="I26" s="844"/>
      <c r="J26" s="844"/>
      <c r="K26" s="844"/>
      <c r="L26" s="844"/>
      <c r="M26" s="845"/>
      <c r="N26" s="461">
        <v>41101</v>
      </c>
      <c r="O26" s="816"/>
      <c r="P26" s="199"/>
      <c r="Q26" s="5"/>
      <c r="R26" s="5"/>
      <c r="S26" s="839"/>
      <c r="T26" s="839"/>
      <c r="U26" s="839"/>
      <c r="V26" s="839"/>
      <c r="W26" s="839"/>
      <c r="X26" s="839"/>
      <c r="Y26" s="839"/>
      <c r="Z26" s="839"/>
      <c r="AA26" s="839"/>
      <c r="AB26" s="839"/>
      <c r="AC26" s="839"/>
    </row>
    <row r="27" spans="1:29" s="4" customFormat="1" ht="15" x14ac:dyDescent="0.25">
      <c r="A27" s="5"/>
      <c r="B27" s="814" t="s">
        <v>907</v>
      </c>
      <c r="C27" s="5"/>
      <c r="D27" s="196"/>
      <c r="E27" s="120"/>
      <c r="F27" s="197"/>
      <c r="G27" s="198"/>
      <c r="H27" s="5"/>
      <c r="I27" s="5"/>
      <c r="J27" s="199"/>
      <c r="K27" s="198"/>
      <c r="L27" s="198"/>
      <c r="M27" s="198"/>
      <c r="N27" s="198"/>
      <c r="O27" s="198"/>
      <c r="P27" s="199"/>
      <c r="Q27" s="580"/>
      <c r="R27" s="5"/>
      <c r="U27" s="3"/>
    </row>
    <row r="28" spans="1:29" s="4" customFormat="1" ht="15" x14ac:dyDescent="0.25">
      <c r="A28" s="5"/>
      <c r="B28" s="814" t="s">
        <v>1196</v>
      </c>
      <c r="C28" s="5"/>
      <c r="D28" s="372" t="s">
        <v>1195</v>
      </c>
      <c r="E28" s="120"/>
      <c r="F28" s="197"/>
      <c r="G28" s="198"/>
      <c r="H28" s="5"/>
      <c r="I28" s="5"/>
      <c r="J28" s="199"/>
      <c r="K28" s="198"/>
      <c r="L28" s="198"/>
      <c r="M28" s="198"/>
      <c r="N28" s="198"/>
      <c r="O28" s="198"/>
      <c r="P28" s="199"/>
      <c r="Q28" s="580"/>
      <c r="R28" s="5"/>
      <c r="U28" s="3"/>
    </row>
    <row r="29" spans="1:29" s="4" customFormat="1" ht="15" x14ac:dyDescent="0.25">
      <c r="A29" s="5"/>
      <c r="B29" s="813" t="s">
        <v>1189</v>
      </c>
      <c r="C29" s="662"/>
      <c r="D29" s="196"/>
      <c r="E29" s="120"/>
      <c r="F29" s="197"/>
      <c r="G29" s="198"/>
      <c r="H29" s="5"/>
      <c r="I29" s="5"/>
      <c r="J29" s="199"/>
      <c r="K29" s="198"/>
      <c r="L29" s="198"/>
      <c r="M29" s="198"/>
      <c r="N29" s="198"/>
      <c r="O29" s="198"/>
      <c r="P29" s="199"/>
      <c r="Q29" s="580"/>
      <c r="R29" s="5"/>
      <c r="U29" s="3"/>
    </row>
    <row r="30" spans="1:29" s="4" customFormat="1" ht="32.1" customHeight="1" x14ac:dyDescent="0.25">
      <c r="A30" s="5"/>
      <c r="B30" s="832" t="s">
        <v>1185</v>
      </c>
      <c r="C30" s="832"/>
      <c r="D30" s="832"/>
      <c r="E30" s="832"/>
      <c r="F30" s="832"/>
      <c r="G30" s="832"/>
      <c r="H30" s="832"/>
      <c r="I30" s="832"/>
      <c r="J30" s="832"/>
      <c r="K30" s="832"/>
      <c r="L30" s="832"/>
      <c r="M30" s="832"/>
      <c r="N30" s="832"/>
      <c r="O30" s="832"/>
      <c r="P30" s="199"/>
      <c r="Q30" s="580"/>
      <c r="R30" s="5"/>
      <c r="U30" s="3"/>
    </row>
    <row r="31" spans="1:29" s="4" customFormat="1" ht="33" customHeight="1" x14ac:dyDescent="0.25">
      <c r="A31" s="5"/>
      <c r="B31" s="832" t="s">
        <v>1186</v>
      </c>
      <c r="C31" s="832"/>
      <c r="D31" s="832"/>
      <c r="E31" s="832"/>
      <c r="F31" s="832"/>
      <c r="G31" s="832"/>
      <c r="H31" s="832"/>
      <c r="I31" s="832"/>
      <c r="J31" s="832"/>
      <c r="K31" s="832"/>
      <c r="L31" s="832"/>
      <c r="M31" s="832"/>
      <c r="N31" s="832"/>
      <c r="O31" s="832"/>
      <c r="P31" s="199"/>
      <c r="Q31" s="580"/>
      <c r="R31" s="5"/>
      <c r="U31" s="3"/>
    </row>
    <row r="32" spans="1:29" s="4" customFormat="1" ht="15" x14ac:dyDescent="0.25">
      <c r="A32" s="5"/>
      <c r="B32" s="270" t="s">
        <v>1187</v>
      </c>
      <c r="C32" s="196"/>
      <c r="D32" s="196"/>
      <c r="E32" s="120"/>
      <c r="F32" s="197"/>
      <c r="G32" s="198"/>
      <c r="H32" s="5"/>
      <c r="I32" s="5"/>
      <c r="J32" s="199"/>
      <c r="K32" s="198"/>
      <c r="L32" s="198"/>
      <c r="M32" s="198"/>
      <c r="N32" s="198"/>
      <c r="O32" s="198"/>
      <c r="P32" s="199"/>
      <c r="Q32" s="580"/>
      <c r="R32" s="5"/>
      <c r="U32" s="3"/>
    </row>
    <row r="33" spans="1:21" s="4" customFormat="1" ht="15" x14ac:dyDescent="0.25">
      <c r="A33" s="5"/>
      <c r="B33" s="270" t="s">
        <v>1183</v>
      </c>
      <c r="C33" s="196"/>
      <c r="D33" s="196"/>
      <c r="E33" s="120"/>
      <c r="F33" s="197"/>
      <c r="G33" s="198"/>
      <c r="H33" s="5"/>
      <c r="I33" s="5"/>
      <c r="J33" s="199"/>
      <c r="K33" s="198"/>
      <c r="L33" s="198"/>
      <c r="M33" s="198"/>
      <c r="N33" s="198"/>
      <c r="O33" s="198"/>
      <c r="P33" s="199"/>
      <c r="Q33" s="580"/>
      <c r="R33" s="5"/>
      <c r="U33" s="3"/>
    </row>
    <row r="34" spans="1:21" s="4" customFormat="1" ht="15" x14ac:dyDescent="0.25">
      <c r="A34" s="5"/>
      <c r="B34" s="814" t="s">
        <v>1192</v>
      </c>
      <c r="C34" s="196"/>
      <c r="D34" s="196"/>
      <c r="E34" s="120"/>
      <c r="F34" s="197"/>
      <c r="G34" s="198"/>
      <c r="H34" s="5"/>
      <c r="I34" s="5"/>
      <c r="J34" s="199"/>
      <c r="K34" s="198"/>
      <c r="L34" s="198"/>
      <c r="M34" s="198"/>
      <c r="N34" s="198"/>
      <c r="O34" s="198"/>
      <c r="P34" s="199"/>
      <c r="Q34" s="580"/>
      <c r="R34" s="5"/>
      <c r="U34" s="3"/>
    </row>
    <row r="35" spans="1:21" s="4" customFormat="1" ht="15" x14ac:dyDescent="0.25">
      <c r="A35" s="5"/>
      <c r="B35" s="814" t="s">
        <v>909</v>
      </c>
      <c r="C35" s="814"/>
      <c r="D35" s="814"/>
      <c r="E35" s="814"/>
      <c r="F35" s="814"/>
      <c r="G35" s="814"/>
      <c r="H35" s="814"/>
      <c r="I35" s="814"/>
      <c r="J35" s="120"/>
      <c r="K35" s="198"/>
      <c r="L35" s="198"/>
      <c r="M35" s="198"/>
      <c r="N35" s="198"/>
      <c r="O35" s="198"/>
      <c r="P35" s="199"/>
      <c r="Q35" s="580"/>
      <c r="R35" s="5"/>
      <c r="U35" s="3"/>
    </row>
    <row r="36" spans="1:21" s="4" customFormat="1" ht="15" x14ac:dyDescent="0.25">
      <c r="A36" s="5"/>
      <c r="B36" s="593" t="s">
        <v>1184</v>
      </c>
      <c r="C36" s="602"/>
      <c r="D36" s="602"/>
      <c r="E36" s="602"/>
      <c r="F36" s="602"/>
      <c r="G36" s="602"/>
      <c r="H36" s="602"/>
      <c r="I36" s="602"/>
      <c r="J36" s="199"/>
      <c r="K36" s="198"/>
      <c r="L36" s="198"/>
      <c r="M36" s="198"/>
      <c r="N36" s="198"/>
      <c r="O36" s="198"/>
      <c r="P36" s="199"/>
      <c r="Q36" s="580"/>
      <c r="R36" s="5"/>
      <c r="U36" s="3"/>
    </row>
    <row r="37" spans="1:21" s="4" customFormat="1" ht="15" x14ac:dyDescent="0.25">
      <c r="A37" s="5"/>
      <c r="B37" s="593"/>
      <c r="C37" s="5"/>
      <c r="D37" s="196"/>
      <c r="E37" s="5"/>
      <c r="F37" s="197"/>
      <c r="G37" s="198"/>
      <c r="H37" s="5"/>
      <c r="I37" s="5"/>
      <c r="J37" s="199"/>
      <c r="K37" s="198"/>
      <c r="L37" s="198"/>
      <c r="M37" s="198"/>
      <c r="N37" s="198"/>
      <c r="O37" s="198"/>
      <c r="P37" s="199"/>
      <c r="Q37" s="580"/>
      <c r="R37" s="5"/>
      <c r="U37" s="3"/>
    </row>
    <row r="38" spans="1:21" s="4" customFormat="1" ht="15" x14ac:dyDescent="0.25">
      <c r="A38" s="5"/>
      <c r="B38" t="s">
        <v>1188</v>
      </c>
      <c r="C38" t="s">
        <v>914</v>
      </c>
      <c r="D38"/>
      <c r="E38"/>
      <c r="F38"/>
      <c r="G38"/>
      <c r="H38"/>
      <c r="I38"/>
      <c r="J38" s="199"/>
      <c r="K38" s="198"/>
      <c r="L38" s="198"/>
      <c r="M38" s="198"/>
      <c r="N38" s="198"/>
      <c r="O38" s="198"/>
      <c r="P38" s="199"/>
      <c r="Q38" s="580"/>
      <c r="R38" s="5"/>
      <c r="U38" s="3"/>
    </row>
    <row r="39" spans="1:21" s="4" customFormat="1" ht="15" x14ac:dyDescent="0.25">
      <c r="A39" s="5"/>
      <c r="B39" s="196"/>
      <c r="C39" s="196"/>
      <c r="D39" s="196"/>
      <c r="E39" s="120"/>
      <c r="F39" s="197"/>
      <c r="G39" s="198"/>
      <c r="H39" s="5"/>
      <c r="I39" s="5"/>
      <c r="J39" s="199"/>
      <c r="K39" s="198"/>
      <c r="L39" s="198"/>
      <c r="M39" s="198"/>
      <c r="N39" s="198"/>
      <c r="O39" s="198"/>
      <c r="P39" s="199"/>
      <c r="Q39" s="580"/>
      <c r="R39" s="5"/>
      <c r="U39" s="3"/>
    </row>
    <row r="40" spans="1:21" s="4" customFormat="1" ht="15" x14ac:dyDescent="0.25">
      <c r="A40" s="5"/>
      <c r="B40" s="266" t="s">
        <v>915</v>
      </c>
      <c r="C40" s="196"/>
      <c r="D40" s="196"/>
      <c r="E40" s="120"/>
      <c r="F40" s="197"/>
      <c r="G40" s="198"/>
      <c r="H40" s="5"/>
      <c r="I40" s="5"/>
      <c r="J40" s="199"/>
      <c r="K40" s="198"/>
      <c r="L40" s="198"/>
      <c r="M40" s="198"/>
      <c r="N40" s="198"/>
      <c r="O40" s="198"/>
      <c r="P40" s="199"/>
      <c r="Q40" s="581"/>
      <c r="R40" s="5"/>
      <c r="U40" s="3"/>
    </row>
    <row r="41" spans="1:21" s="4" customFormat="1" ht="45" x14ac:dyDescent="0.25">
      <c r="A41" s="5"/>
      <c r="B41" s="269" t="s">
        <v>863</v>
      </c>
      <c r="C41" s="271" t="s">
        <v>864</v>
      </c>
      <c r="D41" s="272" t="s">
        <v>865</v>
      </c>
      <c r="E41" s="272" t="s">
        <v>866</v>
      </c>
      <c r="F41" s="272" t="s">
        <v>867</v>
      </c>
      <c r="G41" s="272" t="s">
        <v>868</v>
      </c>
      <c r="H41" s="272" t="s">
        <v>869</v>
      </c>
      <c r="I41" s="269" t="s">
        <v>870</v>
      </c>
      <c r="J41" s="269" t="s">
        <v>871</v>
      </c>
      <c r="K41" s="272" t="s">
        <v>872</v>
      </c>
      <c r="L41" s="272" t="s">
        <v>916</v>
      </c>
      <c r="M41" s="272" t="s">
        <v>874</v>
      </c>
      <c r="N41" s="269" t="s">
        <v>875</v>
      </c>
      <c r="O41" s="271" t="s">
        <v>917</v>
      </c>
      <c r="P41" s="269" t="s">
        <v>877</v>
      </c>
      <c r="Q41" s="272" t="s">
        <v>878</v>
      </c>
      <c r="R41" s="5"/>
      <c r="U41" s="3"/>
    </row>
    <row r="42" spans="1:21" s="4" customFormat="1" ht="15" x14ac:dyDescent="0.25">
      <c r="A42" s="5"/>
      <c r="B42" s="568" t="s">
        <v>729</v>
      </c>
      <c r="C42" s="275" t="s">
        <v>918</v>
      </c>
      <c r="D42" s="384" t="s">
        <v>880</v>
      </c>
      <c r="E42" s="384" t="s">
        <v>881</v>
      </c>
      <c r="F42" s="382" t="s">
        <v>882</v>
      </c>
      <c r="G42" s="382" t="s">
        <v>882</v>
      </c>
      <c r="H42" s="382" t="s">
        <v>882</v>
      </c>
      <c r="I42" s="383" t="s">
        <v>882</v>
      </c>
      <c r="J42" s="383" t="s">
        <v>882</v>
      </c>
      <c r="K42" s="383" t="s">
        <v>882</v>
      </c>
      <c r="L42" s="692">
        <v>4</v>
      </c>
      <c r="M42" s="275"/>
      <c r="N42" s="275">
        <v>15</v>
      </c>
      <c r="O42" s="385">
        <f>'Inputs and eligible population'!I61</f>
        <v>0</v>
      </c>
      <c r="P42" s="387"/>
      <c r="Q42" s="461">
        <f>(O42*L42*N42)*(100%+P42)</f>
        <v>0</v>
      </c>
      <c r="R42" s="5"/>
      <c r="U42" s="3"/>
    </row>
    <row r="43" spans="1:21" s="4" customFormat="1" ht="15" x14ac:dyDescent="0.25">
      <c r="A43" s="5"/>
      <c r="B43" s="275"/>
      <c r="C43" s="275" t="s">
        <v>883</v>
      </c>
      <c r="D43" s="384"/>
      <c r="E43" s="384"/>
      <c r="F43" s="382"/>
      <c r="G43" s="382"/>
      <c r="H43" s="382"/>
      <c r="I43" s="382"/>
      <c r="J43" s="383"/>
      <c r="K43" s="383"/>
      <c r="L43" s="382"/>
      <c r="M43" s="275"/>
      <c r="N43" s="388"/>
      <c r="O43" s="385"/>
      <c r="P43" s="387"/>
      <c r="Q43" s="375"/>
      <c r="R43" s="5"/>
      <c r="U43" s="3"/>
    </row>
    <row r="44" spans="1:21" s="4" customFormat="1" ht="15" x14ac:dyDescent="0.25">
      <c r="A44" s="5"/>
      <c r="B44" s="275"/>
      <c r="C44" s="273" t="s">
        <v>884</v>
      </c>
      <c r="D44" s="276"/>
      <c r="E44" s="276"/>
      <c r="F44" s="276"/>
      <c r="G44" s="276"/>
      <c r="H44" s="276"/>
      <c r="I44" s="276"/>
      <c r="J44" s="276"/>
      <c r="K44" s="276"/>
      <c r="L44" s="276"/>
      <c r="M44" s="276"/>
      <c r="N44" s="276"/>
      <c r="O44" s="276"/>
      <c r="P44" s="274"/>
      <c r="Q44" s="569">
        <f>SUM(Q42:Q43)</f>
        <v>0</v>
      </c>
      <c r="R44" s="5"/>
      <c r="U44" s="3"/>
    </row>
    <row r="45" spans="1:21" s="4" customFormat="1" ht="15" x14ac:dyDescent="0.25">
      <c r="A45" s="5"/>
      <c r="B45" s="270" t="s">
        <v>919</v>
      </c>
      <c r="C45" s="270"/>
      <c r="D45" s="270"/>
      <c r="E45" s="270"/>
      <c r="F45" s="270"/>
      <c r="G45" s="270"/>
      <c r="H45" s="270"/>
      <c r="I45" s="270"/>
      <c r="J45" s="270"/>
      <c r="K45" s="270"/>
      <c r="L45" s="270"/>
      <c r="M45" s="270"/>
      <c r="N45" s="270"/>
      <c r="O45" s="270"/>
      <c r="P45" s="270"/>
      <c r="Q45" s="599"/>
      <c r="R45" s="5"/>
      <c r="U45" s="3"/>
    </row>
    <row r="46" spans="1:21" s="4" customFormat="1" ht="15" x14ac:dyDescent="0.25">
      <c r="A46" s="5"/>
      <c r="B46" t="s">
        <v>920</v>
      </c>
      <c r="C46" s="372" t="s">
        <v>731</v>
      </c>
      <c r="D46" s="196"/>
      <c r="E46" s="120"/>
      <c r="F46" s="197"/>
      <c r="G46" s="198"/>
      <c r="H46" s="5"/>
      <c r="I46" s="5"/>
      <c r="J46" s="199"/>
      <c r="K46" s="198"/>
      <c r="L46" s="198"/>
      <c r="M46" s="198"/>
      <c r="N46" s="198"/>
      <c r="O46" s="198"/>
      <c r="P46" s="199"/>
      <c r="Q46" s="580"/>
      <c r="R46" s="5"/>
      <c r="U46" s="3"/>
    </row>
    <row r="47" spans="1:21" s="4" customFormat="1" ht="15" x14ac:dyDescent="0.25">
      <c r="A47" s="5"/>
      <c r="B47" t="s">
        <v>921</v>
      </c>
      <c r="C47" s="372"/>
      <c r="D47" s="196"/>
      <c r="E47" s="120"/>
      <c r="F47" s="197"/>
      <c r="G47" s="198"/>
      <c r="H47" s="5"/>
      <c r="I47" s="5"/>
      <c r="J47" s="199"/>
      <c r="K47" s="198"/>
      <c r="L47" s="198"/>
      <c r="M47" s="198"/>
      <c r="N47" s="198"/>
      <c r="O47" s="198"/>
      <c r="P47" s="199"/>
      <c r="Q47" s="580"/>
      <c r="R47" s="5"/>
      <c r="U47" s="3"/>
    </row>
    <row r="48" spans="1:21" s="4" customFormat="1" ht="15" x14ac:dyDescent="0.25">
      <c r="A48" s="5"/>
      <c r="B48"/>
      <c r="C48" s="372"/>
      <c r="D48" s="196"/>
      <c r="E48" s="120"/>
      <c r="F48" s="197"/>
      <c r="G48" s="198"/>
      <c r="H48" s="5"/>
      <c r="I48" s="5"/>
      <c r="J48" s="199"/>
      <c r="K48" s="198"/>
      <c r="L48" s="198"/>
      <c r="M48" s="198"/>
      <c r="N48" s="198"/>
      <c r="O48" s="198"/>
      <c r="P48" s="199"/>
      <c r="Q48" s="580"/>
      <c r="R48" s="5"/>
      <c r="U48" s="3"/>
    </row>
    <row r="49" spans="1:21" s="4" customFormat="1" ht="15" x14ac:dyDescent="0.25">
      <c r="A49" s="5"/>
      <c r="B49" s="266" t="s">
        <v>901</v>
      </c>
      <c r="C49" s="270"/>
      <c r="D49" s="196"/>
      <c r="E49" s="120"/>
      <c r="F49" s="197"/>
      <c r="G49" s="198"/>
      <c r="H49" s="5"/>
      <c r="I49" s="5"/>
      <c r="J49" s="199"/>
      <c r="K49" s="198"/>
      <c r="L49" s="198"/>
      <c r="M49" s="198"/>
      <c r="N49" s="198"/>
      <c r="O49" s="198"/>
      <c r="P49" s="582" t="s">
        <v>67</v>
      </c>
      <c r="Q49" s="582" t="s">
        <v>922</v>
      </c>
      <c r="R49" s="5"/>
      <c r="U49" s="3"/>
    </row>
    <row r="50" spans="1:21" s="4" customFormat="1" ht="15" x14ac:dyDescent="0.25">
      <c r="A50" s="5"/>
      <c r="B50" s="269" t="s">
        <v>902</v>
      </c>
      <c r="C50" s="271" t="s">
        <v>903</v>
      </c>
      <c r="D50" s="271" t="s">
        <v>923</v>
      </c>
      <c r="E50" s="277" t="s">
        <v>905</v>
      </c>
      <c r="F50" s="472"/>
      <c r="G50" s="473"/>
      <c r="H50" s="474"/>
      <c r="I50" s="473"/>
      <c r="J50" s="474"/>
      <c r="K50" s="473"/>
      <c r="L50" s="474"/>
      <c r="M50" s="473"/>
      <c r="N50" s="476" t="s">
        <v>908</v>
      </c>
      <c r="O50" s="198"/>
      <c r="P50" s="493" t="s">
        <v>924</v>
      </c>
      <c r="Q50" s="493" t="s">
        <v>925</v>
      </c>
      <c r="R50" s="5"/>
      <c r="U50" s="3"/>
    </row>
    <row r="51" spans="1:21" s="4" customFormat="1" ht="15" x14ac:dyDescent="0.25">
      <c r="A51" s="5"/>
      <c r="B51" s="568" t="s">
        <v>729</v>
      </c>
      <c r="C51" s="583" t="s">
        <v>910</v>
      </c>
      <c r="D51" s="521">
        <f>N42</f>
        <v>15</v>
      </c>
      <c r="E51" s="840" t="s">
        <v>911</v>
      </c>
      <c r="F51" s="841"/>
      <c r="G51" s="841"/>
      <c r="H51" s="841"/>
      <c r="I51" s="841"/>
      <c r="J51" s="841"/>
      <c r="K51" s="841"/>
      <c r="L51" s="841"/>
      <c r="M51" s="842"/>
      <c r="N51" s="461">
        <v>511</v>
      </c>
      <c r="O51" s="198"/>
      <c r="P51" s="493" t="s">
        <v>926</v>
      </c>
      <c r="Q51" s="493" t="s">
        <v>927</v>
      </c>
      <c r="R51" s="5"/>
      <c r="U51" s="3"/>
    </row>
    <row r="52" spans="1:21" s="4" customFormat="1" ht="15" x14ac:dyDescent="0.25">
      <c r="A52" s="5"/>
      <c r="B52" s="568" t="s">
        <v>729</v>
      </c>
      <c r="C52" s="583" t="s">
        <v>912</v>
      </c>
      <c r="D52" s="521">
        <f>N42</f>
        <v>15</v>
      </c>
      <c r="E52" s="840" t="s">
        <v>913</v>
      </c>
      <c r="F52" s="841"/>
      <c r="G52" s="841"/>
      <c r="H52" s="841"/>
      <c r="I52" s="841"/>
      <c r="J52" s="841"/>
      <c r="K52" s="841"/>
      <c r="L52" s="841"/>
      <c r="M52" s="842"/>
      <c r="N52" s="461">
        <v>678</v>
      </c>
      <c r="O52" s="198"/>
      <c r="P52" s="493" t="s">
        <v>928</v>
      </c>
      <c r="Q52" s="493" t="s">
        <v>929</v>
      </c>
      <c r="R52" s="5"/>
      <c r="U52" s="3"/>
    </row>
    <row r="53" spans="1:21" s="4" customFormat="1" ht="15" x14ac:dyDescent="0.25">
      <c r="A53" s="5"/>
      <c r="B53" s="214" t="s">
        <v>930</v>
      </c>
      <c r="C53" s="196"/>
      <c r="D53" s="196"/>
      <c r="E53" s="120"/>
      <c r="F53" s="197"/>
      <c r="G53" s="198"/>
      <c r="H53" s="5"/>
      <c r="I53" s="5"/>
      <c r="J53" s="199"/>
      <c r="K53" s="198"/>
      <c r="L53" s="198"/>
      <c r="M53" s="198"/>
      <c r="N53" s="198"/>
      <c r="O53" s="198"/>
      <c r="P53" s="493" t="s">
        <v>931</v>
      </c>
      <c r="Q53" s="493" t="s">
        <v>932</v>
      </c>
      <c r="R53" s="5"/>
      <c r="U53" s="3"/>
    </row>
    <row r="54" spans="1:21" s="4" customFormat="1" ht="15" x14ac:dyDescent="0.25">
      <c r="A54" s="5"/>
      <c r="B54" s="212" t="s">
        <v>933</v>
      </c>
      <c r="C54" s="196"/>
      <c r="D54" s="196"/>
      <c r="E54" s="120"/>
      <c r="F54" s="197"/>
      <c r="G54" s="198"/>
      <c r="H54" s="5"/>
      <c r="I54" s="5"/>
      <c r="J54" s="199"/>
      <c r="K54" s="198"/>
      <c r="L54" s="198"/>
      <c r="M54" s="198"/>
      <c r="N54" s="198"/>
      <c r="O54" s="198"/>
      <c r="P54" s="493" t="s">
        <v>934</v>
      </c>
      <c r="Q54" s="493" t="s">
        <v>935</v>
      </c>
      <c r="R54" s="5"/>
      <c r="U54" s="3"/>
    </row>
    <row r="55" spans="1:21" s="4" customFormat="1" ht="15" x14ac:dyDescent="0.25">
      <c r="A55" s="5"/>
      <c r="B55" s="196"/>
      <c r="C55" s="196"/>
      <c r="D55" s="196"/>
      <c r="E55" s="120"/>
      <c r="F55" s="197"/>
      <c r="G55" s="198"/>
      <c r="H55" s="5"/>
      <c r="I55" s="5"/>
      <c r="J55" s="199"/>
      <c r="K55" s="198"/>
      <c r="L55" s="198"/>
      <c r="M55" s="198"/>
      <c r="N55" s="198"/>
      <c r="O55" s="198"/>
      <c r="P55" s="746"/>
      <c r="Q55" s="493" t="s">
        <v>936</v>
      </c>
      <c r="R55" s="5"/>
      <c r="U55" s="3"/>
    </row>
    <row r="56" spans="1:21" s="4" customFormat="1" ht="15" x14ac:dyDescent="0.25">
      <c r="A56" s="5"/>
      <c r="B56" s="601" t="s">
        <v>818</v>
      </c>
      <c r="C56" s="196"/>
      <c r="D56" s="196"/>
      <c r="E56" s="666"/>
      <c r="F56" s="667"/>
      <c r="G56" s="668"/>
      <c r="H56" s="5"/>
      <c r="I56" s="5"/>
      <c r="J56" s="199"/>
      <c r="K56" s="198"/>
      <c r="L56" s="198"/>
      <c r="M56" s="198"/>
      <c r="N56" s="198"/>
      <c r="O56" s="198"/>
      <c r="P56" s="493" t="s">
        <v>937</v>
      </c>
      <c r="Q56" s="493" t="s">
        <v>931</v>
      </c>
      <c r="R56" s="5"/>
      <c r="U56" s="3"/>
    </row>
    <row r="57" spans="1:21" s="4" customFormat="1" ht="15" x14ac:dyDescent="0.25">
      <c r="A57" s="5"/>
      <c r="B57" s="269" t="s">
        <v>902</v>
      </c>
      <c r="C57" s="271" t="s">
        <v>903</v>
      </c>
      <c r="D57" s="271" t="s">
        <v>923</v>
      </c>
      <c r="E57" s="277" t="s">
        <v>905</v>
      </c>
      <c r="F57" s="472"/>
      <c r="G57" s="473"/>
      <c r="H57" s="474"/>
      <c r="I57" s="473"/>
      <c r="J57" s="474"/>
      <c r="K57" s="473"/>
      <c r="L57" s="474"/>
      <c r="M57" s="473"/>
      <c r="N57" s="476" t="s">
        <v>908</v>
      </c>
      <c r="O57" s="198"/>
      <c r="P57" s="493" t="s">
        <v>938</v>
      </c>
      <c r="Q57" s="493" t="s">
        <v>939</v>
      </c>
      <c r="R57" s="5"/>
      <c r="U57" s="3"/>
    </row>
    <row r="58" spans="1:21" s="4" customFormat="1" ht="15" x14ac:dyDescent="0.25">
      <c r="A58" s="5"/>
      <c r="B58" s="568" t="s">
        <v>729</v>
      </c>
      <c r="C58" s="583">
        <v>253</v>
      </c>
      <c r="D58" s="521">
        <f>'Inputs and eligible population'!H116</f>
        <v>6</v>
      </c>
      <c r="E58" s="840" t="s">
        <v>940</v>
      </c>
      <c r="F58" s="841"/>
      <c r="G58" s="841"/>
      <c r="H58" s="841"/>
      <c r="I58" s="841"/>
      <c r="J58" s="841"/>
      <c r="K58" s="841"/>
      <c r="L58" s="841"/>
      <c r="M58" s="842"/>
      <c r="N58" s="461">
        <v>202</v>
      </c>
      <c r="O58" s="198"/>
      <c r="P58" s="493" t="s">
        <v>941</v>
      </c>
      <c r="Q58" s="493" t="s">
        <v>942</v>
      </c>
      <c r="R58" s="5"/>
      <c r="U58" s="3"/>
    </row>
    <row r="59" spans="1:21" s="4" customFormat="1" ht="15" x14ac:dyDescent="0.25">
      <c r="A59" s="5"/>
      <c r="B59" s="568" t="s">
        <v>729</v>
      </c>
      <c r="C59" s="583">
        <v>303</v>
      </c>
      <c r="D59" s="521">
        <f>'Inputs and eligible population'!H116</f>
        <v>6</v>
      </c>
      <c r="E59" s="840" t="s">
        <v>943</v>
      </c>
      <c r="F59" s="841"/>
      <c r="G59" s="841"/>
      <c r="H59" s="841"/>
      <c r="I59" s="841"/>
      <c r="J59" s="841"/>
      <c r="K59" s="841"/>
      <c r="L59" s="841"/>
      <c r="M59" s="842"/>
      <c r="N59" s="461">
        <v>140</v>
      </c>
      <c r="O59" s="198"/>
      <c r="P59" s="493" t="s">
        <v>944</v>
      </c>
      <c r="Q59" s="493"/>
      <c r="R59" s="5"/>
      <c r="U59" s="3"/>
    </row>
    <row r="60" spans="1:21" s="4" customFormat="1" ht="15" x14ac:dyDescent="0.25">
      <c r="A60" s="5"/>
      <c r="B60" s="600"/>
      <c r="C60" s="5"/>
      <c r="D60" s="196"/>
      <c r="E60" s="120"/>
      <c r="F60" s="197"/>
      <c r="G60" s="198"/>
      <c r="H60" s="5"/>
      <c r="I60" s="5"/>
      <c r="J60" s="199"/>
      <c r="K60" s="198"/>
      <c r="L60" s="198"/>
      <c r="M60" s="745" t="s">
        <v>945</v>
      </c>
      <c r="N60" s="744">
        <f>AVERAGE(N58:N59)</f>
        <v>171</v>
      </c>
      <c r="O60" s="198"/>
      <c r="P60" s="493" t="s">
        <v>946</v>
      </c>
      <c r="Q60" s="746"/>
      <c r="R60" s="5"/>
      <c r="U60" s="3"/>
    </row>
    <row r="61" spans="1:21" s="4" customFormat="1" ht="15" x14ac:dyDescent="0.25">
      <c r="A61" s="5"/>
      <c r="B61" s="600"/>
      <c r="C61" s="5"/>
      <c r="D61" s="196"/>
      <c r="E61" s="120"/>
      <c r="F61" s="197"/>
      <c r="G61" s="198"/>
      <c r="H61" s="5"/>
      <c r="I61" s="5"/>
      <c r="J61" s="199"/>
      <c r="K61" s="198"/>
      <c r="L61" s="198"/>
      <c r="M61" s="198"/>
      <c r="N61" s="198"/>
      <c r="O61" s="198"/>
      <c r="P61" s="669" t="s">
        <v>947</v>
      </c>
      <c r="Q61" s="747"/>
      <c r="R61" s="5"/>
      <c r="U61" s="3"/>
    </row>
    <row r="62" spans="1:21" x14ac:dyDescent="0.2">
      <c r="A62" s="211"/>
      <c r="B62" s="211"/>
      <c r="C62" s="211"/>
      <c r="D62" s="211"/>
      <c r="E62" s="211"/>
      <c r="F62" s="211"/>
      <c r="G62" s="211"/>
      <c r="H62" s="211"/>
      <c r="I62" s="211"/>
      <c r="J62" s="211"/>
      <c r="K62" s="211"/>
      <c r="L62" s="211"/>
      <c r="M62" s="211"/>
      <c r="N62" s="211"/>
      <c r="O62" s="211"/>
      <c r="P62" s="211"/>
      <c r="Q62" s="211"/>
      <c r="R62" s="211"/>
    </row>
  </sheetData>
  <sheetProtection algorithmName="SHA-512" hashValue="KfDTl88V0fBqCBI7Xyx0ePnA95n32voaJh6351UpHjvAEpF4kIzbCReayI07E4Bx/IWD76QEk6BdDvj7deWKtA==" saltValue="ndOcJA8VJ9WSznIM8jORIQ==" spinCount="100000" sheet="1" objects="1" scenarios="1"/>
  <protectedRanges>
    <protectedRange sqref="B58:N60" name="Range11"/>
    <protectedRange sqref="A58:N60" name="Range10"/>
    <protectedRange sqref="B51:N52" name="Range9"/>
    <protectedRange sqref="B42:Q44" name="Range8"/>
    <protectedRange sqref="N42" name="Range7"/>
    <protectedRange sqref="B26:O26" name="Range3"/>
    <protectedRange sqref="B14:P17" name="Range2"/>
    <protectedRange sqref="B8:Q10" name="Range1"/>
  </protectedRanges>
  <mergeCells count="11">
    <mergeCell ref="E59:M59"/>
    <mergeCell ref="E26:M26"/>
    <mergeCell ref="E51:M51"/>
    <mergeCell ref="E52:M52"/>
    <mergeCell ref="B30:O30"/>
    <mergeCell ref="B31:O31"/>
    <mergeCell ref="U5:AK6"/>
    <mergeCell ref="U7:AK7"/>
    <mergeCell ref="B22:M22"/>
    <mergeCell ref="S26:AC26"/>
    <mergeCell ref="E58:M58"/>
  </mergeCells>
  <hyperlinks>
    <hyperlink ref="B54" r:id="rId1" location="National-Tariff-Payment-System" xr:uid="{65D11F20-D4E8-450E-8AE6-D6A92DECCE91}"/>
    <hyperlink ref="C46" r:id="rId2" display="https://hospital.blood.co.uk/components/portfolio-and-prices/" xr:uid="{05DADBD5-571E-4948-9386-28757DC7A225}"/>
    <hyperlink ref="B20" r:id="rId3" display="https://www.england.nhs.uk/wp-content/uploads/2018/07/Plerixafor-for-stem-cell-mobilisation.pdf?UNLID=40301369320241208420" xr:uid="{FA044A32-2F8D-4253-BB5E-B563E19A526D}"/>
    <hyperlink ref="D28" r:id="rId4" display="https://www.nice.org.uk/guidance/ta894" xr:uid="{C739564E-87BF-4F63-89E5-F4B47EBD6300}"/>
  </hyperlinks>
  <pageMargins left="0.70866141732283472" right="0.70866141732283472" top="0.74803149606299213" bottom="0.74803149606299213" header="0.31496062992125984" footer="0.31496062992125984"/>
  <pageSetup paperSize="9" scale="35"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84"/>
  <sheetViews>
    <sheetView showGridLines="0" zoomScale="85" zoomScaleNormal="85" zoomScaleSheetLayoutView="80" workbookViewId="0">
      <selection activeCell="I6" sqref="I6"/>
    </sheetView>
  </sheetViews>
  <sheetFormatPr defaultColWidth="8.85546875" defaultRowHeight="15" x14ac:dyDescent="0.2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7.42578125" customWidth="1"/>
  </cols>
  <sheetData>
    <row r="1" spans="2:10" ht="30" customHeight="1" x14ac:dyDescent="0.25">
      <c r="B1" s="565" t="str">
        <f>'Inputs and eligible population'!B1</f>
        <v>Exagamglogene autotemcel for treating transfusion-dependent beta-thalassaemia</v>
      </c>
      <c r="C1" s="157"/>
      <c r="D1" s="154"/>
      <c r="E1" s="154"/>
      <c r="F1" s="154"/>
      <c r="G1" s="154"/>
      <c r="H1" s="154"/>
      <c r="I1" s="154"/>
      <c r="J1" s="154"/>
    </row>
    <row r="2" spans="2:10" ht="30" customHeight="1" x14ac:dyDescent="0.25">
      <c r="B2" s="407" t="s">
        <v>27</v>
      </c>
      <c r="C2" s="154"/>
      <c r="E2" s="138" t="s">
        <v>860</v>
      </c>
      <c r="F2" s="138" t="s">
        <v>860</v>
      </c>
      <c r="G2" s="138" t="s">
        <v>860</v>
      </c>
      <c r="H2" s="138" t="s">
        <v>860</v>
      </c>
      <c r="I2" s="138" t="s">
        <v>860</v>
      </c>
      <c r="J2" s="154"/>
    </row>
    <row r="3" spans="2:10" x14ac:dyDescent="0.25">
      <c r="B3" s="141" t="s">
        <v>860</v>
      </c>
      <c r="C3" s="141"/>
      <c r="D3" s="144" t="s">
        <v>860</v>
      </c>
      <c r="E3" s="144" t="s">
        <v>860</v>
      </c>
      <c r="F3" s="144" t="s">
        <v>860</v>
      </c>
      <c r="G3" s="144" t="s">
        <v>860</v>
      </c>
      <c r="H3" s="144" t="s">
        <v>860</v>
      </c>
      <c r="I3" s="144" t="s">
        <v>860</v>
      </c>
      <c r="J3" s="154"/>
    </row>
    <row r="4" spans="2:10" ht="53.25" customHeight="1" x14ac:dyDescent="0.25">
      <c r="B4" s="832" t="s">
        <v>948</v>
      </c>
      <c r="C4" s="832"/>
      <c r="D4" s="832"/>
      <c r="E4" s="832"/>
      <c r="F4" s="832"/>
      <c r="G4" s="832"/>
      <c r="H4" s="832"/>
      <c r="J4" s="154"/>
    </row>
    <row r="5" spans="2:10" x14ac:dyDescent="0.25">
      <c r="B5" t="s">
        <v>949</v>
      </c>
      <c r="C5"/>
      <c r="J5" s="154"/>
    </row>
    <row r="6" spans="2:10" ht="30.6" customHeight="1" x14ac:dyDescent="0.25">
      <c r="B6" s="847" t="s">
        <v>950</v>
      </c>
      <c r="C6" s="847"/>
      <c r="D6" s="847"/>
      <c r="E6" s="847"/>
      <c r="F6" s="847"/>
      <c r="G6" s="847"/>
      <c r="H6" s="847"/>
      <c r="I6" s="773"/>
      <c r="J6" s="154"/>
    </row>
    <row r="7" spans="2:10" ht="30" x14ac:dyDescent="0.25">
      <c r="B7" s="770" t="s">
        <v>951</v>
      </c>
      <c r="C7" s="771" t="s">
        <v>952</v>
      </c>
      <c r="D7" s="772" t="s">
        <v>746</v>
      </c>
      <c r="E7" s="772" t="s">
        <v>747</v>
      </c>
      <c r="F7" s="772" t="s">
        <v>748</v>
      </c>
      <c r="G7" s="772" t="s">
        <v>749</v>
      </c>
      <c r="H7" s="772" t="s">
        <v>750</v>
      </c>
      <c r="J7" s="154"/>
    </row>
    <row r="8" spans="2:10" s="161" customFormat="1" x14ac:dyDescent="0.25">
      <c r="B8" s="182" t="s">
        <v>953</v>
      </c>
      <c r="C8" s="139">
        <f>'Inputs and eligible population'!F46</f>
        <v>474.98894141866151</v>
      </c>
      <c r="D8" s="139">
        <f>'Inputs and eligible population'!G46</f>
        <v>479.56869333931564</v>
      </c>
      <c r="E8" s="139">
        <f>'Inputs and eligible population'!H46</f>
        <v>484.19260234622129</v>
      </c>
      <c r="F8" s="139">
        <f>'Inputs and eligible population'!I46</f>
        <v>488.86109419350225</v>
      </c>
      <c r="G8" s="139">
        <f>'Inputs and eligible population'!J46</f>
        <v>493.57459874032162</v>
      </c>
      <c r="H8" s="139">
        <f>'Inputs and eligible population'!K46</f>
        <v>498.33354999046168</v>
      </c>
      <c r="I8"/>
      <c r="J8" s="154"/>
    </row>
    <row r="9" spans="2:10" x14ac:dyDescent="0.25">
      <c r="B9" s="286" t="s">
        <v>954</v>
      </c>
      <c r="C9" s="544">
        <f>'Inputs and eligible population'!E71</f>
        <v>0</v>
      </c>
      <c r="D9" s="544">
        <f>'Inputs and eligible population'!F71</f>
        <v>0.03</v>
      </c>
      <c r="E9" s="544">
        <f>'Inputs and eligible population'!G71</f>
        <v>0.05</v>
      </c>
      <c r="F9" s="544">
        <f>'Inputs and eligible population'!H71</f>
        <v>7.0000000000000007E-2</v>
      </c>
      <c r="G9" s="544">
        <f>'Inputs and eligible population'!I71</f>
        <v>0.09</v>
      </c>
      <c r="H9" s="544">
        <f>'Inputs and eligible population'!J71</f>
        <v>0.11</v>
      </c>
      <c r="J9" s="154"/>
    </row>
    <row r="10" spans="2:10" ht="15" customHeight="1" x14ac:dyDescent="0.25">
      <c r="B10" s="286" t="s">
        <v>955</v>
      </c>
      <c r="C10" s="139">
        <f>'Financial impact (cash)'!D13</f>
        <v>0</v>
      </c>
      <c r="D10" s="139">
        <f>'Financial impact (cash)'!E13</f>
        <v>14.387060800179469</v>
      </c>
      <c r="E10" s="139">
        <f>'Financial impact (cash)'!F13</f>
        <v>9.8225693171315953</v>
      </c>
      <c r="F10" s="139">
        <f>'Financial impact (cash)'!G13</f>
        <v>10.010646476234093</v>
      </c>
      <c r="G10" s="139">
        <f>'Financial impact (cash)'!H13</f>
        <v>10.201437293083785</v>
      </c>
      <c r="H10" s="139">
        <f>'Financial impact (cash)'!I13</f>
        <v>10.394976612321841</v>
      </c>
      <c r="J10" s="144"/>
    </row>
    <row r="11" spans="2:10" ht="14.45" customHeight="1" x14ac:dyDescent="0.25">
      <c r="B11" s="267"/>
      <c r="C11" s="267"/>
      <c r="D11" s="144"/>
      <c r="E11" s="144"/>
      <c r="F11" s="144"/>
      <c r="G11" s="144"/>
      <c r="H11" s="144"/>
      <c r="J11" s="144"/>
    </row>
    <row r="12" spans="2:10" ht="30" x14ac:dyDescent="0.25">
      <c r="B12" s="291" t="s">
        <v>956</v>
      </c>
      <c r="C12" s="260" t="s">
        <v>952</v>
      </c>
      <c r="D12" s="180" t="s">
        <v>746</v>
      </c>
      <c r="E12" s="180" t="s">
        <v>747</v>
      </c>
      <c r="F12" s="180" t="s">
        <v>748</v>
      </c>
      <c r="G12" s="180" t="s">
        <v>749</v>
      </c>
      <c r="H12" s="180" t="s">
        <v>750</v>
      </c>
      <c r="J12" s="144"/>
    </row>
    <row r="13" spans="2:10" x14ac:dyDescent="0.25">
      <c r="B13" s="366" t="s">
        <v>957</v>
      </c>
      <c r="C13" s="139">
        <f>'Inputs and eligible population'!E71*C8</f>
        <v>0</v>
      </c>
      <c r="D13" s="139">
        <f>D10</f>
        <v>14.387060800179469</v>
      </c>
      <c r="E13" s="139">
        <f t="shared" ref="E13:H13" si="0">E10</f>
        <v>9.8225693171315953</v>
      </c>
      <c r="F13" s="139">
        <f t="shared" si="0"/>
        <v>10.010646476234093</v>
      </c>
      <c r="G13" s="139">
        <f t="shared" si="0"/>
        <v>10.201437293083785</v>
      </c>
      <c r="H13" s="139">
        <f t="shared" si="0"/>
        <v>10.394976612321841</v>
      </c>
      <c r="J13" s="144"/>
    </row>
    <row r="14" spans="2:10" x14ac:dyDescent="0.25">
      <c r="B14" s="366" t="s">
        <v>958</v>
      </c>
      <c r="C14" s="139">
        <f>'Financial impact (cash)'!D16</f>
        <v>474.98894141866151</v>
      </c>
      <c r="D14" s="139">
        <f>'Financial impact (cash)'!E16</f>
        <v>465.18163253913616</v>
      </c>
      <c r="E14" s="139">
        <f>'Financial impact (cash)'!F16</f>
        <v>474.37003302908971</v>
      </c>
      <c r="F14" s="139">
        <f>'Financial impact (cash)'!G16</f>
        <v>478.85044771726814</v>
      </c>
      <c r="G14" s="139">
        <f>'Financial impact (cash)'!H16</f>
        <v>483.37316144723786</v>
      </c>
      <c r="H14" s="139">
        <f>'Financial impact (cash)'!I16</f>
        <v>487.93857337813984</v>
      </c>
      <c r="J14" s="144"/>
    </row>
    <row r="15" spans="2:10" x14ac:dyDescent="0.25">
      <c r="B15" s="292"/>
      <c r="C15" s="200">
        <f t="shared" ref="C15:H15" si="1">SUM(C13:C14)</f>
        <v>474.98894141866151</v>
      </c>
      <c r="D15" s="200">
        <f t="shared" si="1"/>
        <v>479.56869333931564</v>
      </c>
      <c r="E15" s="200">
        <f t="shared" si="1"/>
        <v>484.19260234622129</v>
      </c>
      <c r="F15" s="200">
        <f t="shared" si="1"/>
        <v>488.86109419350225</v>
      </c>
      <c r="G15" s="200">
        <f t="shared" si="1"/>
        <v>493.57459874032168</v>
      </c>
      <c r="H15" s="200">
        <f t="shared" si="1"/>
        <v>498.33354999046168</v>
      </c>
      <c r="J15" s="144"/>
    </row>
    <row r="16" spans="2:10" ht="15.75" thickBot="1" x14ac:dyDescent="0.3">
      <c r="B16" s="517"/>
      <c r="C16" s="517"/>
      <c r="D16" s="518"/>
      <c r="E16" s="518"/>
      <c r="F16" s="518"/>
      <c r="G16" s="518"/>
      <c r="H16" s="518"/>
      <c r="I16" s="519"/>
      <c r="J16" s="144"/>
    </row>
    <row r="17" spans="1:10" x14ac:dyDescent="0.25">
      <c r="B17" s="294"/>
      <c r="C17" s="294"/>
      <c r="D17" s="355"/>
      <c r="E17" s="355"/>
      <c r="F17" s="355"/>
      <c r="G17" s="355"/>
      <c r="H17" s="355"/>
      <c r="I17" s="144"/>
      <c r="J17" s="144"/>
    </row>
    <row r="18" spans="1:10" ht="30" x14ac:dyDescent="0.25">
      <c r="B18" s="287" t="s">
        <v>959</v>
      </c>
      <c r="C18" s="260" t="s">
        <v>952</v>
      </c>
      <c r="D18" s="180" t="s">
        <v>746</v>
      </c>
      <c r="E18" s="180" t="s">
        <v>747</v>
      </c>
      <c r="F18" s="180" t="s">
        <v>748</v>
      </c>
      <c r="G18" s="180" t="s">
        <v>749</v>
      </c>
      <c r="H18" s="180" t="s">
        <v>750</v>
      </c>
      <c r="I18" s="144"/>
      <c r="J18" s="144"/>
    </row>
    <row r="19" spans="1:10" x14ac:dyDescent="0.25">
      <c r="B19" s="318" t="s">
        <v>960</v>
      </c>
      <c r="C19" s="755" t="s">
        <v>961</v>
      </c>
      <c r="D19" s="755" t="s">
        <v>961</v>
      </c>
      <c r="E19" s="755" t="s">
        <v>961</v>
      </c>
      <c r="F19" s="755" t="s">
        <v>961</v>
      </c>
      <c r="G19" s="755" t="s">
        <v>961</v>
      </c>
      <c r="H19" s="755" t="s">
        <v>961</v>
      </c>
      <c r="I19" s="144"/>
      <c r="J19" s="144"/>
    </row>
    <row r="20" spans="1:10" x14ac:dyDescent="0.25">
      <c r="B20" s="293" t="s">
        <v>962</v>
      </c>
      <c r="C20" s="279">
        <f>'Financial impact (cash)'!D23</f>
        <v>0</v>
      </c>
      <c r="D20" s="279">
        <f>'Financial impact (cash)'!E23</f>
        <v>0</v>
      </c>
      <c r="E20" s="279">
        <f>'Financial impact (cash)'!F23</f>
        <v>0</v>
      </c>
      <c r="F20" s="279">
        <f>'Financial impact (cash)'!G23</f>
        <v>0</v>
      </c>
      <c r="G20" s="279">
        <f>'Financial impact (cash)'!H23</f>
        <v>0</v>
      </c>
      <c r="H20" s="279">
        <f>'Financial impact (cash)'!I23</f>
        <v>0</v>
      </c>
      <c r="I20" s="144"/>
      <c r="J20" s="144"/>
    </row>
    <row r="21" spans="1:10" x14ac:dyDescent="0.25">
      <c r="B21" s="653" t="s">
        <v>963</v>
      </c>
      <c r="C21" s="652"/>
      <c r="D21" s="279"/>
      <c r="E21" s="279">
        <f>'Financial impact (cash)'!F27</f>
        <v>0</v>
      </c>
      <c r="F21" s="279">
        <f>'Financial impact (cash)'!G27</f>
        <v>0</v>
      </c>
      <c r="G21" s="279">
        <f>'Financial impact (cash)'!H27</f>
        <v>0</v>
      </c>
      <c r="H21" s="279">
        <f>'Financial impact (cash)'!I27</f>
        <v>0</v>
      </c>
      <c r="I21" s="144"/>
      <c r="J21" s="144"/>
    </row>
    <row r="22" spans="1:10" x14ac:dyDescent="0.25">
      <c r="C22" s="81"/>
      <c r="D22" s="215">
        <f>D20-$C$20</f>
        <v>0</v>
      </c>
      <c r="E22" s="215">
        <f>(E20+E21)-$C$20</f>
        <v>0</v>
      </c>
      <c r="F22" s="215">
        <f>(F20+F21)-$C$20</f>
        <v>0</v>
      </c>
      <c r="G22" s="215">
        <f>(G20+G21)-$C$20</f>
        <v>0</v>
      </c>
      <c r="H22" s="215">
        <f>(H20+H21)-$C$20</f>
        <v>0</v>
      </c>
      <c r="I22" s="477" t="s">
        <v>964</v>
      </c>
      <c r="J22" s="144"/>
    </row>
    <row r="23" spans="1:10" x14ac:dyDescent="0.25">
      <c r="C23" s="91"/>
      <c r="D23" s="215">
        <f>D22</f>
        <v>0</v>
      </c>
      <c r="E23" s="215">
        <f>E22-D22</f>
        <v>0</v>
      </c>
      <c r="F23" s="215">
        <f>F22-E22</f>
        <v>0</v>
      </c>
      <c r="G23" s="215">
        <f>G22-F22</f>
        <v>0</v>
      </c>
      <c r="H23" s="215">
        <f>H22-G22</f>
        <v>0</v>
      </c>
      <c r="I23" s="477" t="s">
        <v>965</v>
      </c>
      <c r="J23" s="144"/>
    </row>
    <row r="24" spans="1:10" x14ac:dyDescent="0.25">
      <c r="B24" s="294"/>
      <c r="C24" s="294"/>
      <c r="D24" s="677"/>
      <c r="E24" s="431"/>
      <c r="F24" s="674"/>
      <c r="G24" s="674"/>
      <c r="H24" s="431"/>
      <c r="J24" s="144"/>
    </row>
    <row r="25" spans="1:10" x14ac:dyDescent="0.25">
      <c r="B25" s="294"/>
      <c r="C25" s="294"/>
      <c r="D25" s="431"/>
      <c r="E25" s="431"/>
      <c r="F25" s="674"/>
      <c r="G25" s="674"/>
      <c r="H25" s="431"/>
      <c r="J25" s="144"/>
    </row>
    <row r="26" spans="1:10" x14ac:dyDescent="0.25">
      <c r="B26" t="s">
        <v>966</v>
      </c>
      <c r="C26" s="294"/>
      <c r="D26" s="431"/>
      <c r="E26" s="431"/>
      <c r="F26" s="674"/>
      <c r="G26" s="674"/>
      <c r="H26" s="431"/>
      <c r="J26" s="144"/>
    </row>
    <row r="27" spans="1:10" x14ac:dyDescent="0.25">
      <c r="B27" s="408" t="s">
        <v>61</v>
      </c>
      <c r="C27" s="294"/>
      <c r="D27" s="431"/>
      <c r="E27" s="431"/>
      <c r="F27" s="431"/>
      <c r="G27" s="431"/>
      <c r="H27" s="431"/>
      <c r="J27" s="144"/>
    </row>
    <row r="28" spans="1:10" x14ac:dyDescent="0.25">
      <c r="B28" s="294"/>
      <c r="C28" s="294"/>
      <c r="D28" s="431"/>
      <c r="E28" s="431"/>
      <c r="F28" s="431"/>
      <c r="G28" s="431"/>
      <c r="H28" s="431"/>
      <c r="J28" s="144"/>
    </row>
    <row r="29" spans="1:10" ht="30" x14ac:dyDescent="0.25">
      <c r="A29" s="431"/>
      <c r="B29" s="287" t="s">
        <v>967</v>
      </c>
      <c r="C29" s="260" t="s">
        <v>952</v>
      </c>
      <c r="D29" s="180" t="s">
        <v>746</v>
      </c>
      <c r="E29" s="180" t="s">
        <v>747</v>
      </c>
      <c r="F29" s="180" t="s">
        <v>748</v>
      </c>
      <c r="G29" s="180" t="s">
        <v>749</v>
      </c>
      <c r="H29" s="180" t="s">
        <v>750</v>
      </c>
      <c r="J29" s="144"/>
    </row>
    <row r="30" spans="1:10" x14ac:dyDescent="0.25">
      <c r="A30" s="431"/>
      <c r="B30" s="318" t="s">
        <v>968</v>
      </c>
      <c r="C30" s="278" t="s">
        <v>961</v>
      </c>
      <c r="D30" s="278" t="s">
        <v>961</v>
      </c>
      <c r="E30" s="278" t="s">
        <v>961</v>
      </c>
      <c r="F30" s="278" t="s">
        <v>961</v>
      </c>
      <c r="G30" s="278" t="s">
        <v>961</v>
      </c>
      <c r="H30" s="278" t="s">
        <v>961</v>
      </c>
      <c r="J30" s="144"/>
    </row>
    <row r="31" spans="1:10" x14ac:dyDescent="0.25">
      <c r="A31" s="431"/>
      <c r="B31" s="293" t="s">
        <v>969</v>
      </c>
      <c r="C31" s="279">
        <f>IF($B$27="national prices",'Capacity (national prices)'!K17,IF($B$27="local prices",'Capacity (local prices)'!K33,0))</f>
        <v>4002.0380429636848</v>
      </c>
      <c r="D31" s="279">
        <f>IF($B$27="national prices",'Capacity (national prices)'!L17,IF($B$27="local prices",'Capacity (local prices)'!L33,0))</f>
        <v>4510.7287614883171</v>
      </c>
      <c r="E31" s="279">
        <f>IF($B$27="national prices",'Capacity (national prices)'!M17,IF($B$27="local prices",'Capacity (local prices)'!M33,0))</f>
        <v>4285.7032856270152</v>
      </c>
      <c r="F31" s="279">
        <f>IF($B$27="national prices",'Capacity (national prices)'!N17,IF($B$27="local prices",'Capacity (local prices)'!N33,0))</f>
        <v>4252.7795917935127</v>
      </c>
      <c r="G31" s="279">
        <f>IF($B$27="national prices",'Capacity (national prices)'!O17,IF($B$27="local prices",'Capacity (local prices)'!O33,0))</f>
        <v>4218.8225920722889</v>
      </c>
      <c r="H31" s="279">
        <f>IF($B$27="national prices",'Capacity (national prices)'!P17,IF($B$27="local prices",'Capacity (local prices)'!P33,0))</f>
        <v>4183.8154213236312</v>
      </c>
      <c r="J31" s="144"/>
    </row>
    <row r="32" spans="1:10" x14ac:dyDescent="0.25">
      <c r="A32" s="431"/>
      <c r="C32" s="81"/>
      <c r="D32" s="215">
        <f>D31-$C$31</f>
        <v>508.6907185246323</v>
      </c>
      <c r="E32" s="215">
        <f>E31-$C$31</f>
        <v>283.66524266333045</v>
      </c>
      <c r="F32" s="215">
        <f>F31-$C$31</f>
        <v>250.74154882982793</v>
      </c>
      <c r="G32" s="215">
        <f>G31-$C$31</f>
        <v>216.7845491086041</v>
      </c>
      <c r="H32" s="215">
        <f>H31-$C$31</f>
        <v>181.7773783599464</v>
      </c>
      <c r="I32" s="477" t="s">
        <v>964</v>
      </c>
      <c r="J32" s="144"/>
    </row>
    <row r="33" spans="1:11" x14ac:dyDescent="0.25">
      <c r="A33" s="431"/>
      <c r="C33" s="91"/>
      <c r="D33" s="215">
        <f>D31-C31</f>
        <v>508.6907185246323</v>
      </c>
      <c r="E33" s="215">
        <f>E31-D31</f>
        <v>-225.02547586130186</v>
      </c>
      <c r="F33" s="215">
        <f>F31-E31</f>
        <v>-32.923693833502512</v>
      </c>
      <c r="G33" s="215">
        <f>G31-F31</f>
        <v>-33.956999721223838</v>
      </c>
      <c r="H33" s="215">
        <f>H31-G31</f>
        <v>-35.0071707486577</v>
      </c>
      <c r="I33" s="477" t="s">
        <v>965</v>
      </c>
      <c r="J33" s="144"/>
    </row>
    <row r="34" spans="1:11" x14ac:dyDescent="0.25">
      <c r="A34" s="431"/>
      <c r="B34" s="431"/>
      <c r="C34" s="431"/>
      <c r="D34" s="677"/>
      <c r="E34" s="431"/>
      <c r="F34" s="431"/>
      <c r="G34" s="431"/>
      <c r="H34" s="431"/>
      <c r="J34" s="144"/>
    </row>
    <row r="35" spans="1:11" ht="30" x14ac:dyDescent="0.25">
      <c r="A35" s="431"/>
      <c r="B35" s="287" t="s">
        <v>970</v>
      </c>
      <c r="C35" s="260" t="s">
        <v>952</v>
      </c>
      <c r="D35" s="180" t="s">
        <v>746</v>
      </c>
      <c r="E35" s="180" t="s">
        <v>747</v>
      </c>
      <c r="F35" s="180" t="s">
        <v>748</v>
      </c>
      <c r="G35" s="180" t="s">
        <v>749</v>
      </c>
      <c r="H35" s="180" t="s">
        <v>750</v>
      </c>
      <c r="J35" s="144"/>
    </row>
    <row r="36" spans="1:11" x14ac:dyDescent="0.25">
      <c r="B36" s="318"/>
      <c r="C36" s="278" t="s">
        <v>961</v>
      </c>
      <c r="D36" s="278" t="s">
        <v>961</v>
      </c>
      <c r="E36" s="278" t="s">
        <v>961</v>
      </c>
      <c r="F36" s="278" t="s">
        <v>961</v>
      </c>
      <c r="G36" s="278" t="s">
        <v>961</v>
      </c>
      <c r="H36" s="278" t="s">
        <v>961</v>
      </c>
      <c r="I36" s="144"/>
      <c r="J36" s="144"/>
    </row>
    <row r="37" spans="1:11" x14ac:dyDescent="0.25">
      <c r="B37" s="513" t="s">
        <v>971</v>
      </c>
      <c r="C37" s="534">
        <f t="shared" ref="C37:H37" si="2">C20+C31</f>
        <v>4002.0380429636848</v>
      </c>
      <c r="D37" s="534">
        <f t="shared" si="2"/>
        <v>4510.7287614883171</v>
      </c>
      <c r="E37" s="534">
        <f t="shared" si="2"/>
        <v>4285.7032856270152</v>
      </c>
      <c r="F37" s="534">
        <f t="shared" si="2"/>
        <v>4252.7795917935127</v>
      </c>
      <c r="G37" s="534">
        <f t="shared" si="2"/>
        <v>4218.8225920722889</v>
      </c>
      <c r="H37" s="534">
        <f t="shared" si="2"/>
        <v>4183.8154213236312</v>
      </c>
      <c r="I37" s="144"/>
      <c r="J37" s="144"/>
    </row>
    <row r="38" spans="1:11" x14ac:dyDescent="0.25">
      <c r="B38" s="512"/>
      <c r="C38" s="514"/>
      <c r="D38" s="515">
        <f>D37-$C$37</f>
        <v>508.6907185246323</v>
      </c>
      <c r="E38" s="515">
        <f t="shared" ref="E38:H38" si="3">E37-$C$37</f>
        <v>283.66524266333045</v>
      </c>
      <c r="F38" s="515">
        <f t="shared" si="3"/>
        <v>250.74154882982793</v>
      </c>
      <c r="G38" s="515">
        <f t="shared" si="3"/>
        <v>216.7845491086041</v>
      </c>
      <c r="H38" s="515">
        <f t="shared" si="3"/>
        <v>181.7773783599464</v>
      </c>
      <c r="I38" s="477" t="s">
        <v>964</v>
      </c>
      <c r="J38" s="144"/>
    </row>
    <row r="39" spans="1:11" x14ac:dyDescent="0.25">
      <c r="B39" s="512"/>
      <c r="C39" s="514"/>
      <c r="D39" s="516">
        <f>D37-C37</f>
        <v>508.6907185246323</v>
      </c>
      <c r="E39" s="516">
        <f>E37-D37</f>
        <v>-225.02547586130186</v>
      </c>
      <c r="F39" s="516">
        <f>F37-E37</f>
        <v>-32.923693833502512</v>
      </c>
      <c r="G39" s="516">
        <f>G37-F37</f>
        <v>-33.956999721223838</v>
      </c>
      <c r="H39" s="516">
        <f>H37-G37</f>
        <v>-35.0071707486577</v>
      </c>
      <c r="I39" s="477" t="s">
        <v>965</v>
      </c>
      <c r="J39" s="144"/>
    </row>
    <row r="40" spans="1:11" ht="15.75" thickBot="1" x14ac:dyDescent="0.3">
      <c r="B40" s="517"/>
      <c r="C40" s="517"/>
      <c r="D40" s="676"/>
      <c r="E40" s="518"/>
      <c r="F40" s="518"/>
      <c r="G40" s="518"/>
      <c r="H40" s="518"/>
      <c r="I40" s="519"/>
      <c r="J40" s="144"/>
    </row>
    <row r="41" spans="1:11" x14ac:dyDescent="0.25">
      <c r="B41" s="294"/>
      <c r="C41" s="294"/>
      <c r="D41" s="355"/>
      <c r="E41" s="355"/>
      <c r="F41" s="355"/>
      <c r="G41" s="355"/>
      <c r="H41" s="355"/>
      <c r="I41" s="144"/>
      <c r="J41" s="144"/>
    </row>
    <row r="42" spans="1:11" x14ac:dyDescent="0.25">
      <c r="B42" s="287" t="s">
        <v>972</v>
      </c>
      <c r="C42" s="505"/>
      <c r="D42" s="180" t="s">
        <v>746</v>
      </c>
      <c r="E42" s="180" t="s">
        <v>747</v>
      </c>
      <c r="F42" s="180" t="s">
        <v>748</v>
      </c>
      <c r="G42" s="180" t="s">
        <v>749</v>
      </c>
      <c r="H42" s="180" t="s">
        <v>750</v>
      </c>
      <c r="I42" s="144"/>
      <c r="J42" s="144"/>
    </row>
    <row r="43" spans="1:11" x14ac:dyDescent="0.25">
      <c r="B43" s="508"/>
      <c r="C43" s="506"/>
      <c r="D43" s="507"/>
      <c r="E43" s="507"/>
      <c r="F43" s="507"/>
      <c r="G43" s="507"/>
      <c r="H43" s="507"/>
      <c r="I43" s="671"/>
      <c r="J43" s="672"/>
      <c r="K43" s="672"/>
    </row>
    <row r="44" spans="1:11" x14ac:dyDescent="0.25">
      <c r="B44" s="287" t="s">
        <v>973</v>
      </c>
      <c r="C44" s="285"/>
      <c r="D44" s="281"/>
      <c r="E44" s="281"/>
      <c r="F44" s="281"/>
      <c r="G44" s="281"/>
      <c r="H44" s="282"/>
      <c r="I44" s="672"/>
      <c r="J44" s="672"/>
      <c r="K44" s="672"/>
    </row>
    <row r="45" spans="1:11" x14ac:dyDescent="0.25">
      <c r="B45" s="289" t="s">
        <v>974</v>
      </c>
      <c r="C45" s="290"/>
      <c r="D45" s="139">
        <f>'Capacity (local prices)'!E42</f>
        <v>345.28945920430726</v>
      </c>
      <c r="E45" s="139">
        <f>'Capacity (local prices)'!F42</f>
        <v>235.74166361115829</v>
      </c>
      <c r="F45" s="139">
        <f>'Capacity (local prices)'!G42</f>
        <v>240.25551542961824</v>
      </c>
      <c r="G45" s="139">
        <f>'Capacity (local prices)'!H42</f>
        <v>244.83449503401084</v>
      </c>
      <c r="H45" s="139">
        <f>'Capacity (local prices)'!I42</f>
        <v>249.47943869572418</v>
      </c>
      <c r="I45" s="673"/>
      <c r="J45" s="673"/>
      <c r="K45" s="673"/>
    </row>
    <row r="46" spans="1:11" x14ac:dyDescent="0.25">
      <c r="B46" s="289" t="str">
        <f>'Capacity (local prices)'!B12</f>
        <v>Myeloablative conditioning  cycles</v>
      </c>
      <c r="C46" s="290"/>
      <c r="D46" s="139">
        <f>'Capacity (local prices)'!E50</f>
        <v>57.548243200717877</v>
      </c>
      <c r="E46" s="139">
        <f>'Capacity (local prices)'!F50</f>
        <v>39.290277268526381</v>
      </c>
      <c r="F46" s="139">
        <f>'Capacity (local prices)'!G50</f>
        <v>40.042585904936374</v>
      </c>
      <c r="G46" s="139">
        <f>'Capacity (local prices)'!H50</f>
        <v>40.80574917233514</v>
      </c>
      <c r="H46" s="139">
        <f>'Capacity (local prices)'!I50</f>
        <v>41.579906449287364</v>
      </c>
      <c r="I46" s="672"/>
      <c r="J46" s="672"/>
      <c r="K46" s="672"/>
    </row>
    <row r="47" spans="1:11" x14ac:dyDescent="0.25">
      <c r="B47" s="289" t="str">
        <f>'Capacity (local prices)'!B13</f>
        <v>Post treatment hospital stay - bed days</v>
      </c>
      <c r="C47" s="290"/>
      <c r="D47" s="139">
        <f>'Capacity (local prices)'!E58</f>
        <v>402.83770240502514</v>
      </c>
      <c r="E47" s="139">
        <f>'Capacity (local prices)'!F58</f>
        <v>275.03194087968467</v>
      </c>
      <c r="F47" s="139">
        <f>'Capacity (local prices)'!G58</f>
        <v>280.29810133455464</v>
      </c>
      <c r="G47" s="139">
        <f>'Capacity (local prices)'!H58</f>
        <v>285.64024420634598</v>
      </c>
      <c r="H47" s="139">
        <f>'Capacity (local prices)'!I58</f>
        <v>291.05934514501155</v>
      </c>
      <c r="I47" s="672"/>
      <c r="J47" s="672"/>
      <c r="K47" s="672"/>
    </row>
    <row r="48" spans="1:11" x14ac:dyDescent="0.25">
      <c r="B48" s="289" t="str">
        <f>'Capacity (local prices)'!B14</f>
        <v>Normalisation transfusions (12 months post treatment)</v>
      </c>
      <c r="C48" s="290"/>
      <c r="D48" s="139">
        <f>'Capacity (local prices)'!E66</f>
        <v>374.06358080466623</v>
      </c>
      <c r="E48" s="139">
        <f>'Capacity (local prices)'!F66</f>
        <v>255.38680224542148</v>
      </c>
      <c r="F48" s="139">
        <f>'Capacity (local prices)'!G66</f>
        <v>260.27680838208641</v>
      </c>
      <c r="G48" s="139">
        <f>'Capacity (local prices)'!H66</f>
        <v>265.23736962017841</v>
      </c>
      <c r="H48" s="139">
        <f>'Capacity (local prices)'!I66</f>
        <v>270.26939192036787</v>
      </c>
      <c r="I48" s="672"/>
      <c r="J48" s="672"/>
      <c r="K48" s="672"/>
    </row>
    <row r="49" spans="2:11" x14ac:dyDescent="0.25">
      <c r="B49" s="289" t="str">
        <f>'Capacity (local prices)'!B16</f>
        <v>Standard care - regular blood transfusions</v>
      </c>
      <c r="C49" s="290"/>
      <c r="D49" s="139">
        <f>'Capacity (local prices)'!E80</f>
        <v>-147.10963319288021</v>
      </c>
      <c r="E49" s="139">
        <f>'Capacity (local prices)'!F80</f>
        <v>-9.2836258435763739</v>
      </c>
      <c r="F49" s="139">
        <f>'Capacity (local prices)'!G80</f>
        <v>57.922594479099644</v>
      </c>
      <c r="G49" s="139">
        <f>'Capacity (local prices)'!H80</f>
        <v>125.76330042864538</v>
      </c>
      <c r="H49" s="139">
        <f>'Capacity (local prices)'!I80</f>
        <v>194.24447939217498</v>
      </c>
      <c r="I49" s="672"/>
      <c r="J49" s="672"/>
      <c r="K49" s="672"/>
    </row>
    <row r="50" spans="2:11" x14ac:dyDescent="0.25">
      <c r="B50" s="289" t="s">
        <v>975</v>
      </c>
      <c r="C50" s="290"/>
      <c r="D50" s="200">
        <f>SUM(D45:D49)</f>
        <v>1032.6293524218363</v>
      </c>
      <c r="E50" s="200">
        <f t="shared" ref="E50:H50" si="4">SUM(E45:E49)</f>
        <v>796.16705816121441</v>
      </c>
      <c r="F50" s="200">
        <f t="shared" si="4"/>
        <v>878.79560553029535</v>
      </c>
      <c r="G50" s="200">
        <f t="shared" si="4"/>
        <v>962.28115846151582</v>
      </c>
      <c r="H50" s="200">
        <f t="shared" si="4"/>
        <v>1046.6325616025661</v>
      </c>
      <c r="I50" s="672"/>
      <c r="J50" s="672"/>
      <c r="K50" s="672"/>
    </row>
    <row r="51" spans="2:11" x14ac:dyDescent="0.25">
      <c r="I51" s="672"/>
      <c r="J51" s="672"/>
      <c r="K51" s="672"/>
    </row>
    <row r="52" spans="2:11" x14ac:dyDescent="0.25">
      <c r="B52" s="287" t="s">
        <v>976</v>
      </c>
      <c r="C52" s="288"/>
      <c r="D52" s="281"/>
      <c r="E52" s="281"/>
      <c r="F52" s="281"/>
      <c r="G52" s="281"/>
      <c r="H52" s="282"/>
      <c r="I52" s="672"/>
      <c r="J52" s="672"/>
      <c r="K52" s="672"/>
    </row>
    <row r="53" spans="2:11" x14ac:dyDescent="0.25">
      <c r="B53" s="289" t="str">
        <f>'Capacity (local prices)'!B15</f>
        <v>Normalisation administrations - duration of administrations (hours)</v>
      </c>
      <c r="C53" s="290"/>
      <c r="D53" s="139">
        <f>'Capacity (local prices)'!E73</f>
        <v>374.06358080466623</v>
      </c>
      <c r="E53" s="139">
        <f>'Capacity (local prices)'!F73</f>
        <v>255.38680224542148</v>
      </c>
      <c r="F53" s="139">
        <f>'Capacity (local prices)'!G73</f>
        <v>260.27680838208641</v>
      </c>
      <c r="G53" s="139">
        <f>'Capacity (local prices)'!H73</f>
        <v>265.23736962017841</v>
      </c>
      <c r="H53" s="139">
        <f>'Capacity (local prices)'!I73</f>
        <v>270.26939192036787</v>
      </c>
      <c r="I53" s="672"/>
      <c r="J53" s="672"/>
      <c r="K53" s="672"/>
    </row>
    <row r="54" spans="2:11" x14ac:dyDescent="0.25">
      <c r="B54" s="289" t="str">
        <f>'Capacity (local prices)'!B17</f>
        <v>Standard care administrations - duration of administrations (hours)</v>
      </c>
      <c r="C54" s="290"/>
      <c r="D54" s="139">
        <f>'Capacity (local prices)'!E87</f>
        <v>-1176.8770655430417</v>
      </c>
      <c r="E54" s="139">
        <f>'Capacity (local prices)'!F87</f>
        <v>-74.269006748610991</v>
      </c>
      <c r="F54" s="139">
        <f>'Capacity (local prices)'!G87</f>
        <v>463.38075583279715</v>
      </c>
      <c r="G54" s="139">
        <f>'Capacity (local prices)'!H87</f>
        <v>1006.106403429163</v>
      </c>
      <c r="H54" s="139">
        <f>'Capacity (local prices)'!I87</f>
        <v>1553.9558351373998</v>
      </c>
      <c r="I54" s="672"/>
      <c r="J54" s="672"/>
      <c r="K54" s="672"/>
    </row>
    <row r="55" spans="2:11" x14ac:dyDescent="0.25">
      <c r="B55" s="289" t="s">
        <v>977</v>
      </c>
      <c r="C55" s="290"/>
      <c r="D55" s="200">
        <f>SUM(D53:D54)</f>
        <v>-802.81348473837545</v>
      </c>
      <c r="E55" s="200">
        <f>SUM(E53:E54)</f>
        <v>181.11779549681049</v>
      </c>
      <c r="F55" s="200">
        <f>SUM(F53:F54)</f>
        <v>723.65756421488356</v>
      </c>
      <c r="G55" s="200">
        <f>SUM(G53:G54)</f>
        <v>1271.3437730493415</v>
      </c>
      <c r="H55" s="200">
        <f>SUM(H53:H54)</f>
        <v>1824.2252270577678</v>
      </c>
      <c r="I55" s="672"/>
      <c r="J55" s="672"/>
      <c r="K55" s="672"/>
    </row>
    <row r="56" spans="2:11" x14ac:dyDescent="0.25">
      <c r="I56" s="672"/>
      <c r="J56" s="672"/>
      <c r="K56" s="672"/>
    </row>
    <row r="57" spans="2:11" x14ac:dyDescent="0.25">
      <c r="B57" s="287" t="s">
        <v>978</v>
      </c>
      <c r="C57" s="288"/>
      <c r="D57" s="281"/>
      <c r="E57" s="281"/>
      <c r="F57" s="281"/>
      <c r="G57" s="281"/>
      <c r="H57" s="282"/>
      <c r="I57" s="672"/>
      <c r="J57" s="672"/>
      <c r="K57" s="672"/>
    </row>
    <row r="58" spans="2:11" ht="30" x14ac:dyDescent="0.25">
      <c r="B58" s="362" t="s">
        <v>979</v>
      </c>
      <c r="C58" s="295"/>
      <c r="D58" s="656">
        <f>'Capacity (local prices)'!E109</f>
        <v>57.548243200717877</v>
      </c>
      <c r="E58" s="656">
        <f>'Capacity (local prices)'!F109</f>
        <v>39.290277268526381</v>
      </c>
      <c r="F58" s="656">
        <f>'Capacity (local prices)'!G109</f>
        <v>40.042585904936374</v>
      </c>
      <c r="G58" s="656">
        <f>'Capacity (local prices)'!H109</f>
        <v>40.80574917233514</v>
      </c>
      <c r="H58" s="656">
        <f>'Capacity (local prices)'!I109</f>
        <v>41.579906449287364</v>
      </c>
      <c r="I58" s="672"/>
      <c r="J58" s="672"/>
      <c r="K58" s="672"/>
    </row>
    <row r="59" spans="2:11" ht="30" x14ac:dyDescent="0.25">
      <c r="B59" s="362" t="s">
        <v>980</v>
      </c>
      <c r="C59" s="295"/>
      <c r="D59" s="656">
        <f>'Capacity (local prices)'!E115</f>
        <v>0</v>
      </c>
      <c r="E59" s="656">
        <f>'Capacity (local prices)'!F115</f>
        <v>0</v>
      </c>
      <c r="F59" s="656">
        <f>'Capacity (local prices)'!G115</f>
        <v>0</v>
      </c>
      <c r="G59" s="656">
        <f>'Capacity (local prices)'!H115</f>
        <v>0</v>
      </c>
      <c r="H59" s="656">
        <f>'Capacity (local prices)'!I115</f>
        <v>0</v>
      </c>
      <c r="I59" s="672"/>
      <c r="J59" s="672"/>
      <c r="K59" s="672"/>
    </row>
    <row r="60" spans="2:11" ht="29.25" customHeight="1" x14ac:dyDescent="0.25">
      <c r="B60" s="362" t="s">
        <v>981</v>
      </c>
      <c r="C60" s="295"/>
      <c r="D60" s="656">
        <f>'Capacity (local prices)'!E121</f>
        <v>9.5913738667863129</v>
      </c>
      <c r="E60" s="656">
        <f>'Capacity (local prices)'!F121</f>
        <v>6.5483795447543969</v>
      </c>
      <c r="F60" s="656">
        <f>'Capacity (local prices)'!G121</f>
        <v>6.6737643174893959</v>
      </c>
      <c r="G60" s="656">
        <f>'Capacity (local prices)'!H121</f>
        <v>6.8009581953891898</v>
      </c>
      <c r="H60" s="656">
        <f>'Capacity (local prices)'!I121</f>
        <v>6.929984408214561</v>
      </c>
      <c r="I60" s="672"/>
      <c r="J60" s="672"/>
      <c r="K60" s="672"/>
    </row>
    <row r="61" spans="2:11" ht="30.75" customHeight="1" x14ac:dyDescent="0.25">
      <c r="B61" s="362" t="s">
        <v>982</v>
      </c>
      <c r="C61" s="295"/>
      <c r="D61" s="656">
        <f>'Capacity (local prices)'!E127</f>
        <v>0</v>
      </c>
      <c r="E61" s="656">
        <f>'Capacity (local prices)'!F127</f>
        <v>0</v>
      </c>
      <c r="F61" s="656">
        <f>'Capacity (local prices)'!G127</f>
        <v>0</v>
      </c>
      <c r="G61" s="656">
        <f>'Capacity (local prices)'!H127</f>
        <v>0</v>
      </c>
      <c r="H61" s="656">
        <f>'Capacity (local prices)'!I127</f>
        <v>0</v>
      </c>
      <c r="I61" s="672"/>
      <c r="J61" s="672"/>
      <c r="K61" s="672"/>
    </row>
    <row r="62" spans="2:11" ht="14.45" customHeight="1" x14ac:dyDescent="0.25">
      <c r="B62" s="654"/>
      <c r="C62" s="654"/>
      <c r="D62" s="381"/>
      <c r="E62" s="381"/>
      <c r="F62" s="381"/>
      <c r="G62" s="381"/>
      <c r="H62" s="381"/>
      <c r="I62" s="672"/>
      <c r="J62" s="672"/>
      <c r="K62" s="672"/>
    </row>
    <row r="63" spans="2:11" x14ac:dyDescent="0.25">
      <c r="I63" s="672"/>
      <c r="J63" s="672"/>
      <c r="K63" s="672"/>
    </row>
    <row r="64" spans="2:11" x14ac:dyDescent="0.25">
      <c r="B64" s="287" t="s">
        <v>983</v>
      </c>
      <c r="C64" s="288"/>
      <c r="D64" s="281"/>
      <c r="E64" s="281"/>
      <c r="F64" s="281"/>
      <c r="G64" s="281"/>
      <c r="H64" s="282"/>
      <c r="I64" s="672"/>
      <c r="J64" s="672"/>
      <c r="K64" s="672"/>
    </row>
    <row r="65" spans="2:11" x14ac:dyDescent="0.25">
      <c r="B65" s="362" t="s">
        <v>984</v>
      </c>
      <c r="C65" s="295"/>
      <c r="D65" s="406">
        <f>'Capacity (local prices)'!E134+'Capacity (local prices)'!E148+'Capacity (local prices)'!E163</f>
        <v>112.50526624856633</v>
      </c>
      <c r="E65" s="406">
        <f>'Capacity (local prices)'!F134+'Capacity (local prices)'!F148+'Capacity (local prices)'!F163</f>
        <v>149.7342083992433</v>
      </c>
      <c r="F65" s="406">
        <f>'Capacity (local prices)'!G134+'Capacity (local prices)'!G148+'Capacity (local prices)'!G163</f>
        <v>206.50841920302437</v>
      </c>
      <c r="G65" s="406">
        <f>'Capacity (local prices)'!H134+'Capacity (local prices)'!H148+'Capacity (local prices)'!H163</f>
        <v>263.83363703225621</v>
      </c>
      <c r="H65" s="406">
        <f>'Capacity (local prices)'!I134+'Capacity (local prices)'!I148+'Capacity (local prices)'!I163</f>
        <v>321.71520931088867</v>
      </c>
      <c r="I65" s="673"/>
      <c r="J65" s="673"/>
      <c r="K65" s="673"/>
    </row>
    <row r="66" spans="2:11" x14ac:dyDescent="0.25">
      <c r="B66" s="655"/>
      <c r="C66" s="655"/>
      <c r="D66" s="381"/>
      <c r="E66" s="381"/>
      <c r="F66" s="381"/>
      <c r="G66" s="381"/>
      <c r="H66" s="381"/>
      <c r="I66" s="673"/>
      <c r="J66" s="673"/>
      <c r="K66" s="673"/>
    </row>
    <row r="67" spans="2:11" x14ac:dyDescent="0.25">
      <c r="B67" s="287" t="s">
        <v>985</v>
      </c>
      <c r="C67" s="288"/>
      <c r="D67" s="281"/>
      <c r="E67" s="281"/>
      <c r="F67" s="281"/>
      <c r="G67" s="281"/>
      <c r="H67" s="282"/>
      <c r="I67" s="673"/>
      <c r="J67" s="673"/>
      <c r="K67" s="673"/>
    </row>
    <row r="68" spans="2:11" ht="30" x14ac:dyDescent="0.25">
      <c r="B68" s="362" t="s">
        <v>986</v>
      </c>
      <c r="C68" s="295"/>
      <c r="D68" s="406">
        <v>0</v>
      </c>
      <c r="E68" s="406">
        <f>'Financial impact (cash)'!E13*'Inputs and eligible population'!F78*-'Unit costs'!N42</f>
        <v>0</v>
      </c>
      <c r="F68" s="406">
        <f>'Financial impact (cash)'!F13*'Inputs and eligible population'!G78*-'Unit costs'!N42</f>
        <v>-136.8775034342288</v>
      </c>
      <c r="G68" s="406">
        <f>'Financial impact (cash)'!G13*'Inputs and eligible population'!H78*-'Unit costs'!N42</f>
        <v>-139.49835864632212</v>
      </c>
      <c r="H68" s="406">
        <f>'Financial impact (cash)'!H13*'Inputs and eligible population'!I78*-'Unit costs'!N42</f>
        <v>-142.15702867912256</v>
      </c>
      <c r="J68" s="673"/>
      <c r="K68" s="673"/>
    </row>
    <row r="69" spans="2:11" x14ac:dyDescent="0.25">
      <c r="B69" s="691" t="s">
        <v>987</v>
      </c>
      <c r="C69" s="809"/>
      <c r="D69" s="162"/>
      <c r="E69" s="162"/>
      <c r="F69" s="139">
        <f>F68</f>
        <v>-136.8775034342288</v>
      </c>
      <c r="G69" s="139">
        <f>G68+F68</f>
        <v>-276.37586208055092</v>
      </c>
      <c r="H69" s="139">
        <f>H68+G68+F68</f>
        <v>-418.53289075967348</v>
      </c>
      <c r="I69" s="672"/>
      <c r="J69" s="672"/>
      <c r="K69" s="672"/>
    </row>
    <row r="70" spans="2:11" x14ac:dyDescent="0.25">
      <c r="F70" s="311"/>
      <c r="G70" s="311"/>
      <c r="H70" s="311"/>
      <c r="I70" s="672"/>
      <c r="J70" s="672"/>
      <c r="K70" s="672"/>
    </row>
    <row r="71" spans="2:11" x14ac:dyDescent="0.25">
      <c r="B71" s="287" t="s">
        <v>988</v>
      </c>
      <c r="C71" s="288"/>
      <c r="D71" s="281"/>
      <c r="E71" s="281"/>
      <c r="F71" s="281"/>
      <c r="G71" s="281"/>
      <c r="H71" s="282"/>
      <c r="I71" s="144"/>
      <c r="J71" s="144"/>
    </row>
    <row r="72" spans="2:11" x14ac:dyDescent="0.25">
      <c r="B72" s="362" t="s">
        <v>989</v>
      </c>
      <c r="C72" s="295"/>
      <c r="D72" s="406">
        <f>'Capacity (local prices)'!E179</f>
        <v>57.548243200717877</v>
      </c>
      <c r="E72" s="200">
        <f>'Capacity (local prices)'!F179</f>
        <v>39.290277268526381</v>
      </c>
      <c r="F72" s="200">
        <f>'Capacity (local prices)'!G179</f>
        <v>40.042585904936374</v>
      </c>
      <c r="G72" s="200">
        <f>'Capacity (local prices)'!H179</f>
        <v>40.80574917233514</v>
      </c>
      <c r="H72" s="200">
        <f>'Capacity (local prices)'!I179</f>
        <v>41.579906449287364</v>
      </c>
      <c r="I72" s="144"/>
      <c r="J72" s="144"/>
    </row>
    <row r="73" spans="2:11" x14ac:dyDescent="0.25">
      <c r="B73" s="655"/>
      <c r="C73" s="655"/>
      <c r="D73" s="381"/>
      <c r="E73" s="381"/>
      <c r="F73" s="381"/>
      <c r="G73" s="381"/>
      <c r="H73" s="381"/>
      <c r="I73" s="144"/>
      <c r="J73" s="144"/>
    </row>
    <row r="74" spans="2:11" x14ac:dyDescent="0.25">
      <c r="B74" s="287" t="s">
        <v>990</v>
      </c>
      <c r="C74" s="288"/>
      <c r="D74" s="281"/>
      <c r="E74" s="281"/>
      <c r="F74" s="281"/>
      <c r="G74" s="281"/>
      <c r="H74" s="282"/>
      <c r="I74" s="144"/>
      <c r="J74" s="144"/>
    </row>
    <row r="75" spans="2:11" x14ac:dyDescent="0.25">
      <c r="B75" s="362" t="s">
        <v>991</v>
      </c>
      <c r="C75" s="295"/>
      <c r="D75" s="406">
        <f>'Capacity (local prices)'!E187</f>
        <v>8.9919130001121665</v>
      </c>
      <c r="E75" s="406">
        <f>'Capacity (local prices)'!F187</f>
        <v>6.139105823207248</v>
      </c>
      <c r="F75" s="406">
        <f>'Capacity (local prices)'!G187</f>
        <v>6.2566540476463084</v>
      </c>
      <c r="G75" s="406">
        <f>'Capacity (local prices)'!H187</f>
        <v>6.3758983081773657</v>
      </c>
      <c r="H75" s="406">
        <f>'Capacity (local prices)'!I187</f>
        <v>6.4968603827011506</v>
      </c>
      <c r="I75" s="144"/>
      <c r="J75" s="144"/>
    </row>
    <row r="76" spans="2:11" x14ac:dyDescent="0.25">
      <c r="B76" s="655"/>
      <c r="C76" s="655"/>
      <c r="D76" s="381"/>
      <c r="E76" s="381"/>
      <c r="F76" s="381"/>
      <c r="G76" s="381"/>
      <c r="H76" s="381"/>
      <c r="I76" s="144"/>
      <c r="J76" s="144"/>
    </row>
    <row r="77" spans="2:11" x14ac:dyDescent="0.25">
      <c r="B77" s="287" t="s">
        <v>992</v>
      </c>
      <c r="C77" s="288"/>
      <c r="D77" s="281"/>
      <c r="E77" s="281"/>
      <c r="F77" s="281"/>
      <c r="G77" s="281"/>
      <c r="H77" s="282"/>
      <c r="I77" s="144"/>
      <c r="J77" s="144"/>
    </row>
    <row r="78" spans="2:11" x14ac:dyDescent="0.25">
      <c r="B78" s="289" t="s">
        <v>993</v>
      </c>
      <c r="C78" s="290"/>
      <c r="D78" s="406">
        <f>'Capacity (local prices)'!E196</f>
        <v>14.387060800179469</v>
      </c>
      <c r="E78" s="200">
        <f>'Capacity (local prices)'!F196</f>
        <v>9.8225693171315971</v>
      </c>
      <c r="F78" s="200">
        <f>'Capacity (local prices)'!G196</f>
        <v>10.010646476234093</v>
      </c>
      <c r="G78" s="200">
        <f>'Capacity (local prices)'!H196</f>
        <v>10.201437293083785</v>
      </c>
      <c r="H78" s="200">
        <f>'Capacity (local prices)'!I196</f>
        <v>10.394976612321841</v>
      </c>
      <c r="I78" s="144"/>
      <c r="J78" s="144"/>
    </row>
    <row r="79" spans="2:11" x14ac:dyDescent="0.25">
      <c r="I79" s="144"/>
      <c r="J79" s="144"/>
    </row>
    <row r="80" spans="2:11" x14ac:dyDescent="0.25">
      <c r="B80" s="294"/>
      <c r="C80" s="294"/>
      <c r="D80" s="280"/>
      <c r="E80" s="280"/>
      <c r="F80" s="280"/>
      <c r="G80" s="280"/>
      <c r="H80" s="280"/>
      <c r="I80" s="144"/>
      <c r="J80" s="144"/>
    </row>
    <row r="82" spans="4:14" x14ac:dyDescent="0.25">
      <c r="D82" s="846"/>
      <c r="E82" s="838"/>
      <c r="F82" s="838"/>
      <c r="G82" s="838"/>
      <c r="H82" s="838"/>
      <c r="I82" s="838"/>
      <c r="J82" s="838"/>
      <c r="K82" s="838"/>
      <c r="L82" s="838"/>
      <c r="M82" s="838"/>
      <c r="N82" s="838"/>
    </row>
    <row r="83" spans="4:14" x14ac:dyDescent="0.25">
      <c r="D83" s="838"/>
      <c r="E83" s="838"/>
      <c r="F83" s="838"/>
      <c r="G83" s="838"/>
      <c r="H83" s="838"/>
      <c r="I83" s="838"/>
      <c r="J83" s="838"/>
      <c r="K83" s="838"/>
      <c r="L83" s="838"/>
      <c r="M83" s="838"/>
      <c r="N83" s="838"/>
    </row>
    <row r="84" spans="4:14" x14ac:dyDescent="0.25">
      <c r="D84" s="846"/>
      <c r="E84" s="838"/>
      <c r="F84" s="838"/>
      <c r="G84" s="838"/>
      <c r="H84" s="838"/>
      <c r="I84" s="838"/>
      <c r="J84" s="838"/>
      <c r="K84" s="838"/>
      <c r="L84" s="838"/>
      <c r="M84" s="838"/>
      <c r="N84" s="838"/>
    </row>
  </sheetData>
  <sheetProtection algorithmName="SHA-512" hashValue="TxZ0YmP02PcLHl3eMootSWlX4mvpN1djY9f/ET6iH4G4zONrVv/Nq7i5vzyWxm9ne4+RDJcqU5wop3nkz4WF+A==" saltValue="NwQmmzxWa1jbSr0oxj1DAw==" spinCount="100000" sheet="1" objects="1" scenarios="1"/>
  <protectedRanges>
    <protectedRange sqref="B27" name="Range1"/>
  </protectedRanges>
  <mergeCells count="4">
    <mergeCell ref="D82:N83"/>
    <mergeCell ref="D84:N84"/>
    <mergeCell ref="B4:H4"/>
    <mergeCell ref="B6:H6"/>
  </mergeCells>
  <phoneticPr fontId="44"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4"/>
  <sheetViews>
    <sheetView showGridLines="0" topLeftCell="A2" zoomScale="80" zoomScaleNormal="80" zoomScaleSheetLayoutView="80" workbookViewId="0">
      <selection activeCell="C21" sqref="C21"/>
    </sheetView>
  </sheetViews>
  <sheetFormatPr defaultColWidth="8.85546875" defaultRowHeight="15" x14ac:dyDescent="0.25"/>
  <cols>
    <col min="1" max="1" width="3.5703125" customWidth="1"/>
    <col min="2" max="2" width="87.42578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565" t="str">
        <f>'Inputs and eligible population'!B1</f>
        <v>Exagamglogene autotemcel for treating transfusion-dependent beta-thalassaemia</v>
      </c>
      <c r="C1" s="138"/>
      <c r="D1" s="138"/>
      <c r="E1" s="138"/>
      <c r="F1" s="138"/>
      <c r="G1" s="138"/>
      <c r="H1" s="138"/>
      <c r="I1" s="138"/>
      <c r="J1" s="138"/>
      <c r="K1" s="138"/>
      <c r="L1" s="138"/>
      <c r="M1" s="138"/>
      <c r="N1" s="138"/>
      <c r="O1" s="138"/>
      <c r="P1" s="138"/>
      <c r="Q1" s="138"/>
      <c r="R1" s="138"/>
      <c r="S1" s="138"/>
      <c r="T1" s="138"/>
    </row>
    <row r="2" spans="2:34" ht="38.1" customHeight="1" x14ac:dyDescent="0.25">
      <c r="B2" s="404" t="s">
        <v>994</v>
      </c>
      <c r="C2" s="138" t="s">
        <v>860</v>
      </c>
      <c r="D2" s="138" t="s">
        <v>860</v>
      </c>
      <c r="E2" s="138" t="s">
        <v>860</v>
      </c>
      <c r="F2" s="138" t="s">
        <v>860</v>
      </c>
      <c r="G2" s="138" t="s">
        <v>860</v>
      </c>
      <c r="H2" s="138"/>
      <c r="I2" s="138" t="s">
        <v>860</v>
      </c>
      <c r="J2" s="138" t="s">
        <v>860</v>
      </c>
      <c r="K2" s="144"/>
      <c r="L2" s="138"/>
      <c r="M2" s="138"/>
      <c r="N2" s="138"/>
      <c r="O2" s="138"/>
      <c r="P2" s="138"/>
      <c r="Q2" s="138"/>
      <c r="R2" s="138"/>
      <c r="S2" s="138"/>
      <c r="T2" s="138"/>
    </row>
    <row r="3" spans="2:34" x14ac:dyDescent="0.25">
      <c r="B3" s="141" t="s">
        <v>860</v>
      </c>
      <c r="C3" s="144" t="s">
        <v>860</v>
      </c>
      <c r="D3" s="144" t="s">
        <v>860</v>
      </c>
      <c r="E3" s="144" t="s">
        <v>860</v>
      </c>
      <c r="F3" s="144" t="s">
        <v>860</v>
      </c>
      <c r="G3" s="144" t="s">
        <v>860</v>
      </c>
      <c r="H3" s="144" t="s">
        <v>860</v>
      </c>
      <c r="I3" s="144" t="s">
        <v>860</v>
      </c>
      <c r="J3" s="144" t="s">
        <v>860</v>
      </c>
      <c r="K3" s="144"/>
      <c r="L3" s="144"/>
      <c r="M3" s="144"/>
      <c r="N3" s="144"/>
      <c r="O3" s="144"/>
      <c r="P3" s="144"/>
      <c r="Q3" s="144"/>
      <c r="R3" s="144"/>
      <c r="S3" s="144"/>
      <c r="T3" s="144"/>
    </row>
    <row r="4" spans="2:34" s="265" customFormat="1" x14ac:dyDescent="0.25">
      <c r="B4" s="270" t="s">
        <v>995</v>
      </c>
      <c r="F4" s="144"/>
      <c r="G4" s="144"/>
      <c r="H4" s="144"/>
      <c r="I4" s="144"/>
      <c r="J4" s="144" t="s">
        <v>860</v>
      </c>
      <c r="K4" s="144"/>
      <c r="L4" s="144"/>
      <c r="M4" s="144"/>
      <c r="N4" s="144"/>
      <c r="O4" s="144"/>
      <c r="P4" s="144"/>
      <c r="Q4" s="144"/>
      <c r="R4" s="144"/>
      <c r="S4" s="144"/>
      <c r="T4" s="144"/>
    </row>
    <row r="5" spans="2:34" s="265" customFormat="1" x14ac:dyDescent="0.25">
      <c r="B5" s="270" t="s">
        <v>996</v>
      </c>
      <c r="F5" s="144"/>
      <c r="G5" s="144"/>
      <c r="H5" s="144"/>
      <c r="I5" s="144"/>
      <c r="J5" s="144"/>
      <c r="K5" s="144"/>
      <c r="L5" s="144"/>
      <c r="M5" s="144"/>
      <c r="N5" s="144"/>
      <c r="O5" s="144"/>
      <c r="P5" s="144"/>
      <c r="Q5" s="144"/>
      <c r="R5" s="144"/>
      <c r="S5" s="144"/>
      <c r="T5" s="144"/>
    </row>
    <row r="6" spans="2:34" s="265" customFormat="1" ht="26.45" customHeight="1" x14ac:dyDescent="0.25">
      <c r="B6" s="847" t="s">
        <v>950</v>
      </c>
      <c r="C6" s="847"/>
      <c r="D6" s="847"/>
      <c r="E6" s="847"/>
      <c r="F6" s="847"/>
      <c r="G6" s="847"/>
      <c r="H6" s="847"/>
      <c r="I6" s="847"/>
      <c r="J6" s="144" t="s">
        <v>860</v>
      </c>
      <c r="K6" s="144"/>
      <c r="L6" s="144"/>
      <c r="M6" s="144"/>
      <c r="N6" s="144"/>
      <c r="O6" s="144"/>
      <c r="P6" s="144"/>
      <c r="Q6" s="144"/>
      <c r="R6" s="144"/>
      <c r="S6" s="144"/>
      <c r="T6" s="144"/>
    </row>
    <row r="7" spans="2:34" s="265" customFormat="1" ht="45" x14ac:dyDescent="0.25">
      <c r="B7" s="284" t="s">
        <v>953</v>
      </c>
      <c r="C7" s="296"/>
      <c r="D7" s="444" t="s">
        <v>997</v>
      </c>
      <c r="E7" s="297" t="s">
        <v>703</v>
      </c>
      <c r="F7" s="297" t="s">
        <v>704</v>
      </c>
      <c r="G7" s="298" t="s">
        <v>998</v>
      </c>
      <c r="H7" s="298" t="s">
        <v>999</v>
      </c>
      <c r="I7" s="297" t="s">
        <v>1000</v>
      </c>
      <c r="K7" s="144"/>
      <c r="L7" s="144"/>
      <c r="N7" s="144"/>
      <c r="O7" s="144"/>
      <c r="P7" s="144"/>
      <c r="Q7" s="144"/>
      <c r="R7" s="144"/>
      <c r="S7" s="144"/>
      <c r="T7" s="144"/>
    </row>
    <row r="8" spans="2:34" s="161" customFormat="1" x14ac:dyDescent="0.25">
      <c r="B8" s="246" t="s">
        <v>953</v>
      </c>
      <c r="C8" s="201"/>
      <c r="D8" s="200">
        <f>'Inputs and eligible population'!F46</f>
        <v>474.98894141866151</v>
      </c>
      <c r="E8" s="200">
        <f>'Inputs and eligible population'!G46</f>
        <v>479.56869333931564</v>
      </c>
      <c r="F8" s="200">
        <f>'Inputs and eligible population'!H46</f>
        <v>484.19260234622129</v>
      </c>
      <c r="G8" s="200">
        <f>'Inputs and eligible population'!I46</f>
        <v>488.86109419350225</v>
      </c>
      <c r="H8" s="200">
        <f>'Inputs and eligible population'!J46</f>
        <v>493.57459874032162</v>
      </c>
      <c r="I8" s="200">
        <f>'Inputs and eligible population'!K46</f>
        <v>498.33354999046168</v>
      </c>
      <c r="K8" s="144"/>
      <c r="L8" s="144"/>
    </row>
    <row r="9" spans="2:34" s="265" customFormat="1" x14ac:dyDescent="0.25">
      <c r="B9" s="267" t="s">
        <v>860</v>
      </c>
      <c r="C9" s="144" t="s">
        <v>860</v>
      </c>
      <c r="D9" s="144" t="s">
        <v>860</v>
      </c>
      <c r="E9" s="144" t="s">
        <v>860</v>
      </c>
      <c r="F9" s="144" t="s">
        <v>860</v>
      </c>
      <c r="G9" s="144" t="s">
        <v>860</v>
      </c>
      <c r="H9" s="144"/>
      <c r="I9" s="144"/>
      <c r="K9" s="144"/>
      <c r="L9" s="144"/>
      <c r="N9" s="144"/>
      <c r="O9" s="144"/>
      <c r="P9" s="144"/>
      <c r="Q9" s="144"/>
      <c r="R9" s="144"/>
      <c r="S9" s="144"/>
      <c r="T9" s="144"/>
      <c r="AD9" s="299"/>
      <c r="AE9" s="299"/>
      <c r="AF9" s="299"/>
      <c r="AG9" s="299"/>
      <c r="AH9" s="299"/>
    </row>
    <row r="10" spans="2:34" s="265" customFormat="1" x14ac:dyDescent="0.25">
      <c r="B10" s="358" t="s">
        <v>960</v>
      </c>
      <c r="C10" s="359"/>
      <c r="D10" s="360"/>
      <c r="E10" s="360"/>
      <c r="F10" s="360"/>
      <c r="G10" s="360"/>
      <c r="H10" s="360"/>
      <c r="I10" s="361"/>
      <c r="K10" s="144"/>
      <c r="L10" s="144"/>
      <c r="N10" s="144"/>
      <c r="O10" s="144"/>
      <c r="P10" s="144"/>
      <c r="Q10" s="144"/>
      <c r="R10" s="144"/>
      <c r="S10" s="144"/>
      <c r="T10" s="144"/>
    </row>
    <row r="11" spans="2:34" s="265" customFormat="1" x14ac:dyDescent="0.25">
      <c r="B11" s="267"/>
      <c r="C11" s="144"/>
      <c r="D11" s="144"/>
      <c r="E11" s="144"/>
      <c r="F11" s="144"/>
      <c r="G11" s="144"/>
      <c r="H11" s="144"/>
      <c r="I11" s="144"/>
      <c r="N11" s="144"/>
      <c r="O11" s="144"/>
      <c r="P11" s="144"/>
      <c r="Q11" s="144"/>
      <c r="R11" s="144"/>
      <c r="S11" s="144"/>
      <c r="T11" s="144"/>
      <c r="AD11" s="299"/>
      <c r="AE11" s="299"/>
      <c r="AF11" s="299"/>
      <c r="AG11" s="299"/>
      <c r="AH11" s="299"/>
    </row>
    <row r="12" spans="2:34" s="265" customFormat="1" x14ac:dyDescent="0.25">
      <c r="B12" s="305" t="s">
        <v>1001</v>
      </c>
      <c r="C12" s="300"/>
      <c r="D12" s="202"/>
      <c r="E12" s="202"/>
      <c r="F12" s="202"/>
      <c r="G12" s="202"/>
      <c r="H12" s="202"/>
      <c r="I12" s="203"/>
      <c r="N12" s="144"/>
      <c r="O12" s="144"/>
      <c r="P12" s="144"/>
      <c r="Q12" s="144"/>
      <c r="R12" s="144"/>
      <c r="S12" s="144"/>
      <c r="T12" s="144"/>
    </row>
    <row r="13" spans="2:34" s="265" customFormat="1" x14ac:dyDescent="0.25">
      <c r="B13" s="585" t="s">
        <v>1002</v>
      </c>
      <c r="C13" s="367"/>
      <c r="D13" s="301">
        <f>D$8*'Inputs and eligible population'!E71</f>
        <v>0</v>
      </c>
      <c r="E13" s="301">
        <f>E$8*'Inputs and eligible population'!F71</f>
        <v>14.387060800179469</v>
      </c>
      <c r="F13" s="301">
        <f>F$8*'Inputs and eligible population'!G71-E13</f>
        <v>9.8225693171315953</v>
      </c>
      <c r="G13" s="301">
        <f>G$8*'Inputs and eligible population'!H71-F13-E13</f>
        <v>10.010646476234093</v>
      </c>
      <c r="H13" s="301">
        <f>H$8*'Inputs and eligible population'!I71-G13-F13-E13</f>
        <v>10.201437293083785</v>
      </c>
      <c r="I13" s="301">
        <f>I$8*'Inputs and eligible population'!J71-H13-G13-F13-E13</f>
        <v>10.394976612321841</v>
      </c>
      <c r="N13" s="144"/>
      <c r="O13" s="144"/>
      <c r="P13" s="144"/>
      <c r="Q13" s="144"/>
      <c r="R13" s="144"/>
      <c r="S13" s="144"/>
      <c r="T13" s="144"/>
      <c r="V13" s="299"/>
      <c r="W13" s="299"/>
      <c r="X13" s="299"/>
      <c r="Y13" s="299"/>
      <c r="Z13" s="299"/>
      <c r="AA13" s="299"/>
      <c r="AC13" s="299"/>
      <c r="AD13" s="299"/>
      <c r="AE13" s="299"/>
      <c r="AF13" s="299"/>
      <c r="AG13" s="299"/>
      <c r="AH13" s="299"/>
    </row>
    <row r="14" spans="2:34" s="265" customFormat="1" x14ac:dyDescent="0.25">
      <c r="B14" s="586" t="s">
        <v>717</v>
      </c>
      <c r="C14" s="367"/>
      <c r="D14" s="301">
        <f>D$8*'Inputs and eligible population'!E71</f>
        <v>0</v>
      </c>
      <c r="E14" s="301">
        <f>E$8*'Inputs and eligible population'!F71</f>
        <v>14.387060800179469</v>
      </c>
      <c r="F14" s="301">
        <f>F$8*'Inputs and eligible population'!G71-E14</f>
        <v>9.8225693171315953</v>
      </c>
      <c r="G14" s="301">
        <f>G$8*'Inputs and eligible population'!H71-F14-E14</f>
        <v>10.010646476234093</v>
      </c>
      <c r="H14" s="301">
        <f>H$8*'Inputs and eligible population'!I71-G14-F14-E14</f>
        <v>10.201437293083785</v>
      </c>
      <c r="I14" s="301">
        <f>I$8*'Inputs and eligible population'!J71-H14-G14-F14-E14</f>
        <v>10.394976612321841</v>
      </c>
      <c r="N14" s="144"/>
      <c r="O14" s="144"/>
      <c r="P14" s="144"/>
      <c r="Q14" s="144"/>
      <c r="R14" s="144"/>
      <c r="S14" s="144"/>
      <c r="T14" s="144"/>
      <c r="V14" s="299"/>
      <c r="W14" s="299"/>
      <c r="X14" s="299"/>
      <c r="Y14" s="299"/>
      <c r="Z14" s="299"/>
      <c r="AA14" s="299"/>
      <c r="AC14" s="299"/>
      <c r="AD14" s="299"/>
      <c r="AE14" s="299"/>
      <c r="AF14" s="299"/>
      <c r="AG14" s="299"/>
      <c r="AH14" s="299"/>
    </row>
    <row r="15" spans="2:34" s="265" customFormat="1" x14ac:dyDescent="0.25">
      <c r="B15" s="365" t="s">
        <v>718</v>
      </c>
      <c r="C15" s="368"/>
      <c r="D15" s="301">
        <f>D$8*'Inputs and eligible population'!E71</f>
        <v>0</v>
      </c>
      <c r="E15" s="301">
        <f>E$8*'Inputs and eligible population'!F71</f>
        <v>14.387060800179469</v>
      </c>
      <c r="F15" s="301">
        <f>F$8*'Inputs and eligible population'!G71-E15</f>
        <v>9.8225693171315953</v>
      </c>
      <c r="G15" s="301">
        <f>G$8*'Inputs and eligible population'!H71-F15-E15</f>
        <v>10.010646476234093</v>
      </c>
      <c r="H15" s="301">
        <f>H$8*'Inputs and eligible population'!I71-G15-F15-E15</f>
        <v>10.201437293083785</v>
      </c>
      <c r="I15" s="301">
        <f>I$8*'Inputs and eligible population'!J71-H15-G15-F15-E15</f>
        <v>10.394976612321841</v>
      </c>
      <c r="N15" s="144"/>
      <c r="O15" s="144"/>
      <c r="P15" s="144"/>
      <c r="Q15" s="144"/>
      <c r="R15" s="144"/>
      <c r="S15" s="144"/>
      <c r="T15" s="144"/>
      <c r="V15" s="299"/>
      <c r="W15" s="299"/>
      <c r="X15" s="299"/>
      <c r="Y15" s="299"/>
      <c r="Z15" s="299"/>
      <c r="AA15" s="299"/>
      <c r="AC15" s="299"/>
      <c r="AD15" s="299"/>
      <c r="AE15" s="299"/>
      <c r="AF15" s="299"/>
      <c r="AG15" s="299"/>
      <c r="AH15" s="299"/>
    </row>
    <row r="16" spans="2:34" s="265" customFormat="1" x14ac:dyDescent="0.25">
      <c r="B16" s="220" t="s">
        <v>1003</v>
      </c>
      <c r="C16" s="303"/>
      <c r="D16" s="301">
        <f>D8-D13</f>
        <v>474.98894141866151</v>
      </c>
      <c r="E16" s="301">
        <f t="shared" ref="E16:I16" si="0">E8-E13</f>
        <v>465.18163253913616</v>
      </c>
      <c r="F16" s="301">
        <f t="shared" si="0"/>
        <v>474.37003302908971</v>
      </c>
      <c r="G16" s="301">
        <f t="shared" si="0"/>
        <v>478.85044771726814</v>
      </c>
      <c r="H16" s="301">
        <f t="shared" si="0"/>
        <v>483.37316144723786</v>
      </c>
      <c r="I16" s="301">
        <f t="shared" si="0"/>
        <v>487.93857337813984</v>
      </c>
      <c r="N16" s="144"/>
      <c r="O16" s="144"/>
      <c r="P16" s="144"/>
      <c r="Q16" s="144"/>
      <c r="R16" s="144"/>
      <c r="S16" s="144"/>
      <c r="T16" s="144"/>
      <c r="V16" s="299"/>
      <c r="W16" s="299"/>
      <c r="X16" s="299"/>
      <c r="Y16" s="299"/>
      <c r="Z16" s="299"/>
      <c r="AA16" s="299"/>
      <c r="AC16" s="299"/>
      <c r="AD16" s="299"/>
      <c r="AE16" s="299"/>
      <c r="AF16" s="299"/>
      <c r="AG16" s="299"/>
      <c r="AH16" s="299"/>
    </row>
    <row r="17" spans="2:34" s="265" customFormat="1" x14ac:dyDescent="0.25">
      <c r="B17" s="306"/>
      <c r="C17" s="204"/>
      <c r="D17" s="205">
        <f t="shared" ref="D17" si="1">SUM(D13:D15)</f>
        <v>0</v>
      </c>
      <c r="E17" s="205">
        <f>E16+E13</f>
        <v>479.56869333931564</v>
      </c>
      <c r="F17" s="205">
        <f t="shared" ref="F17:I17" si="2">F16+F13</f>
        <v>484.19260234622129</v>
      </c>
      <c r="G17" s="205">
        <f t="shared" si="2"/>
        <v>488.86109419350225</v>
      </c>
      <c r="H17" s="205">
        <f t="shared" si="2"/>
        <v>493.57459874032168</v>
      </c>
      <c r="I17" s="205">
        <f t="shared" si="2"/>
        <v>498.33354999046168</v>
      </c>
      <c r="N17" s="144"/>
      <c r="O17" s="144"/>
      <c r="P17" s="144"/>
      <c r="Q17" s="144"/>
      <c r="R17" s="144"/>
      <c r="S17" s="144"/>
      <c r="T17" s="144"/>
      <c r="V17" s="299"/>
      <c r="W17" s="299"/>
      <c r="X17" s="299"/>
      <c r="Y17" s="299"/>
      <c r="Z17" s="299"/>
      <c r="AA17" s="299"/>
      <c r="AC17" s="299"/>
      <c r="AD17" s="299"/>
      <c r="AE17" s="299"/>
      <c r="AF17" s="299"/>
      <c r="AG17" s="299"/>
      <c r="AH17" s="299"/>
    </row>
    <row r="18" spans="2:34" s="265" customFormat="1" x14ac:dyDescent="0.25">
      <c r="B18" s="769" t="s">
        <v>1004</v>
      </c>
      <c r="C18" s="144"/>
      <c r="D18" s="144"/>
      <c r="E18" s="675"/>
      <c r="F18" s="675"/>
      <c r="G18" s="144"/>
      <c r="H18" s="144"/>
      <c r="I18" s="144"/>
      <c r="N18" s="144"/>
      <c r="O18" s="144"/>
      <c r="P18" s="144"/>
      <c r="Q18" s="144"/>
      <c r="R18" s="144"/>
      <c r="S18" s="144"/>
      <c r="T18" s="144"/>
      <c r="AD18" s="299"/>
      <c r="AE18" s="299"/>
      <c r="AF18" s="299"/>
      <c r="AG18" s="299"/>
      <c r="AH18" s="299"/>
    </row>
    <row r="19" spans="2:34" s="265" customFormat="1" x14ac:dyDescent="0.25">
      <c r="B19" s="307" t="s">
        <v>1005</v>
      </c>
      <c r="C19" s="302" t="s">
        <v>1006</v>
      </c>
      <c r="D19" s="755" t="s">
        <v>961</v>
      </c>
      <c r="E19" s="755" t="s">
        <v>961</v>
      </c>
      <c r="F19" s="755" t="s">
        <v>961</v>
      </c>
      <c r="G19" s="755" t="s">
        <v>961</v>
      </c>
      <c r="H19" s="755" t="s">
        <v>961</v>
      </c>
      <c r="I19" s="755" t="s">
        <v>961</v>
      </c>
      <c r="N19" s="144"/>
      <c r="O19" s="144"/>
      <c r="P19" s="144"/>
      <c r="Q19" s="144"/>
      <c r="R19" s="144"/>
      <c r="S19" s="144"/>
      <c r="T19" s="144"/>
      <c r="AD19" s="299"/>
      <c r="AE19" s="299"/>
      <c r="AF19" s="299"/>
      <c r="AG19" s="299"/>
      <c r="AH19" s="299"/>
    </row>
    <row r="20" spans="2:34" s="265" customFormat="1" x14ac:dyDescent="0.25">
      <c r="B20" s="585" t="s">
        <v>1002</v>
      </c>
      <c r="C20" s="303">
        <f>'Unit costs'!Q10</f>
        <v>0</v>
      </c>
      <c r="D20" s="303">
        <f t="shared" ref="D20:I22" si="3">D13*$C20/1000</f>
        <v>0</v>
      </c>
      <c r="E20" s="303">
        <f t="shared" si="3"/>
        <v>0</v>
      </c>
      <c r="F20" s="303">
        <f t="shared" si="3"/>
        <v>0</v>
      </c>
      <c r="G20" s="303">
        <f t="shared" si="3"/>
        <v>0</v>
      </c>
      <c r="H20" s="303">
        <f t="shared" si="3"/>
        <v>0</v>
      </c>
      <c r="I20" s="303">
        <f t="shared" si="3"/>
        <v>0</v>
      </c>
      <c r="N20" s="144"/>
      <c r="O20" s="144"/>
      <c r="P20" s="144"/>
      <c r="Q20" s="144"/>
      <c r="R20" s="144"/>
      <c r="S20" s="144"/>
      <c r="T20" s="144"/>
      <c r="AD20" s="299"/>
      <c r="AE20" s="299"/>
      <c r="AF20" s="299"/>
      <c r="AG20" s="299"/>
      <c r="AH20" s="299"/>
    </row>
    <row r="21" spans="2:34" s="265" customFormat="1" x14ac:dyDescent="0.25">
      <c r="B21" s="586" t="s">
        <v>717</v>
      </c>
      <c r="C21" s="303">
        <f>'Unit costs'!P14</f>
        <v>0</v>
      </c>
      <c r="D21" s="303">
        <f t="shared" si="3"/>
        <v>0</v>
      </c>
      <c r="E21" s="303">
        <f t="shared" si="3"/>
        <v>0</v>
      </c>
      <c r="F21" s="303">
        <f t="shared" si="3"/>
        <v>0</v>
      </c>
      <c r="G21" s="303">
        <f t="shared" si="3"/>
        <v>0</v>
      </c>
      <c r="H21" s="303">
        <f t="shared" si="3"/>
        <v>0</v>
      </c>
      <c r="I21" s="303">
        <f t="shared" si="3"/>
        <v>0</v>
      </c>
      <c r="N21" s="144"/>
      <c r="O21" s="144"/>
      <c r="P21" s="144"/>
      <c r="Q21" s="144"/>
      <c r="R21" s="144"/>
      <c r="S21" s="144"/>
      <c r="T21" s="144"/>
      <c r="AD21" s="299"/>
      <c r="AE21" s="299"/>
      <c r="AF21" s="299"/>
      <c r="AG21" s="299"/>
      <c r="AH21" s="299"/>
    </row>
    <row r="22" spans="2:34" s="265" customFormat="1" x14ac:dyDescent="0.25">
      <c r="B22" s="365" t="s">
        <v>718</v>
      </c>
      <c r="C22" s="303">
        <f>'Unit costs'!P15</f>
        <v>0</v>
      </c>
      <c r="D22" s="303">
        <f t="shared" si="3"/>
        <v>0</v>
      </c>
      <c r="E22" s="303">
        <f t="shared" si="3"/>
        <v>0</v>
      </c>
      <c r="F22" s="303">
        <f t="shared" si="3"/>
        <v>0</v>
      </c>
      <c r="G22" s="303">
        <f t="shared" si="3"/>
        <v>0</v>
      </c>
      <c r="H22" s="303">
        <f t="shared" si="3"/>
        <v>0</v>
      </c>
      <c r="I22" s="303">
        <f t="shared" si="3"/>
        <v>0</v>
      </c>
      <c r="N22" s="144"/>
      <c r="O22" s="144"/>
      <c r="P22" s="144"/>
      <c r="Q22" s="144"/>
      <c r="R22" s="144"/>
      <c r="S22" s="144"/>
      <c r="T22" s="144"/>
      <c r="AD22" s="299"/>
      <c r="AE22" s="299"/>
      <c r="AF22" s="299"/>
      <c r="AG22" s="299"/>
      <c r="AH22" s="299"/>
    </row>
    <row r="23" spans="2:34" s="265" customFormat="1" x14ac:dyDescent="0.25">
      <c r="B23" s="308" t="s">
        <v>1008</v>
      </c>
      <c r="C23" s="206"/>
      <c r="D23" s="207">
        <f t="shared" ref="D23:I23" si="4">SUM(D20:D22)</f>
        <v>0</v>
      </c>
      <c r="E23" s="207">
        <f t="shared" si="4"/>
        <v>0</v>
      </c>
      <c r="F23" s="207">
        <f t="shared" si="4"/>
        <v>0</v>
      </c>
      <c r="G23" s="207">
        <f t="shared" si="4"/>
        <v>0</v>
      </c>
      <c r="H23" s="207">
        <f t="shared" si="4"/>
        <v>0</v>
      </c>
      <c r="I23" s="207">
        <f t="shared" si="4"/>
        <v>0</v>
      </c>
      <c r="J23" s="377"/>
      <c r="N23" s="144"/>
      <c r="O23" s="144"/>
      <c r="P23" s="144"/>
      <c r="Q23" s="144"/>
      <c r="R23" s="144"/>
      <c r="S23" s="144"/>
      <c r="T23" s="144"/>
      <c r="AD23" s="299"/>
      <c r="AE23" s="299"/>
      <c r="AF23" s="299"/>
      <c r="AG23" s="299"/>
      <c r="AH23" s="299"/>
    </row>
    <row r="24" spans="2:34" s="265" customFormat="1" x14ac:dyDescent="0.25">
      <c r="B24" s="603"/>
      <c r="C24" s="161"/>
      <c r="D24" s="604"/>
      <c r="E24" s="604"/>
      <c r="F24" s="604"/>
      <c r="G24" s="604"/>
      <c r="H24" s="604"/>
      <c r="I24" s="604"/>
      <c r="J24" s="377"/>
      <c r="N24" s="144"/>
      <c r="O24" s="144"/>
      <c r="P24" s="144"/>
      <c r="Q24" s="144"/>
      <c r="R24" s="144"/>
      <c r="S24" s="144"/>
      <c r="T24" s="144"/>
      <c r="AD24" s="299"/>
      <c r="AE24" s="299"/>
      <c r="AF24" s="299"/>
      <c r="AG24" s="299"/>
      <c r="AH24" s="299"/>
    </row>
    <row r="25" spans="2:34" s="265" customFormat="1" x14ac:dyDescent="0.25">
      <c r="B25" s="651" t="s">
        <v>1176</v>
      </c>
      <c r="C25" s="650" t="s">
        <v>1006</v>
      </c>
      <c r="D25" s="605" t="s">
        <v>961</v>
      </c>
      <c r="E25" s="605" t="s">
        <v>961</v>
      </c>
      <c r="F25" s="605" t="s">
        <v>961</v>
      </c>
      <c r="G25" s="605" t="s">
        <v>961</v>
      </c>
      <c r="H25" s="605" t="s">
        <v>961</v>
      </c>
      <c r="I25" s="605" t="s">
        <v>961</v>
      </c>
      <c r="J25" s="377"/>
      <c r="N25" s="144"/>
      <c r="O25" s="144"/>
      <c r="P25" s="144"/>
      <c r="Q25" s="144"/>
      <c r="R25" s="144"/>
      <c r="S25" s="144"/>
      <c r="T25" s="144"/>
      <c r="AD25" s="299"/>
      <c r="AE25" s="299"/>
      <c r="AF25" s="299"/>
      <c r="AG25" s="299"/>
      <c r="AH25" s="299"/>
    </row>
    <row r="26" spans="2:34" s="265" customFormat="1" x14ac:dyDescent="0.25">
      <c r="B26" s="606" t="s">
        <v>1007</v>
      </c>
      <c r="C26" s="139">
        <f>'Unit costs'!Q44</f>
        <v>0</v>
      </c>
      <c r="D26" s="316">
        <f>D16*$C$26/1000</f>
        <v>0</v>
      </c>
      <c r="E26" s="316">
        <f>(D16*$C$26)/1000</f>
        <v>0</v>
      </c>
      <c r="F26" s="301">
        <f>(D16-E13)*$C$26/1000</f>
        <v>0</v>
      </c>
      <c r="G26" s="301">
        <f>(D16-F13-E13)*$C$26/1000</f>
        <v>0</v>
      </c>
      <c r="H26" s="301">
        <f>(D16-G13-F13-E13)*$C$26/1000</f>
        <v>0</v>
      </c>
      <c r="I26" s="301">
        <f>(D16-H13-G13-F13-E13)*$C$26/1000</f>
        <v>0</v>
      </c>
      <c r="J26" s="377"/>
      <c r="N26" s="144"/>
      <c r="O26" s="144"/>
      <c r="P26" s="144"/>
      <c r="Q26" s="144"/>
      <c r="R26" s="144"/>
      <c r="S26" s="144"/>
      <c r="T26" s="144"/>
      <c r="AD26" s="299"/>
      <c r="AE26" s="299"/>
      <c r="AF26" s="299"/>
      <c r="AG26" s="299"/>
      <c r="AH26" s="299"/>
    </row>
    <row r="27" spans="2:34" s="265" customFormat="1" x14ac:dyDescent="0.25">
      <c r="B27" s="607"/>
      <c r="C27" s="608"/>
      <c r="D27" s="317"/>
      <c r="E27" s="207">
        <f>E26-$D$26</f>
        <v>0</v>
      </c>
      <c r="F27" s="207">
        <f>F26-$D$26</f>
        <v>0</v>
      </c>
      <c r="G27" s="207">
        <f>G26-$D$26</f>
        <v>0</v>
      </c>
      <c r="H27" s="207">
        <f>H26-$D$26</f>
        <v>0</v>
      </c>
      <c r="I27" s="207">
        <f>I26-$D$26</f>
        <v>0</v>
      </c>
      <c r="J27" s="377"/>
      <c r="N27" s="144"/>
      <c r="O27" s="495"/>
      <c r="P27" s="144"/>
      <c r="Q27" s="144"/>
      <c r="R27" s="144"/>
      <c r="S27" s="144"/>
      <c r="T27" s="144"/>
      <c r="AD27" s="299"/>
      <c r="AE27" s="299"/>
      <c r="AF27" s="299"/>
      <c r="AG27" s="299"/>
      <c r="AH27" s="299"/>
    </row>
    <row r="28" spans="2:34" s="265" customFormat="1" x14ac:dyDescent="0.25">
      <c r="B28" t="s">
        <v>1177</v>
      </c>
      <c r="C28" s="144"/>
      <c r="D28" s="144"/>
      <c r="E28" s="144"/>
      <c r="F28" s="604"/>
      <c r="G28" s="604"/>
      <c r="H28" s="604"/>
      <c r="I28" s="604"/>
      <c r="N28" s="144"/>
      <c r="O28" s="144"/>
      <c r="P28" s="144"/>
      <c r="Q28" s="144"/>
      <c r="R28" s="144"/>
      <c r="S28" s="144"/>
      <c r="T28" s="144"/>
      <c r="AD28" s="299"/>
      <c r="AE28" s="299"/>
      <c r="AF28" s="299"/>
      <c r="AG28" s="299"/>
      <c r="AH28" s="299"/>
    </row>
    <row r="29" spans="2:34" s="265" customFormat="1" x14ac:dyDescent="0.25">
      <c r="B29" s="405"/>
      <c r="C29" s="304"/>
      <c r="D29" s="376" t="s">
        <v>1009</v>
      </c>
      <c r="E29" s="207">
        <f t="shared" ref="E29:H29" si="5">(E23+E27)-$D$23</f>
        <v>0</v>
      </c>
      <c r="F29" s="207">
        <f t="shared" si="5"/>
        <v>0</v>
      </c>
      <c r="G29" s="207">
        <f t="shared" si="5"/>
        <v>0</v>
      </c>
      <c r="H29" s="207">
        <f t="shared" si="5"/>
        <v>0</v>
      </c>
      <c r="I29" s="207">
        <f>(I23+I27)-$D$23</f>
        <v>0</v>
      </c>
      <c r="N29" s="144"/>
      <c r="O29" s="144"/>
      <c r="P29" s="144"/>
      <c r="Q29" s="144"/>
      <c r="R29" s="144"/>
      <c r="S29" s="144"/>
      <c r="T29" s="144"/>
      <c r="AD29" s="299"/>
      <c r="AE29" s="299"/>
      <c r="AF29" s="299"/>
      <c r="AG29" s="299"/>
      <c r="AH29" s="299"/>
    </row>
    <row r="30" spans="2:34" s="265" customFormat="1" x14ac:dyDescent="0.25">
      <c r="B30" s="405"/>
      <c r="C30" s="304"/>
      <c r="D30" s="309" t="s">
        <v>1010</v>
      </c>
      <c r="E30" s="207">
        <f>E29</f>
        <v>0</v>
      </c>
      <c r="F30" s="208">
        <f>F29-E29</f>
        <v>0</v>
      </c>
      <c r="G30" s="208">
        <f>G29-F29</f>
        <v>0</v>
      </c>
      <c r="H30" s="208">
        <f>H29-G29</f>
        <v>0</v>
      </c>
      <c r="I30" s="208">
        <f>I29-H29</f>
        <v>0</v>
      </c>
      <c r="J30" s="144"/>
      <c r="K30" s="144"/>
      <c r="L30" s="144"/>
      <c r="M30" s="144"/>
      <c r="N30" s="144"/>
      <c r="O30" s="144"/>
      <c r="P30" s="144"/>
      <c r="Q30" s="144"/>
      <c r="R30" s="144"/>
      <c r="S30" s="144"/>
      <c r="T30" s="144"/>
      <c r="AD30" s="299"/>
      <c r="AE30" s="299"/>
      <c r="AF30" s="299"/>
      <c r="AG30" s="299"/>
      <c r="AH30" s="299"/>
    </row>
    <row r="32" spans="2:34" x14ac:dyDescent="0.25">
      <c r="F32" s="495"/>
      <c r="J32" s="265"/>
      <c r="K32" s="265"/>
    </row>
    <row r="33" spans="6:11" x14ac:dyDescent="0.25">
      <c r="F33" s="495"/>
      <c r="J33" s="265"/>
      <c r="K33" s="265"/>
    </row>
    <row r="34" spans="6:11" x14ac:dyDescent="0.25">
      <c r="J34" s="265"/>
      <c r="K34" s="265"/>
    </row>
  </sheetData>
  <sheetProtection algorithmName="SHA-512" hashValue="YE8TgHsNOlFOVNCOyF34rWW4ZhrqNxd5QWow+C1xbNSa9S1UukMRT7vzsf1K6CIJxdD8xpIWZSD++O74ztTIog==" saltValue="ysj7w8b/S/YAbV9wIXZMcw==" spinCount="100000" sheet="1" objects="1" scenarios="1"/>
  <mergeCells count="1">
    <mergeCell ref="B6:I6"/>
  </mergeCells>
  <phoneticPr fontId="44"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202"/>
  <sheetViews>
    <sheetView showGridLines="0" zoomScale="80" zoomScaleNormal="80" zoomScaleSheetLayoutView="30" workbookViewId="0">
      <selection activeCell="B5" sqref="B5"/>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7" width="11.5703125" customWidth="1"/>
    <col min="18" max="18" width="11.42578125" customWidth="1"/>
    <col min="19" max="19" width="11.5703125" customWidth="1"/>
    <col min="20" max="25" width="10.85546875" customWidth="1"/>
    <col min="27" max="40" width="0" hidden="1" customWidth="1"/>
  </cols>
  <sheetData>
    <row r="1" spans="1:39" ht="30" customHeight="1" x14ac:dyDescent="0.25">
      <c r="B1" s="565" t="str">
        <f>'Inputs and eligible population'!B1</f>
        <v>Exagamglogene autotemcel for treating transfusion-dependent beta-thalassaemia</v>
      </c>
      <c r="C1" s="138"/>
      <c r="D1" s="138"/>
      <c r="F1" s="138"/>
      <c r="G1" s="138"/>
      <c r="H1" s="138"/>
      <c r="I1" s="138"/>
      <c r="J1" s="138"/>
      <c r="K1" s="138"/>
      <c r="L1" s="138"/>
      <c r="M1" s="138"/>
      <c r="N1" s="138"/>
      <c r="O1" s="138"/>
      <c r="Q1" s="138"/>
      <c r="R1" s="138"/>
      <c r="S1" s="138"/>
      <c r="T1" s="138"/>
      <c r="U1" s="138"/>
      <c r="V1" s="138"/>
      <c r="W1" s="138"/>
      <c r="X1" s="138"/>
      <c r="Y1" s="138"/>
    </row>
    <row r="2" spans="1:39" ht="42.6" customHeight="1" x14ac:dyDescent="0.25">
      <c r="B2" s="236" t="s">
        <v>1011</v>
      </c>
      <c r="C2" s="138" t="s">
        <v>860</v>
      </c>
      <c r="D2" s="138" t="s">
        <v>860</v>
      </c>
      <c r="E2" s="511"/>
      <c r="F2" s="138" t="s">
        <v>860</v>
      </c>
      <c r="G2" s="138" t="s">
        <v>860</v>
      </c>
      <c r="H2" s="138" t="s">
        <v>860</v>
      </c>
      <c r="I2" s="138" t="s">
        <v>860</v>
      </c>
      <c r="J2" s="138"/>
      <c r="K2" s="138"/>
      <c r="L2" s="138"/>
      <c r="M2" s="138"/>
      <c r="N2" s="138"/>
      <c r="O2" s="138"/>
      <c r="P2" s="138"/>
      <c r="Q2" s="138"/>
      <c r="R2" s="138"/>
      <c r="S2" s="138"/>
      <c r="T2" s="138"/>
      <c r="U2" s="138"/>
      <c r="V2" s="138"/>
      <c r="W2" s="138"/>
      <c r="X2" s="138"/>
      <c r="Y2" s="138"/>
    </row>
    <row r="3" spans="1:39" ht="14.45" customHeight="1" x14ac:dyDescent="0.25">
      <c r="B3" s="141" t="s">
        <v>860</v>
      </c>
      <c r="C3" s="144" t="s">
        <v>860</v>
      </c>
      <c r="D3" s="144" t="s">
        <v>860</v>
      </c>
      <c r="F3" s="144" t="s">
        <v>860</v>
      </c>
      <c r="G3" s="144" t="s">
        <v>860</v>
      </c>
      <c r="H3" s="144" t="s">
        <v>860</v>
      </c>
      <c r="I3" s="144" t="s">
        <v>860</v>
      </c>
      <c r="J3" s="138"/>
      <c r="K3" s="138"/>
      <c r="L3" s="138"/>
      <c r="M3" s="138"/>
      <c r="N3" s="138"/>
      <c r="O3" s="138"/>
      <c r="P3" s="144"/>
      <c r="Q3" s="144"/>
      <c r="R3" s="144"/>
      <c r="S3" s="144"/>
      <c r="T3" s="144"/>
      <c r="U3" s="144"/>
      <c r="V3" s="144"/>
      <c r="W3" s="144"/>
      <c r="X3" s="144"/>
      <c r="Y3" s="144"/>
    </row>
    <row r="4" spans="1:39" ht="14.45" customHeight="1" x14ac:dyDescent="0.25">
      <c r="B4" t="s">
        <v>1012</v>
      </c>
      <c r="C4" s="144"/>
      <c r="D4" s="144"/>
      <c r="F4" s="144"/>
      <c r="G4" s="144"/>
      <c r="H4" s="144"/>
      <c r="I4" s="144"/>
      <c r="J4" s="144"/>
      <c r="K4" s="144"/>
      <c r="L4" s="144"/>
      <c r="M4" s="144"/>
      <c r="N4" s="144"/>
      <c r="O4" s="144"/>
      <c r="P4" s="144"/>
      <c r="Q4" s="144"/>
      <c r="R4" s="144"/>
      <c r="S4" s="144"/>
      <c r="T4" s="144"/>
      <c r="U4" s="144"/>
      <c r="V4" s="144"/>
      <c r="W4" s="144"/>
      <c r="X4" s="144"/>
      <c r="Y4" s="144"/>
    </row>
    <row r="5" spans="1:39" ht="14.45" customHeight="1" x14ac:dyDescent="0.25">
      <c r="B5" s="812"/>
      <c r="F5" s="144"/>
      <c r="G5" s="144"/>
      <c r="H5" s="144"/>
      <c r="I5" s="144"/>
      <c r="J5" s="144"/>
      <c r="K5" s="144"/>
      <c r="L5" s="144"/>
      <c r="M5" s="144"/>
      <c r="N5" s="144"/>
      <c r="O5" s="144"/>
      <c r="P5" s="144"/>
      <c r="Q5" s="144"/>
      <c r="R5" s="144"/>
      <c r="S5" s="144"/>
      <c r="T5" s="144"/>
      <c r="U5" s="144"/>
      <c r="V5" s="144"/>
      <c r="W5" s="144"/>
      <c r="X5" s="144"/>
      <c r="Y5" s="144"/>
    </row>
    <row r="6" spans="1:39" ht="45" x14ac:dyDescent="0.25">
      <c r="B6" s="284" t="s">
        <v>953</v>
      </c>
      <c r="C6" s="231"/>
      <c r="D6" s="444" t="s">
        <v>997</v>
      </c>
      <c r="E6" s="282" t="s">
        <v>703</v>
      </c>
      <c r="F6" s="282" t="s">
        <v>704</v>
      </c>
      <c r="G6" s="180" t="s">
        <v>998</v>
      </c>
      <c r="H6" s="180" t="s">
        <v>999</v>
      </c>
      <c r="I6" s="282" t="s">
        <v>1000</v>
      </c>
      <c r="K6" s="444" t="s">
        <v>997</v>
      </c>
      <c r="L6" s="282" t="s">
        <v>703</v>
      </c>
      <c r="M6" s="282" t="s">
        <v>704</v>
      </c>
      <c r="N6" s="180" t="s">
        <v>998</v>
      </c>
      <c r="O6" s="180" t="s">
        <v>999</v>
      </c>
      <c r="P6" s="282" t="s">
        <v>1000</v>
      </c>
      <c r="Q6" s="144"/>
      <c r="R6" s="144"/>
      <c r="S6" s="144"/>
      <c r="T6" s="144"/>
      <c r="U6" s="144"/>
      <c r="V6" s="144"/>
      <c r="W6" s="144"/>
      <c r="X6" s="144"/>
      <c r="Y6" s="144"/>
      <c r="AI6" s="311"/>
      <c r="AJ6" s="311"/>
      <c r="AK6" s="311"/>
      <c r="AL6" s="311"/>
      <c r="AM6" s="311"/>
    </row>
    <row r="7" spans="1:39" x14ac:dyDescent="0.25">
      <c r="B7" s="246" t="s">
        <v>1013</v>
      </c>
      <c r="C7" s="183"/>
      <c r="D7" s="623">
        <f>'Inputs and eligible population'!F44</f>
        <v>60.108677663993383</v>
      </c>
      <c r="E7" s="623">
        <f>'Inputs and eligible population'!G44</f>
        <v>60.68823396094097</v>
      </c>
      <c r="F7" s="623">
        <f>'Inputs and eligible population'!H44</f>
        <v>61.273378228118233</v>
      </c>
      <c r="G7" s="623">
        <f>'Inputs and eligible population'!I44</f>
        <v>61.864164343658246</v>
      </c>
      <c r="H7" s="623">
        <f>'Inputs and eligible population'!J44</f>
        <v>62.46064670517665</v>
      </c>
      <c r="I7" s="623">
        <f>'Inputs and eligible population'!K44</f>
        <v>63.062880234780437</v>
      </c>
      <c r="K7" s="759"/>
      <c r="L7" s="760"/>
      <c r="M7" s="760"/>
      <c r="N7" s="760"/>
      <c r="O7" s="760"/>
      <c r="P7" s="761"/>
      <c r="Q7" s="144"/>
      <c r="R7" s="144"/>
      <c r="S7" s="144"/>
      <c r="T7" s="144"/>
      <c r="U7" s="144"/>
      <c r="V7" s="144"/>
      <c r="W7" s="144"/>
      <c r="X7" s="144"/>
      <c r="Y7" s="144"/>
      <c r="AI7" s="311"/>
      <c r="AJ7" s="311"/>
      <c r="AK7" s="311"/>
      <c r="AL7" s="311"/>
      <c r="AM7" s="311"/>
    </row>
    <row r="8" spans="1:39" x14ac:dyDescent="0.25">
      <c r="B8" s="246" t="s">
        <v>1014</v>
      </c>
      <c r="C8" s="183"/>
      <c r="D8" s="406">
        <f>'Inputs and eligible population'!F45</f>
        <v>414.88026375466814</v>
      </c>
      <c r="E8" s="406">
        <f>'Inputs and eligible population'!G45</f>
        <v>418.88045937837467</v>
      </c>
      <c r="F8" s="406">
        <f>'Inputs and eligible population'!H45</f>
        <v>422.91922411810305</v>
      </c>
      <c r="G8" s="406">
        <f>'Inputs and eligible population'!I45</f>
        <v>426.99692984984404</v>
      </c>
      <c r="H8" s="406">
        <f>'Inputs and eligible population'!J45</f>
        <v>431.11395203514496</v>
      </c>
      <c r="I8" s="406">
        <f>'Inputs and eligible population'!K45</f>
        <v>435.27066975568124</v>
      </c>
      <c r="K8" s="176"/>
      <c r="O8" s="144"/>
      <c r="P8" s="762"/>
      <c r="Q8" s="144"/>
      <c r="R8" s="144"/>
      <c r="S8" s="144"/>
      <c r="T8" s="144"/>
      <c r="U8" s="144"/>
      <c r="V8" s="144"/>
      <c r="W8" s="144"/>
      <c r="X8" s="144"/>
      <c r="Y8" s="144"/>
      <c r="AI8" s="311"/>
      <c r="AJ8" s="311"/>
      <c r="AK8" s="311"/>
      <c r="AL8" s="311"/>
      <c r="AM8" s="311"/>
    </row>
    <row r="9" spans="1:39" x14ac:dyDescent="0.25">
      <c r="B9" s="161" t="s">
        <v>1015</v>
      </c>
      <c r="D9" s="200">
        <f>SUM(D7:D8)</f>
        <v>474.98894141866151</v>
      </c>
      <c r="E9" s="200">
        <f t="shared" ref="E9:I9" si="0">SUM(E7:E8)</f>
        <v>479.56869333931564</v>
      </c>
      <c r="F9" s="200">
        <f t="shared" si="0"/>
        <v>484.19260234622129</v>
      </c>
      <c r="G9" s="200">
        <f t="shared" si="0"/>
        <v>488.86109419350225</v>
      </c>
      <c r="H9" s="200">
        <f t="shared" si="0"/>
        <v>493.57459874032162</v>
      </c>
      <c r="I9" s="200">
        <f t="shared" si="0"/>
        <v>498.33354999046168</v>
      </c>
      <c r="K9" s="177"/>
      <c r="L9" s="178"/>
      <c r="M9" s="178"/>
      <c r="N9" s="178"/>
      <c r="O9" s="763"/>
      <c r="P9" s="764"/>
      <c r="Q9" s="144"/>
      <c r="R9" s="144"/>
      <c r="S9" s="144"/>
      <c r="T9" s="144"/>
      <c r="U9" s="144"/>
      <c r="V9" s="144"/>
      <c r="W9" s="144"/>
      <c r="X9" s="144"/>
      <c r="Y9" s="144"/>
      <c r="AI9" s="311"/>
      <c r="AJ9" s="311"/>
      <c r="AK9" s="311"/>
      <c r="AL9" s="311"/>
      <c r="AM9" s="311"/>
    </row>
    <row r="10" spans="1:39" x14ac:dyDescent="0.25">
      <c r="B10" s="305" t="s">
        <v>1016</v>
      </c>
      <c r="C10" s="456"/>
      <c r="D10" s="456"/>
      <c r="E10" s="457"/>
      <c r="F10" s="456"/>
      <c r="G10" s="458"/>
      <c r="H10" s="459"/>
      <c r="I10" s="459"/>
      <c r="J10" s="538"/>
      <c r="K10" s="755" t="s">
        <v>961</v>
      </c>
      <c r="L10" s="755" t="s">
        <v>961</v>
      </c>
      <c r="M10" s="755" t="s">
        <v>961</v>
      </c>
      <c r="N10" s="755" t="s">
        <v>961</v>
      </c>
      <c r="O10" s="755" t="s">
        <v>961</v>
      </c>
      <c r="P10" s="755" t="s">
        <v>961</v>
      </c>
      <c r="Q10" s="144"/>
      <c r="R10" s="144"/>
      <c r="S10" s="144"/>
      <c r="T10" s="144"/>
      <c r="U10" s="144"/>
      <c r="V10" s="144"/>
      <c r="W10" s="144"/>
      <c r="X10" s="144"/>
      <c r="Y10" s="144"/>
      <c r="AI10" s="311"/>
      <c r="AJ10" s="311"/>
      <c r="AK10" s="311"/>
      <c r="AL10" s="311"/>
      <c r="AM10" s="311"/>
    </row>
    <row r="11" spans="1:39" x14ac:dyDescent="0.25">
      <c r="A11" s="312"/>
      <c r="B11" s="462" t="str">
        <f>B37</f>
        <v xml:space="preserve">Mobilisation administrations </v>
      </c>
      <c r="C11" s="467"/>
      <c r="D11" s="442">
        <f>D41</f>
        <v>0</v>
      </c>
      <c r="E11" s="442">
        <f t="shared" ref="E11:I11" si="1">E41</f>
        <v>345.28945920430726</v>
      </c>
      <c r="F11" s="442">
        <f t="shared" si="1"/>
        <v>235.74166361115829</v>
      </c>
      <c r="G11" s="442">
        <f t="shared" si="1"/>
        <v>240.25551542961824</v>
      </c>
      <c r="H11" s="442">
        <f t="shared" si="1"/>
        <v>244.83449503401084</v>
      </c>
      <c r="I11" s="442">
        <f t="shared" si="1"/>
        <v>249.47943869572418</v>
      </c>
      <c r="K11" s="646"/>
      <c r="L11" s="646"/>
      <c r="M11" s="646"/>
      <c r="N11" s="646"/>
      <c r="O11" s="646"/>
      <c r="P11" s="646"/>
      <c r="Q11" s="144"/>
      <c r="R11" s="144"/>
      <c r="S11" s="144"/>
      <c r="T11" s="144"/>
      <c r="U11" s="144"/>
      <c r="V11" s="144"/>
      <c r="W11" s="144"/>
      <c r="X11" s="144"/>
      <c r="Y11" s="144"/>
      <c r="AI11" s="311"/>
      <c r="AJ11" s="311"/>
      <c r="AK11" s="311"/>
      <c r="AL11" s="311"/>
      <c r="AM11" s="311"/>
    </row>
    <row r="12" spans="1:39" x14ac:dyDescent="0.25">
      <c r="A12" s="312"/>
      <c r="B12" s="462" t="str">
        <f>B46</f>
        <v>Myeloablative conditioning  cycles</v>
      </c>
      <c r="C12" s="467"/>
      <c r="D12" s="442">
        <f>D49</f>
        <v>0</v>
      </c>
      <c r="E12" s="442">
        <f t="shared" ref="E12:I12" si="2">E49</f>
        <v>57.548243200717877</v>
      </c>
      <c r="F12" s="442">
        <f t="shared" si="2"/>
        <v>39.290277268526381</v>
      </c>
      <c r="G12" s="442">
        <f t="shared" si="2"/>
        <v>40.042585904936374</v>
      </c>
      <c r="H12" s="442">
        <f t="shared" si="2"/>
        <v>40.80574917233514</v>
      </c>
      <c r="I12" s="442">
        <f t="shared" si="2"/>
        <v>41.579906449287364</v>
      </c>
      <c r="K12" s="646"/>
      <c r="L12" s="646"/>
      <c r="M12" s="646"/>
      <c r="N12" s="646"/>
      <c r="O12" s="646"/>
      <c r="P12" s="646"/>
      <c r="Q12" s="144"/>
      <c r="R12" s="144"/>
      <c r="S12" s="144"/>
      <c r="T12" s="144"/>
      <c r="U12" s="144"/>
      <c r="V12" s="144"/>
      <c r="W12" s="144"/>
      <c r="X12" s="144"/>
      <c r="Y12" s="144"/>
      <c r="AI12" s="311"/>
      <c r="AJ12" s="311"/>
      <c r="AK12" s="311"/>
      <c r="AL12" s="311"/>
      <c r="AM12" s="311"/>
    </row>
    <row r="13" spans="1:39" x14ac:dyDescent="0.25">
      <c r="A13" s="312"/>
      <c r="B13" s="462" t="s">
        <v>1017</v>
      </c>
      <c r="C13" s="467"/>
      <c r="D13" s="442">
        <f>D57</f>
        <v>0</v>
      </c>
      <c r="E13" s="442">
        <f t="shared" ref="E13:I13" si="3">E57</f>
        <v>402.83770240502514</v>
      </c>
      <c r="F13" s="442">
        <f t="shared" si="3"/>
        <v>275.03194087968467</v>
      </c>
      <c r="G13" s="442">
        <f t="shared" si="3"/>
        <v>280.29810133455464</v>
      </c>
      <c r="H13" s="442">
        <f t="shared" si="3"/>
        <v>285.64024420634598</v>
      </c>
      <c r="I13" s="442">
        <f t="shared" si="3"/>
        <v>291.05934514501155</v>
      </c>
      <c r="K13" s="646"/>
      <c r="L13" s="646"/>
      <c r="M13" s="646"/>
      <c r="N13" s="646"/>
      <c r="O13" s="646"/>
      <c r="P13" s="646"/>
      <c r="Q13" s="144"/>
      <c r="R13" s="144"/>
      <c r="S13" s="144"/>
      <c r="T13" s="144"/>
      <c r="U13" s="144"/>
      <c r="V13" s="144"/>
      <c r="W13" s="144"/>
      <c r="X13" s="144"/>
      <c r="Y13" s="144"/>
      <c r="AI13" s="311"/>
      <c r="AJ13" s="311"/>
      <c r="AK13" s="311"/>
      <c r="AL13" s="311"/>
      <c r="AM13" s="311"/>
    </row>
    <row r="14" spans="1:39" x14ac:dyDescent="0.25">
      <c r="A14" s="312"/>
      <c r="B14" s="462" t="str">
        <f>B62</f>
        <v>Normalisation transfusions (12 months post treatment)</v>
      </c>
      <c r="C14" s="467"/>
      <c r="D14" s="442">
        <f>D65</f>
        <v>0</v>
      </c>
      <c r="E14" s="442">
        <f t="shared" ref="E14:I14" si="4">E65</f>
        <v>374.06358080466623</v>
      </c>
      <c r="F14" s="442">
        <f t="shared" si="4"/>
        <v>255.38680224542148</v>
      </c>
      <c r="G14" s="442">
        <f t="shared" si="4"/>
        <v>260.27680838208641</v>
      </c>
      <c r="H14" s="442">
        <f t="shared" si="4"/>
        <v>265.23736962017841</v>
      </c>
      <c r="I14" s="442">
        <f t="shared" si="4"/>
        <v>270.26939192036787</v>
      </c>
      <c r="K14" s="646"/>
      <c r="L14" s="646"/>
      <c r="M14" s="646"/>
      <c r="N14" s="646"/>
      <c r="O14" s="646"/>
      <c r="P14" s="646"/>
      <c r="Q14" s="144"/>
      <c r="R14" s="144"/>
      <c r="S14" s="144"/>
      <c r="T14" s="144"/>
      <c r="U14" s="144"/>
      <c r="V14" s="144"/>
      <c r="W14" s="144"/>
      <c r="X14" s="144"/>
      <c r="Y14" s="144"/>
      <c r="AI14" s="311"/>
      <c r="AJ14" s="311"/>
      <c r="AK14" s="311"/>
      <c r="AL14" s="311"/>
      <c r="AM14" s="311"/>
    </row>
    <row r="15" spans="1:39" ht="30" x14ac:dyDescent="0.25">
      <c r="A15" s="312"/>
      <c r="B15" s="462" t="str">
        <f>B69</f>
        <v>Normalisation administrations - duration of administrations (hours)</v>
      </c>
      <c r="C15" s="467"/>
      <c r="D15" s="442">
        <f>D72</f>
        <v>0</v>
      </c>
      <c r="E15" s="442">
        <f t="shared" ref="E15:I15" si="5">E72</f>
        <v>374.06358080466623</v>
      </c>
      <c r="F15" s="442">
        <f t="shared" si="5"/>
        <v>255.38680224542148</v>
      </c>
      <c r="G15" s="442">
        <f t="shared" si="5"/>
        <v>260.27680838208641</v>
      </c>
      <c r="H15" s="442">
        <f t="shared" si="5"/>
        <v>265.23736962017841</v>
      </c>
      <c r="I15" s="442">
        <f t="shared" si="5"/>
        <v>270.26939192036787</v>
      </c>
      <c r="K15" s="316">
        <f>K72</f>
        <v>0</v>
      </c>
      <c r="L15" s="316">
        <f t="shared" ref="L15:P15" si="6">L72</f>
        <v>15.76677993091668</v>
      </c>
      <c r="M15" s="316">
        <f t="shared" si="6"/>
        <v>10.764553714644515</v>
      </c>
      <c r="N15" s="316">
        <f t="shared" si="6"/>
        <v>10.970667473304943</v>
      </c>
      <c r="O15" s="316">
        <f t="shared" si="6"/>
        <v>11.17975512949052</v>
      </c>
      <c r="P15" s="316">
        <f t="shared" si="6"/>
        <v>11.391854869443504</v>
      </c>
      <c r="Q15" s="144"/>
      <c r="R15" s="144"/>
      <c r="S15" s="144"/>
      <c r="T15" s="144"/>
      <c r="U15" s="144"/>
      <c r="V15" s="144"/>
      <c r="W15" s="144"/>
      <c r="X15" s="144"/>
      <c r="Y15" s="144"/>
      <c r="AI15" s="311"/>
      <c r="AJ15" s="311"/>
      <c r="AK15" s="311"/>
      <c r="AL15" s="311"/>
      <c r="AM15" s="311"/>
    </row>
    <row r="16" spans="1:39" x14ac:dyDescent="0.25">
      <c r="A16" s="312"/>
      <c r="B16" s="462" t="str">
        <f>B76</f>
        <v>Standard care - regular blood transfusions</v>
      </c>
      <c r="C16" s="467"/>
      <c r="D16" s="442">
        <f>D79</f>
        <v>7124.8341212799223</v>
      </c>
      <c r="E16" s="442">
        <f t="shared" ref="E16:I16" si="7">E79</f>
        <v>6977.7244880870421</v>
      </c>
      <c r="F16" s="442">
        <f t="shared" si="7"/>
        <v>7115.550495436346</v>
      </c>
      <c r="G16" s="442">
        <f t="shared" si="7"/>
        <v>7182.756715759022</v>
      </c>
      <c r="H16" s="442">
        <f t="shared" si="7"/>
        <v>7250.5974217085677</v>
      </c>
      <c r="I16" s="442">
        <f t="shared" si="7"/>
        <v>7319.0786006720973</v>
      </c>
      <c r="K16" s="646"/>
      <c r="L16" s="646"/>
      <c r="M16" s="646"/>
      <c r="N16" s="646"/>
      <c r="O16" s="646"/>
      <c r="P16" s="646"/>
      <c r="Q16" s="144"/>
      <c r="R16" s="144"/>
      <c r="S16" s="144"/>
      <c r="T16" s="144"/>
      <c r="U16" s="144"/>
      <c r="V16" s="144"/>
      <c r="W16" s="144"/>
      <c r="X16" s="144"/>
      <c r="Y16" s="144"/>
      <c r="AI16" s="311"/>
      <c r="AJ16" s="311"/>
      <c r="AK16" s="311"/>
      <c r="AL16" s="311"/>
      <c r="AM16" s="311"/>
    </row>
    <row r="17" spans="1:39" ht="30" x14ac:dyDescent="0.25">
      <c r="A17" s="312"/>
      <c r="B17" s="462" t="str">
        <f>B83</f>
        <v>Standard care administrations - duration of administrations (hours)</v>
      </c>
      <c r="C17" s="467"/>
      <c r="D17" s="442">
        <f>D86</f>
        <v>56998.672970239379</v>
      </c>
      <c r="E17" s="442">
        <f t="shared" ref="E17:I17" si="8">E86</f>
        <v>55821.795904696337</v>
      </c>
      <c r="F17" s="442">
        <f t="shared" si="8"/>
        <v>56924.403963490768</v>
      </c>
      <c r="G17" s="442">
        <f t="shared" si="8"/>
        <v>57462.053726072176</v>
      </c>
      <c r="H17" s="442">
        <f t="shared" si="8"/>
        <v>58004.779373668542</v>
      </c>
      <c r="I17" s="442">
        <f t="shared" si="8"/>
        <v>58552.628805376778</v>
      </c>
      <c r="K17" s="316">
        <f>K86</f>
        <v>2402.4940656955901</v>
      </c>
      <c r="L17" s="316">
        <f t="shared" ref="L17:P17" si="9">L86</f>
        <v>2352.8886973829508</v>
      </c>
      <c r="M17" s="316">
        <f t="shared" si="9"/>
        <v>2399.3636270611355</v>
      </c>
      <c r="N17" s="316">
        <f t="shared" si="9"/>
        <v>2422.0255645539419</v>
      </c>
      <c r="O17" s="316">
        <f t="shared" si="9"/>
        <v>2444.901450600129</v>
      </c>
      <c r="P17" s="316">
        <f t="shared" si="9"/>
        <v>2467.9933041466311</v>
      </c>
      <c r="Q17" s="144"/>
      <c r="R17" s="144"/>
      <c r="S17" s="144"/>
      <c r="T17" s="144"/>
      <c r="U17" s="144"/>
      <c r="V17" s="144"/>
      <c r="W17" s="144"/>
      <c r="X17" s="144"/>
      <c r="Y17" s="144"/>
      <c r="AI17" s="311"/>
      <c r="AJ17" s="311"/>
      <c r="AK17" s="311"/>
      <c r="AL17" s="311"/>
      <c r="AM17" s="311"/>
    </row>
    <row r="18" spans="1:39" x14ac:dyDescent="0.25">
      <c r="A18" s="312"/>
      <c r="B18" s="462" t="s">
        <v>1018</v>
      </c>
      <c r="C18" s="467"/>
      <c r="D18" s="442">
        <f>D94</f>
        <v>2849.9336485119693</v>
      </c>
      <c r="E18" s="442">
        <f t="shared" ref="E18:I18" si="10">E94</f>
        <v>2791.0897952348168</v>
      </c>
      <c r="F18" s="442">
        <f t="shared" si="10"/>
        <v>2846.2201981745384</v>
      </c>
      <c r="G18" s="442">
        <f t="shared" si="10"/>
        <v>2873.1026863036086</v>
      </c>
      <c r="H18" s="442">
        <f t="shared" si="10"/>
        <v>2900.2389686834272</v>
      </c>
      <c r="I18" s="442">
        <f t="shared" si="10"/>
        <v>2927.631440268839</v>
      </c>
      <c r="K18" s="646"/>
      <c r="L18" s="646"/>
      <c r="M18" s="646"/>
      <c r="N18" s="646"/>
      <c r="O18" s="646"/>
      <c r="P18" s="646"/>
      <c r="Q18" s="144"/>
      <c r="R18" s="144"/>
      <c r="S18" s="144"/>
      <c r="T18" s="144"/>
      <c r="U18" s="144"/>
      <c r="V18" s="144"/>
      <c r="W18" s="144"/>
      <c r="X18" s="144"/>
      <c r="Y18" s="144"/>
      <c r="AI18" s="311"/>
      <c r="AJ18" s="311"/>
      <c r="AK18" s="311"/>
      <c r="AL18" s="311"/>
      <c r="AM18" s="311"/>
    </row>
    <row r="19" spans="1:39" x14ac:dyDescent="0.25">
      <c r="A19" s="312"/>
      <c r="B19" s="462" t="s">
        <v>1019</v>
      </c>
      <c r="C19" s="467"/>
      <c r="D19" s="442">
        <f>D101</f>
        <v>1424.9668242559846</v>
      </c>
      <c r="E19" s="442">
        <f t="shared" ref="E19:I19" si="11">E101</f>
        <v>1395.5448976174084</v>
      </c>
      <c r="F19" s="442">
        <f t="shared" si="11"/>
        <v>1423.1100990872692</v>
      </c>
      <c r="G19" s="442">
        <f t="shared" si="11"/>
        <v>1436.5513431518043</v>
      </c>
      <c r="H19" s="442">
        <f t="shared" si="11"/>
        <v>1450.1194843417136</v>
      </c>
      <c r="I19" s="442">
        <f t="shared" si="11"/>
        <v>1463.8157201344195</v>
      </c>
      <c r="K19" s="316">
        <f>K101</f>
        <v>60.06235164238975</v>
      </c>
      <c r="L19" s="316">
        <f t="shared" ref="L19:P19" si="12">L101</f>
        <v>58.822217434573766</v>
      </c>
      <c r="M19" s="316">
        <f t="shared" si="12"/>
        <v>59.984090676528396</v>
      </c>
      <c r="N19" s="316">
        <f t="shared" si="12"/>
        <v>60.550639113848547</v>
      </c>
      <c r="O19" s="316">
        <f t="shared" si="12"/>
        <v>61.122536265003227</v>
      </c>
      <c r="P19" s="316">
        <f t="shared" si="12"/>
        <v>61.699832603665783</v>
      </c>
      <c r="Q19" s="144"/>
      <c r="R19" s="144"/>
      <c r="S19" s="144"/>
      <c r="T19" s="144"/>
      <c r="U19" s="144"/>
      <c r="V19" s="144"/>
      <c r="W19" s="144"/>
      <c r="X19" s="144"/>
      <c r="Y19" s="144"/>
      <c r="AI19" s="311"/>
      <c r="AJ19" s="311"/>
      <c r="AK19" s="311"/>
      <c r="AL19" s="311"/>
      <c r="AM19" s="311"/>
    </row>
    <row r="20" spans="1:39" x14ac:dyDescent="0.25">
      <c r="A20" s="314"/>
      <c r="B20" s="463" t="str">
        <f>B105</f>
        <v>In-house aseptic unit preparations, number made</v>
      </c>
      <c r="C20" s="468"/>
      <c r="D20" s="443">
        <f>D108</f>
        <v>0</v>
      </c>
      <c r="E20" s="443">
        <f t="shared" ref="E20:I20" si="13">E108</f>
        <v>57.548243200717877</v>
      </c>
      <c r="F20" s="443">
        <f t="shared" si="13"/>
        <v>39.290277268526381</v>
      </c>
      <c r="G20" s="443">
        <f t="shared" si="13"/>
        <v>40.042585904936374</v>
      </c>
      <c r="H20" s="443">
        <f t="shared" si="13"/>
        <v>40.80574917233514</v>
      </c>
      <c r="I20" s="443">
        <f t="shared" si="13"/>
        <v>41.579906449287364</v>
      </c>
      <c r="K20" s="229"/>
      <c r="L20" s="229"/>
      <c r="M20" s="229"/>
      <c r="N20" s="229"/>
      <c r="O20" s="441"/>
      <c r="P20" s="441"/>
      <c r="Q20" s="144"/>
      <c r="R20" s="144"/>
      <c r="S20" s="144"/>
      <c r="T20" s="144"/>
      <c r="U20" s="144"/>
      <c r="V20" s="144"/>
      <c r="W20" s="144"/>
      <c r="X20" s="144"/>
      <c r="Y20" s="144"/>
      <c r="AI20" s="311"/>
      <c r="AJ20" s="311"/>
      <c r="AK20" s="311"/>
      <c r="AL20" s="311"/>
      <c r="AM20" s="311"/>
    </row>
    <row r="21" spans="1:39" x14ac:dyDescent="0.25">
      <c r="A21" s="314"/>
      <c r="B21" s="463" t="str">
        <f>B111</f>
        <v>Bought-in aseptic unit preparations, number bought in</v>
      </c>
      <c r="C21" s="468"/>
      <c r="D21" s="443">
        <f>D114</f>
        <v>0</v>
      </c>
      <c r="E21" s="443">
        <f t="shared" ref="E21:I21" si="14">E114</f>
        <v>0</v>
      </c>
      <c r="F21" s="443">
        <f t="shared" si="14"/>
        <v>0</v>
      </c>
      <c r="G21" s="443">
        <f t="shared" si="14"/>
        <v>0</v>
      </c>
      <c r="H21" s="443">
        <f t="shared" si="14"/>
        <v>0</v>
      </c>
      <c r="I21" s="443">
        <f t="shared" si="14"/>
        <v>0</v>
      </c>
      <c r="K21" s="229"/>
      <c r="L21" s="229"/>
      <c r="M21" s="229"/>
      <c r="N21" s="229"/>
      <c r="O21" s="441"/>
      <c r="P21" s="441"/>
      <c r="Q21" s="144"/>
      <c r="R21" s="144"/>
      <c r="S21" s="144"/>
      <c r="T21" s="144"/>
      <c r="U21" s="144"/>
      <c r="V21" s="144"/>
      <c r="W21" s="144"/>
      <c r="X21" s="144"/>
      <c r="Y21" s="144"/>
      <c r="AI21" s="311"/>
      <c r="AJ21" s="311"/>
      <c r="AK21" s="311"/>
      <c r="AL21" s="311"/>
      <c r="AM21" s="311"/>
    </row>
    <row r="22" spans="1:39" x14ac:dyDescent="0.25">
      <c r="A22" s="314"/>
      <c r="B22" s="463" t="str">
        <f>B117</f>
        <v>In-house aseptic unit preparations, pharmacy time (hours)</v>
      </c>
      <c r="C22" s="468"/>
      <c r="D22" s="443">
        <f>D120</f>
        <v>0</v>
      </c>
      <c r="E22" s="443">
        <f t="shared" ref="E22:I22" si="15">E120</f>
        <v>9.5913738667863129</v>
      </c>
      <c r="F22" s="443">
        <f t="shared" si="15"/>
        <v>6.5483795447543969</v>
      </c>
      <c r="G22" s="443">
        <f t="shared" si="15"/>
        <v>6.6737643174893959</v>
      </c>
      <c r="H22" s="443">
        <f t="shared" si="15"/>
        <v>6.8009581953891898</v>
      </c>
      <c r="I22" s="443">
        <f t="shared" si="15"/>
        <v>6.929984408214561</v>
      </c>
      <c r="K22" s="316">
        <f>K120</f>
        <v>0</v>
      </c>
      <c r="L22" s="316">
        <f t="shared" ref="L22:P22" si="16">L120</f>
        <v>0.40427640848504309</v>
      </c>
      <c r="M22" s="316">
        <f t="shared" si="16"/>
        <v>0.2760141978113978</v>
      </c>
      <c r="N22" s="316">
        <f t="shared" si="16"/>
        <v>0.28129916598217802</v>
      </c>
      <c r="O22" s="316">
        <f t="shared" si="16"/>
        <v>0.28666038793565435</v>
      </c>
      <c r="P22" s="316">
        <f t="shared" si="16"/>
        <v>0.29209884280624376</v>
      </c>
      <c r="Q22" s="144"/>
      <c r="R22" s="144"/>
      <c r="S22" s="144"/>
      <c r="T22" s="144"/>
      <c r="U22" s="144"/>
      <c r="V22" s="144"/>
      <c r="W22" s="144"/>
      <c r="X22" s="144"/>
      <c r="Y22" s="144"/>
      <c r="AI22" s="311"/>
      <c r="AJ22" s="311"/>
      <c r="AK22" s="311"/>
      <c r="AL22" s="311"/>
      <c r="AM22" s="311"/>
    </row>
    <row r="23" spans="1:39" x14ac:dyDescent="0.25">
      <c r="A23" s="314"/>
      <c r="B23" s="463" t="str">
        <f>B123</f>
        <v>Bought-in aseptic unit preparations, pharmacy time (hours)</v>
      </c>
      <c r="C23" s="468"/>
      <c r="D23" s="443">
        <f>D126</f>
        <v>0</v>
      </c>
      <c r="E23" s="443">
        <f t="shared" ref="E23:I23" si="17">E126</f>
        <v>0</v>
      </c>
      <c r="F23" s="443">
        <f t="shared" si="17"/>
        <v>0</v>
      </c>
      <c r="G23" s="443">
        <f t="shared" si="17"/>
        <v>0</v>
      </c>
      <c r="H23" s="443">
        <f t="shared" si="17"/>
        <v>0</v>
      </c>
      <c r="I23" s="443">
        <f t="shared" si="17"/>
        <v>0</v>
      </c>
      <c r="K23" s="316">
        <f>K126</f>
        <v>0</v>
      </c>
      <c r="L23" s="316">
        <f t="shared" ref="L23:P23" si="18">L126</f>
        <v>0</v>
      </c>
      <c r="M23" s="316">
        <f t="shared" si="18"/>
        <v>0</v>
      </c>
      <c r="N23" s="316">
        <f t="shared" si="18"/>
        <v>0</v>
      </c>
      <c r="O23" s="316">
        <f t="shared" si="18"/>
        <v>0</v>
      </c>
      <c r="P23" s="316">
        <f t="shared" si="18"/>
        <v>0</v>
      </c>
      <c r="Q23" s="144"/>
      <c r="R23" s="144"/>
      <c r="S23" s="144"/>
      <c r="T23" s="144"/>
      <c r="U23" s="144"/>
      <c r="V23" s="144"/>
      <c r="W23" s="144"/>
      <c r="X23" s="144"/>
      <c r="Y23" s="144"/>
      <c r="AI23" s="311"/>
      <c r="AJ23" s="311"/>
      <c r="AK23" s="311"/>
      <c r="AL23" s="311"/>
      <c r="AM23" s="311"/>
    </row>
    <row r="24" spans="1:39" x14ac:dyDescent="0.25">
      <c r="A24" s="313"/>
      <c r="B24" s="464" t="str">
        <f>B130</f>
        <v>Appointments with specialist - stem cell harvesting</v>
      </c>
      <c r="C24" s="469"/>
      <c r="D24" s="446">
        <f>D133</f>
        <v>0</v>
      </c>
      <c r="E24" s="446">
        <f t="shared" ref="E24:I24" si="19">E133</f>
        <v>43.161182400538408</v>
      </c>
      <c r="F24" s="446">
        <f t="shared" si="19"/>
        <v>29.467707951394786</v>
      </c>
      <c r="G24" s="446">
        <f t="shared" si="19"/>
        <v>30.03193942870228</v>
      </c>
      <c r="H24" s="446">
        <f t="shared" si="19"/>
        <v>30.604311879251355</v>
      </c>
      <c r="I24" s="446">
        <f t="shared" si="19"/>
        <v>31.184929836965523</v>
      </c>
      <c r="K24" s="646"/>
      <c r="L24" s="646"/>
      <c r="M24" s="646"/>
      <c r="N24" s="646"/>
      <c r="O24" s="646"/>
      <c r="P24" s="646"/>
      <c r="Q24" s="144"/>
      <c r="R24" s="144"/>
      <c r="S24" s="144"/>
      <c r="T24" s="144"/>
      <c r="U24" s="144"/>
      <c r="V24" s="144"/>
      <c r="W24" s="144"/>
      <c r="X24" s="144"/>
      <c r="Y24" s="144"/>
      <c r="AI24" s="311"/>
      <c r="AJ24" s="311"/>
      <c r="AK24" s="311"/>
      <c r="AL24" s="311"/>
      <c r="AM24" s="311"/>
    </row>
    <row r="25" spans="1:39" x14ac:dyDescent="0.25">
      <c r="A25" s="313"/>
      <c r="B25" s="647" t="str">
        <f>B137</f>
        <v>Appointments with specialist - stem cell harvesting (specialist hours)</v>
      </c>
      <c r="C25" s="469"/>
      <c r="D25" s="446">
        <f>D140</f>
        <v>0</v>
      </c>
      <c r="E25" s="446">
        <f t="shared" ref="E25:I25" si="20">E140</f>
        <v>43.161182400538408</v>
      </c>
      <c r="F25" s="446">
        <f t="shared" si="20"/>
        <v>29.467707951394786</v>
      </c>
      <c r="G25" s="446">
        <f t="shared" si="20"/>
        <v>30.03193942870228</v>
      </c>
      <c r="H25" s="446">
        <f t="shared" si="20"/>
        <v>30.604311879251355</v>
      </c>
      <c r="I25" s="446">
        <f t="shared" si="20"/>
        <v>31.184929836965523</v>
      </c>
      <c r="K25" s="316">
        <f>K140</f>
        <v>0</v>
      </c>
      <c r="L25" s="316">
        <f t="shared" ref="L25:P25" si="21">L140</f>
        <v>5.2259559650571896</v>
      </c>
      <c r="M25" s="316">
        <f t="shared" si="21"/>
        <v>3.5679500787548806</v>
      </c>
      <c r="N25" s="316">
        <f t="shared" si="21"/>
        <v>3.6362672260272721</v>
      </c>
      <c r="O25" s="316">
        <f t="shared" si="21"/>
        <v>3.7055700823397544</v>
      </c>
      <c r="P25" s="316">
        <f t="shared" si="21"/>
        <v>3.7758713046597854</v>
      </c>
      <c r="Q25" s="144"/>
      <c r="R25" s="144"/>
      <c r="S25" s="144"/>
      <c r="T25" s="144"/>
      <c r="U25" s="144"/>
      <c r="V25" s="144"/>
      <c r="W25" s="144"/>
      <c r="X25" s="144"/>
      <c r="Y25" s="144"/>
      <c r="AI25" s="311"/>
      <c r="AJ25" s="311"/>
      <c r="AK25" s="311"/>
      <c r="AL25" s="311"/>
      <c r="AM25" s="311"/>
    </row>
    <row r="26" spans="1:39" x14ac:dyDescent="0.25">
      <c r="A26" s="313"/>
      <c r="B26" s="464" t="str">
        <f>B144</f>
        <v>Appointments with specialist - treatment infusions</v>
      </c>
      <c r="C26" s="469"/>
      <c r="D26" s="446">
        <f>D147</f>
        <v>0</v>
      </c>
      <c r="E26" s="446">
        <f t="shared" ref="E26:I26" si="22">E147</f>
        <v>14.387060800179469</v>
      </c>
      <c r="F26" s="446">
        <f t="shared" si="22"/>
        <v>9.8225693171315953</v>
      </c>
      <c r="G26" s="446">
        <f t="shared" si="22"/>
        <v>10.010646476234093</v>
      </c>
      <c r="H26" s="446">
        <f t="shared" si="22"/>
        <v>10.201437293083785</v>
      </c>
      <c r="I26" s="446">
        <f t="shared" si="22"/>
        <v>10.394976612321841</v>
      </c>
      <c r="K26" s="646"/>
      <c r="L26" s="646"/>
      <c r="M26" s="646"/>
      <c r="N26" s="646"/>
      <c r="O26" s="646"/>
      <c r="P26" s="646"/>
      <c r="Q26" s="144"/>
      <c r="R26" s="144"/>
      <c r="S26" s="144"/>
      <c r="T26" s="144"/>
      <c r="U26" s="144"/>
      <c r="V26" s="144"/>
      <c r="W26" s="144"/>
      <c r="X26" s="144"/>
      <c r="Y26" s="144"/>
      <c r="AI26" s="311"/>
      <c r="AJ26" s="311"/>
      <c r="AK26" s="311"/>
      <c r="AL26" s="311"/>
      <c r="AM26" s="311"/>
    </row>
    <row r="27" spans="1:39" ht="15" customHeight="1" x14ac:dyDescent="0.25">
      <c r="A27" s="313"/>
      <c r="B27" s="848" t="str">
        <f>B151</f>
        <v>Appointments with specialist - infusion time (hours)  - CAR-T service costs</v>
      </c>
      <c r="C27" s="849"/>
      <c r="D27" s="446">
        <f>D154</f>
        <v>0</v>
      </c>
      <c r="E27" s="446">
        <f t="shared" ref="E27:I27" si="23">E154</f>
        <v>28.774121600358939</v>
      </c>
      <c r="F27" s="446">
        <f t="shared" si="23"/>
        <v>19.645138634263191</v>
      </c>
      <c r="G27" s="446">
        <f t="shared" si="23"/>
        <v>20.021292952468187</v>
      </c>
      <c r="H27" s="446">
        <f t="shared" si="23"/>
        <v>20.40287458616757</v>
      </c>
      <c r="I27" s="446">
        <f t="shared" si="23"/>
        <v>20.789953224643682</v>
      </c>
      <c r="K27" s="316">
        <f>K154</f>
        <v>0</v>
      </c>
      <c r="L27" s="316">
        <f t="shared" ref="L27:P27" si="24">L154</f>
        <v>0</v>
      </c>
      <c r="M27" s="316">
        <f t="shared" si="24"/>
        <v>0</v>
      </c>
      <c r="N27" s="316">
        <f t="shared" si="24"/>
        <v>0</v>
      </c>
      <c r="O27" s="316">
        <f t="shared" si="24"/>
        <v>0</v>
      </c>
      <c r="P27" s="316">
        <f t="shared" si="24"/>
        <v>0</v>
      </c>
      <c r="Q27" s="144"/>
      <c r="R27" s="144"/>
      <c r="S27" s="144"/>
      <c r="T27" s="144"/>
      <c r="U27" s="144"/>
      <c r="V27" s="144"/>
      <c r="W27" s="144"/>
      <c r="X27" s="144"/>
      <c r="Y27" s="144"/>
      <c r="AI27" s="311"/>
      <c r="AJ27" s="311"/>
      <c r="AK27" s="311"/>
      <c r="AL27" s="311"/>
      <c r="AM27" s="311"/>
    </row>
    <row r="28" spans="1:39" x14ac:dyDescent="0.25">
      <c r="A28" s="313"/>
      <c r="B28" s="464" t="str">
        <f>B158</f>
        <v>Appointments with specialist  - follow up</v>
      </c>
      <c r="C28" s="469"/>
      <c r="D28" s="446">
        <f>D162</f>
        <v>5699.8672970239386</v>
      </c>
      <c r="E28" s="446">
        <f t="shared" ref="E28:I28" si="25">E162</f>
        <v>5754.824320071787</v>
      </c>
      <c r="F28" s="446">
        <f t="shared" si="25"/>
        <v>5810.3112281546555</v>
      </c>
      <c r="G28" s="446">
        <f t="shared" si="25"/>
        <v>5866.3331303220266</v>
      </c>
      <c r="H28" s="446">
        <f t="shared" si="25"/>
        <v>5922.8951848838597</v>
      </c>
      <c r="I28" s="446">
        <f t="shared" si="25"/>
        <v>5980.0025998855399</v>
      </c>
      <c r="K28" s="646"/>
      <c r="L28" s="646"/>
      <c r="M28" s="646"/>
      <c r="N28" s="646"/>
      <c r="O28" s="646"/>
      <c r="P28" s="646"/>
      <c r="Q28" s="144"/>
      <c r="R28" s="144"/>
      <c r="S28" s="144"/>
      <c r="T28" s="144"/>
      <c r="U28" s="144"/>
      <c r="V28" s="144"/>
      <c r="W28" s="144"/>
      <c r="X28" s="144"/>
      <c r="Y28" s="144"/>
      <c r="AI28" s="311"/>
      <c r="AJ28" s="311"/>
      <c r="AK28" s="311"/>
      <c r="AL28" s="311"/>
      <c r="AM28" s="311"/>
    </row>
    <row r="29" spans="1:39" x14ac:dyDescent="0.25">
      <c r="A29" s="313"/>
      <c r="B29" s="464" t="str">
        <f>B166</f>
        <v>Appointments with specialist - follow up (hours)</v>
      </c>
      <c r="C29" s="469"/>
      <c r="D29" s="446">
        <f>D170</f>
        <v>4274.9004727679539</v>
      </c>
      <c r="E29" s="446">
        <f t="shared" ref="E29:I29" si="26">E170</f>
        <v>4316.1182400538401</v>
      </c>
      <c r="F29" s="446">
        <f t="shared" si="26"/>
        <v>4357.7334211159923</v>
      </c>
      <c r="G29" s="446">
        <f t="shared" si="26"/>
        <v>4399.7498477415193</v>
      </c>
      <c r="H29" s="446">
        <f t="shared" si="26"/>
        <v>4442.171388662895</v>
      </c>
      <c r="I29" s="446">
        <f t="shared" si="26"/>
        <v>4485.0019499141554</v>
      </c>
      <c r="K29" s="316">
        <f>K170</f>
        <v>517.60494924274383</v>
      </c>
      <c r="L29" s="316">
        <f t="shared" ref="L29:P29" si="27">L170</f>
        <v>522.59559650571896</v>
      </c>
      <c r="M29" s="316">
        <f t="shared" si="27"/>
        <v>527.63436262872438</v>
      </c>
      <c r="N29" s="316">
        <f t="shared" si="27"/>
        <v>532.72171156454306</v>
      </c>
      <c r="O29" s="316">
        <f t="shared" si="27"/>
        <v>537.85811173930324</v>
      </c>
      <c r="P29" s="316">
        <f t="shared" si="27"/>
        <v>543.04403609560586</v>
      </c>
      <c r="Q29" s="144"/>
      <c r="R29" s="144"/>
      <c r="S29" s="144"/>
      <c r="T29" s="144"/>
      <c r="U29" s="144"/>
      <c r="V29" s="144"/>
      <c r="W29" s="144"/>
      <c r="X29" s="144"/>
      <c r="Y29" s="144"/>
      <c r="AI29" s="311"/>
      <c r="AJ29" s="311"/>
      <c r="AK29" s="311"/>
      <c r="AL29" s="311"/>
      <c r="AM29" s="311"/>
    </row>
    <row r="30" spans="1:39" x14ac:dyDescent="0.25">
      <c r="A30" s="347"/>
      <c r="B30" s="465" t="str">
        <f>B175</f>
        <v>Appointments with haematologist specialist for screening</v>
      </c>
      <c r="C30" s="470"/>
      <c r="D30" s="447">
        <f>D178</f>
        <v>0</v>
      </c>
      <c r="E30" s="447">
        <f t="shared" ref="E30:I30" si="28">E178</f>
        <v>57.548243200717877</v>
      </c>
      <c r="F30" s="447">
        <f t="shared" si="28"/>
        <v>39.290277268526381</v>
      </c>
      <c r="G30" s="447">
        <f t="shared" si="28"/>
        <v>40.042585904936374</v>
      </c>
      <c r="H30" s="447">
        <f t="shared" si="28"/>
        <v>40.80574917233514</v>
      </c>
      <c r="I30" s="447">
        <f t="shared" si="28"/>
        <v>41.579906449287364</v>
      </c>
      <c r="K30" s="316">
        <f>K178</f>
        <v>0</v>
      </c>
      <c r="L30" s="316">
        <f t="shared" ref="L30:P30" si="29">L178</f>
        <v>6.9679412867429198</v>
      </c>
      <c r="M30" s="316">
        <f t="shared" si="29"/>
        <v>4.7572667716731747</v>
      </c>
      <c r="N30" s="316">
        <f t="shared" si="29"/>
        <v>4.8483563013696962</v>
      </c>
      <c r="O30" s="316">
        <f t="shared" si="29"/>
        <v>4.9407601097863392</v>
      </c>
      <c r="P30" s="316">
        <f t="shared" si="29"/>
        <v>5.0344950728797135</v>
      </c>
      <c r="Q30" s="144"/>
      <c r="R30" s="144"/>
      <c r="S30" s="144"/>
      <c r="T30" s="144"/>
      <c r="U30" s="144"/>
      <c r="V30" s="144"/>
      <c r="W30" s="144"/>
      <c r="X30" s="144"/>
      <c r="Y30" s="144"/>
      <c r="AI30" s="311"/>
      <c r="AJ30" s="311"/>
      <c r="AK30" s="311"/>
      <c r="AL30" s="311"/>
      <c r="AM30" s="311"/>
    </row>
    <row r="31" spans="1:39" ht="30" x14ac:dyDescent="0.25">
      <c r="A31" s="347"/>
      <c r="B31" s="465" t="str">
        <f>B182</f>
        <v>Appointments with specialist for fertility preservation (staff time - oocyte recovery / sperm collection)</v>
      </c>
      <c r="C31" s="470"/>
      <c r="D31" s="447">
        <f>D186</f>
        <v>0</v>
      </c>
      <c r="E31" s="447">
        <f t="shared" ref="E31:I31" si="30">E186</f>
        <v>8.9919130001121665</v>
      </c>
      <c r="F31" s="447">
        <f t="shared" si="30"/>
        <v>6.139105823207248</v>
      </c>
      <c r="G31" s="447">
        <f t="shared" si="30"/>
        <v>6.2566540476463084</v>
      </c>
      <c r="H31" s="447">
        <f t="shared" si="30"/>
        <v>6.3758983081773657</v>
      </c>
      <c r="I31" s="447">
        <f t="shared" si="30"/>
        <v>6.4968603827011506</v>
      </c>
      <c r="K31" s="316">
        <f>K186</f>
        <v>0</v>
      </c>
      <c r="L31" s="316">
        <f t="shared" ref="L31:P31" si="31">L186</f>
        <v>0.37900913295472788</v>
      </c>
      <c r="M31" s="316">
        <f t="shared" si="31"/>
        <v>0.25876331044818551</v>
      </c>
      <c r="N31" s="316">
        <f t="shared" si="31"/>
        <v>0.2637179681082919</v>
      </c>
      <c r="O31" s="316">
        <f t="shared" si="31"/>
        <v>0.26874411368967599</v>
      </c>
      <c r="P31" s="316">
        <f t="shared" si="31"/>
        <v>0.27384266513085348</v>
      </c>
      <c r="Q31" s="144"/>
      <c r="R31" s="144"/>
      <c r="S31" s="144"/>
      <c r="T31" s="144"/>
      <c r="U31" s="144"/>
      <c r="V31" s="144"/>
      <c r="W31" s="144"/>
      <c r="X31" s="144"/>
      <c r="Y31" s="144"/>
      <c r="AI31" s="311"/>
      <c r="AJ31" s="311"/>
      <c r="AK31" s="311"/>
      <c r="AL31" s="311"/>
      <c r="AM31" s="311"/>
    </row>
    <row r="32" spans="1:39" x14ac:dyDescent="0.25">
      <c r="A32" s="315"/>
      <c r="B32" s="466" t="str">
        <f>B191</f>
        <v>Imaging MRI scans</v>
      </c>
      <c r="C32" s="471"/>
      <c r="D32" s="448">
        <f>D195</f>
        <v>0</v>
      </c>
      <c r="E32" s="448">
        <f t="shared" ref="E32:I32" si="32">E195</f>
        <v>14.387060800179469</v>
      </c>
      <c r="F32" s="448">
        <f t="shared" si="32"/>
        <v>9.8225693171315971</v>
      </c>
      <c r="G32" s="448">
        <f t="shared" si="32"/>
        <v>10.010646476234093</v>
      </c>
      <c r="H32" s="448">
        <f t="shared" si="32"/>
        <v>10.201437293083785</v>
      </c>
      <c r="I32" s="448">
        <f t="shared" si="32"/>
        <v>10.394976612321841</v>
      </c>
      <c r="K32" s="316">
        <f>K195</f>
        <v>0</v>
      </c>
      <c r="L32" s="316">
        <f t="shared" ref="L32:P32" si="33">L195</f>
        <v>0.21492824954978984</v>
      </c>
      <c r="M32" s="316">
        <f t="shared" si="33"/>
        <v>0.14673932770105713</v>
      </c>
      <c r="N32" s="316">
        <f t="shared" si="33"/>
        <v>0.14954901170445645</v>
      </c>
      <c r="O32" s="316">
        <f t="shared" si="33"/>
        <v>0.15239923503118116</v>
      </c>
      <c r="P32" s="316">
        <f t="shared" si="33"/>
        <v>0.15529051822520054</v>
      </c>
      <c r="Q32" s="144"/>
      <c r="R32" s="144"/>
      <c r="S32" s="144"/>
      <c r="T32" s="144"/>
      <c r="U32" s="144"/>
      <c r="V32" s="144"/>
      <c r="W32" s="144"/>
      <c r="X32" s="144"/>
      <c r="Y32" s="144"/>
      <c r="AI32" s="311"/>
      <c r="AJ32" s="311"/>
      <c r="AK32" s="311"/>
      <c r="AL32" s="311"/>
      <c r="AM32" s="311"/>
    </row>
    <row r="33" spans="1:39" x14ac:dyDescent="0.25">
      <c r="B33" s="270"/>
      <c r="D33" s="311"/>
      <c r="F33" s="144"/>
      <c r="G33" s="144"/>
      <c r="H33" s="144"/>
      <c r="I33" s="144"/>
      <c r="J33" s="144"/>
      <c r="K33" s="317">
        <f t="shared" ref="K33:P33" si="34">SUM(K11:K32)</f>
        <v>2980.1613665807236</v>
      </c>
      <c r="L33" s="317">
        <f t="shared" si="34"/>
        <v>2963.26540229695</v>
      </c>
      <c r="M33" s="317">
        <f t="shared" si="34"/>
        <v>3006.7533677674219</v>
      </c>
      <c r="N33" s="317">
        <f t="shared" si="34"/>
        <v>3035.44777237883</v>
      </c>
      <c r="O33" s="317">
        <f t="shared" si="34"/>
        <v>3064.4159876627086</v>
      </c>
      <c r="P33" s="317">
        <f t="shared" si="34"/>
        <v>3093.6606261190482</v>
      </c>
      <c r="Q33" s="144"/>
      <c r="R33" s="144"/>
      <c r="S33" s="144"/>
      <c r="T33" s="144"/>
      <c r="U33" s="144"/>
      <c r="V33" s="144"/>
      <c r="W33" s="144"/>
      <c r="X33" s="144"/>
      <c r="Y33" s="144"/>
    </row>
    <row r="34" spans="1:39" x14ac:dyDescent="0.25">
      <c r="B34" s="337"/>
      <c r="C34" s="337"/>
      <c r="D34" s="337"/>
      <c r="E34" s="337"/>
      <c r="F34" s="337"/>
      <c r="G34" s="337"/>
      <c r="H34" s="337"/>
      <c r="I34" s="337"/>
      <c r="J34" s="337"/>
      <c r="K34" s="337"/>
      <c r="O34" s="144"/>
      <c r="P34" s="144"/>
      <c r="Q34" s="144"/>
      <c r="R34" s="144"/>
      <c r="U34" s="144"/>
      <c r="V34" s="144"/>
      <c r="W34" s="144"/>
      <c r="X34" s="144"/>
      <c r="Y34" s="144"/>
      <c r="AI34" s="311"/>
      <c r="AJ34" s="311"/>
      <c r="AK34" s="311"/>
      <c r="AL34" s="311"/>
      <c r="AM34" s="311"/>
    </row>
    <row r="35" spans="1:39" x14ac:dyDescent="0.25">
      <c r="B35" s="398" t="s">
        <v>1020</v>
      </c>
      <c r="C35" s="399"/>
      <c r="D35" s="399"/>
      <c r="E35" s="400"/>
      <c r="F35" s="399"/>
      <c r="G35" s="401"/>
      <c r="H35" s="402"/>
      <c r="I35" s="402"/>
      <c r="J35" s="402"/>
      <c r="K35" s="402"/>
      <c r="L35" s="402"/>
      <c r="M35" s="402"/>
      <c r="N35" s="402"/>
      <c r="O35" s="402"/>
      <c r="P35" s="403"/>
      <c r="Q35" s="144"/>
      <c r="R35" s="144"/>
      <c r="S35" s="144"/>
      <c r="T35" s="144"/>
      <c r="U35" s="144"/>
      <c r="V35" s="144"/>
      <c r="W35" s="144"/>
      <c r="X35" s="144"/>
      <c r="Y35" s="144"/>
      <c r="AI35" s="311"/>
      <c r="AJ35" s="311"/>
      <c r="AK35" s="311"/>
      <c r="AL35" s="311"/>
      <c r="AM35" s="311"/>
    </row>
    <row r="36" spans="1:39" x14ac:dyDescent="0.25">
      <c r="A36" s="312"/>
      <c r="B36" s="414" t="s">
        <v>1021</v>
      </c>
      <c r="C36" s="635"/>
      <c r="D36" s="635"/>
      <c r="E36" s="636"/>
      <c r="F36" s="635"/>
      <c r="G36" s="637"/>
      <c r="H36" s="638"/>
      <c r="I36" s="639"/>
      <c r="J36" s="648"/>
      <c r="K36" s="648"/>
      <c r="L36" s="648"/>
      <c r="M36" s="648"/>
      <c r="N36" s="648"/>
      <c r="O36" s="648"/>
      <c r="P36" s="641"/>
      <c r="Q36" s="144"/>
      <c r="R36" s="144"/>
      <c r="S36" s="144"/>
      <c r="T36" s="144"/>
      <c r="U36" s="144"/>
      <c r="V36" s="144"/>
      <c r="W36" s="144"/>
      <c r="X36" s="144"/>
      <c r="Y36" s="144"/>
      <c r="AI36" s="311"/>
      <c r="AJ36" s="311"/>
      <c r="AK36" s="311"/>
      <c r="AL36" s="311"/>
      <c r="AM36" s="311"/>
    </row>
    <row r="37" spans="1:39" x14ac:dyDescent="0.25">
      <c r="A37" s="312"/>
      <c r="B37" s="414" t="s">
        <v>1022</v>
      </c>
      <c r="C37" s="415"/>
      <c r="D37" s="415"/>
      <c r="E37" s="415"/>
      <c r="F37" s="415"/>
      <c r="G37" s="415"/>
      <c r="H37" s="415"/>
      <c r="I37" s="237"/>
      <c r="J37" s="238"/>
      <c r="K37" s="238"/>
      <c r="L37" s="238"/>
      <c r="M37" s="238"/>
      <c r="N37" s="238"/>
      <c r="O37" s="238"/>
      <c r="P37" s="238"/>
      <c r="Q37" s="144"/>
      <c r="R37" s="144"/>
      <c r="S37" s="144"/>
      <c r="T37" s="144"/>
      <c r="U37" s="144"/>
      <c r="V37" s="144"/>
      <c r="W37" s="144"/>
      <c r="X37" s="144"/>
      <c r="Y37" s="144"/>
      <c r="AI37" s="311"/>
      <c r="AJ37" s="311"/>
      <c r="AK37" s="311"/>
      <c r="AL37" s="311"/>
      <c r="AM37" s="311"/>
    </row>
    <row r="38" spans="1:39" ht="45" x14ac:dyDescent="0.25">
      <c r="A38" s="312"/>
      <c r="B38" s="305" t="s">
        <v>902</v>
      </c>
      <c r="C38" s="181" t="s">
        <v>1023</v>
      </c>
      <c r="D38" s="444" t="s">
        <v>997</v>
      </c>
      <c r="E38" s="282" t="s">
        <v>703</v>
      </c>
      <c r="F38" s="282" t="s">
        <v>704</v>
      </c>
      <c r="G38" s="180" t="s">
        <v>998</v>
      </c>
      <c r="H38" s="180" t="s">
        <v>999</v>
      </c>
      <c r="I38" s="282" t="s">
        <v>1000</v>
      </c>
      <c r="J38" s="238"/>
      <c r="K38" s="238"/>
      <c r="L38" s="238"/>
      <c r="M38" s="238"/>
      <c r="N38" s="238"/>
      <c r="O38" s="238"/>
      <c r="P38" s="238"/>
      <c r="Q38" s="144"/>
      <c r="R38" s="144"/>
      <c r="S38" s="144"/>
      <c r="T38" s="144"/>
      <c r="U38" s="144"/>
      <c r="V38" s="144"/>
      <c r="W38" s="144"/>
      <c r="X38" s="144"/>
      <c r="Y38" s="144"/>
      <c r="AI38" s="311"/>
      <c r="AJ38" s="311"/>
      <c r="AK38" s="311"/>
      <c r="AL38" s="311"/>
      <c r="AM38" s="311"/>
    </row>
    <row r="39" spans="1:39" x14ac:dyDescent="0.25">
      <c r="A39" s="312"/>
      <c r="B39" s="366" t="s">
        <v>1024</v>
      </c>
      <c r="C39" s="319">
        <f>'Inputs and eligible population'!G104</f>
        <v>3</v>
      </c>
      <c r="D39" s="139">
        <f>'Financial impact (cash)'!D14*'Capacity (local prices)'!$C$39</f>
        <v>0</v>
      </c>
      <c r="E39" s="139">
        <f>'Financial impact (cash)'!E14*'Capacity (local prices)'!$C$39</f>
        <v>43.161182400538408</v>
      </c>
      <c r="F39" s="139">
        <f>'Financial impact (cash)'!F14*'Capacity (local prices)'!$C$39</f>
        <v>29.467707951394786</v>
      </c>
      <c r="G39" s="139">
        <f>'Financial impact (cash)'!G14*'Capacity (local prices)'!$C$39</f>
        <v>30.03193942870228</v>
      </c>
      <c r="H39" s="139">
        <f>'Financial impact (cash)'!H14*'Capacity (local prices)'!$C$39</f>
        <v>30.604311879251355</v>
      </c>
      <c r="I39" s="139">
        <f>'Financial impact (cash)'!I14*'Capacity (local prices)'!$C$39</f>
        <v>31.184929836965523</v>
      </c>
      <c r="J39" s="238"/>
      <c r="K39" s="238"/>
      <c r="L39" s="238"/>
      <c r="M39" s="238"/>
      <c r="N39" s="238"/>
      <c r="O39" s="238"/>
      <c r="P39" s="238"/>
      <c r="Q39" s="144"/>
      <c r="R39" s="144"/>
      <c r="S39" s="144"/>
      <c r="T39" s="144"/>
      <c r="U39" s="144"/>
      <c r="V39" s="144"/>
      <c r="W39" s="144"/>
      <c r="X39" s="144"/>
      <c r="Y39" s="144"/>
      <c r="AI39" s="311"/>
      <c r="AJ39" s="311"/>
      <c r="AK39" s="311"/>
      <c r="AL39" s="311"/>
      <c r="AM39" s="311"/>
    </row>
    <row r="40" spans="1:39" x14ac:dyDescent="0.25">
      <c r="A40" s="312"/>
      <c r="B40" s="366" t="s">
        <v>1025</v>
      </c>
      <c r="C40" s="319">
        <f>'Inputs and eligible population'!G105</f>
        <v>21</v>
      </c>
      <c r="D40" s="139">
        <f>'Financial impact (cash)'!D15*'Capacity (local prices)'!$C$40</f>
        <v>0</v>
      </c>
      <c r="E40" s="139">
        <f>'Financial impact (cash)'!E15*'Capacity (local prices)'!$C$40</f>
        <v>302.12827680376887</v>
      </c>
      <c r="F40" s="139">
        <f>'Financial impact (cash)'!F15*'Capacity (local prices)'!$C$40</f>
        <v>206.27395565976349</v>
      </c>
      <c r="G40" s="139">
        <f>'Financial impact (cash)'!G15*'Capacity (local prices)'!$C$40</f>
        <v>210.22357600091595</v>
      </c>
      <c r="H40" s="139">
        <f>'Financial impact (cash)'!H15*'Capacity (local prices)'!$C$40</f>
        <v>214.23018315475949</v>
      </c>
      <c r="I40" s="139">
        <f>'Financial impact (cash)'!I15*'Capacity (local prices)'!$C$40</f>
        <v>218.29450885875866</v>
      </c>
      <c r="J40" s="238"/>
      <c r="K40" s="238"/>
      <c r="L40" s="238"/>
      <c r="M40" s="238"/>
      <c r="N40" s="238"/>
      <c r="O40" s="238"/>
      <c r="P40" s="238"/>
      <c r="Q40" s="144"/>
      <c r="R40" s="144"/>
      <c r="S40" s="144"/>
      <c r="T40" s="144"/>
      <c r="U40" s="144"/>
      <c r="V40" s="144"/>
      <c r="W40" s="144"/>
      <c r="X40" s="144"/>
      <c r="Y40" s="144"/>
      <c r="AI40" s="311"/>
      <c r="AJ40" s="311"/>
      <c r="AK40" s="311"/>
      <c r="AL40" s="311"/>
      <c r="AM40" s="311"/>
    </row>
    <row r="41" spans="1:39" x14ac:dyDescent="0.25">
      <c r="A41" s="312"/>
      <c r="B41" s="308"/>
      <c r="C41" s="338"/>
      <c r="D41" s="205">
        <f>SUM(D39:D40)</f>
        <v>0</v>
      </c>
      <c r="E41" s="205">
        <f t="shared" ref="E41:I41" si="35">SUM(E39:E40)</f>
        <v>345.28945920430726</v>
      </c>
      <c r="F41" s="205">
        <f t="shared" si="35"/>
        <v>235.74166361115829</v>
      </c>
      <c r="G41" s="205">
        <f t="shared" si="35"/>
        <v>240.25551542961824</v>
      </c>
      <c r="H41" s="205">
        <f t="shared" si="35"/>
        <v>244.83449503401084</v>
      </c>
      <c r="I41" s="205">
        <f t="shared" si="35"/>
        <v>249.47943869572418</v>
      </c>
      <c r="J41" s="238"/>
      <c r="K41" s="238"/>
      <c r="L41" s="238"/>
      <c r="M41" s="238"/>
      <c r="N41" s="238"/>
      <c r="O41" s="238"/>
      <c r="P41" s="238"/>
      <c r="Q41" s="144"/>
      <c r="R41" s="144"/>
      <c r="S41" s="144"/>
      <c r="T41" s="144"/>
      <c r="U41" s="144"/>
      <c r="V41" s="144"/>
      <c r="W41" s="144"/>
      <c r="X41" s="144"/>
      <c r="Y41" s="144"/>
      <c r="AI41" s="311"/>
      <c r="AJ41" s="311"/>
      <c r="AK41" s="311"/>
      <c r="AL41" s="311"/>
      <c r="AM41" s="311"/>
    </row>
    <row r="42" spans="1:39" x14ac:dyDescent="0.25">
      <c r="A42" s="312"/>
      <c r="B42" s="324"/>
      <c r="C42" s="283"/>
      <c r="D42" s="310" t="s">
        <v>1026</v>
      </c>
      <c r="E42" s="205">
        <f>E41-$D$41</f>
        <v>345.28945920430726</v>
      </c>
      <c r="F42" s="205">
        <f t="shared" ref="F42:I42" si="36">F41-$D$41</f>
        <v>235.74166361115829</v>
      </c>
      <c r="G42" s="205">
        <f t="shared" si="36"/>
        <v>240.25551542961824</v>
      </c>
      <c r="H42" s="205">
        <f t="shared" si="36"/>
        <v>244.83449503401084</v>
      </c>
      <c r="I42" s="205">
        <f t="shared" si="36"/>
        <v>249.47943869572418</v>
      </c>
      <c r="J42" s="238"/>
      <c r="K42" s="238"/>
      <c r="L42" s="238"/>
      <c r="M42" s="238"/>
      <c r="N42" s="238"/>
      <c r="O42" s="238"/>
      <c r="P42" s="238"/>
      <c r="Q42" s="144"/>
      <c r="R42" s="144"/>
      <c r="S42" s="144"/>
      <c r="T42" s="144"/>
      <c r="U42" s="144"/>
      <c r="V42" s="144"/>
      <c r="W42" s="144"/>
      <c r="X42" s="144"/>
      <c r="Y42" s="144"/>
      <c r="AI42" s="311"/>
      <c r="AJ42" s="311"/>
      <c r="AK42" s="311"/>
      <c r="AL42" s="311"/>
      <c r="AM42" s="311"/>
    </row>
    <row r="43" spans="1:39" x14ac:dyDescent="0.25">
      <c r="A43" s="312"/>
      <c r="B43" s="611"/>
      <c r="C43" s="612"/>
      <c r="D43" s="627"/>
      <c r="E43" s="612"/>
      <c r="F43" s="613"/>
      <c r="G43" s="312"/>
      <c r="H43" s="312"/>
      <c r="I43" s="312"/>
      <c r="J43" s="238"/>
      <c r="K43" s="238"/>
      <c r="L43" s="238"/>
      <c r="M43" s="238"/>
      <c r="N43" s="238"/>
      <c r="O43" s="238"/>
      <c r="P43" s="238"/>
      <c r="Q43" s="144"/>
      <c r="R43" s="144"/>
      <c r="S43" s="144"/>
      <c r="T43" s="144"/>
      <c r="U43" s="144"/>
      <c r="V43" s="144"/>
      <c r="W43" s="144"/>
      <c r="X43" s="144"/>
      <c r="Y43" s="144"/>
      <c r="AI43" s="311"/>
      <c r="AJ43" s="311"/>
      <c r="AK43" s="311"/>
      <c r="AL43" s="311"/>
      <c r="AM43" s="311"/>
    </row>
    <row r="44" spans="1:39" x14ac:dyDescent="0.25">
      <c r="A44" s="312"/>
      <c r="B44" s="611"/>
      <c r="C44" s="612"/>
      <c r="D44" s="627"/>
      <c r="E44" s="612"/>
      <c r="F44" s="613"/>
      <c r="G44" s="312"/>
      <c r="H44" s="312"/>
      <c r="I44" s="312"/>
      <c r="J44" s="238"/>
      <c r="K44" s="238"/>
      <c r="L44" s="238"/>
      <c r="M44" s="238"/>
      <c r="N44" s="238"/>
      <c r="O44" s="238"/>
      <c r="P44" s="238"/>
      <c r="Q44" s="144"/>
      <c r="R44" s="144"/>
      <c r="S44" s="144"/>
      <c r="T44" s="144"/>
      <c r="U44" s="144"/>
      <c r="V44" s="144"/>
      <c r="W44" s="144"/>
      <c r="X44" s="144"/>
      <c r="Y44" s="144"/>
      <c r="AI44" s="311"/>
      <c r="AJ44" s="311"/>
      <c r="AK44" s="311"/>
      <c r="AL44" s="311"/>
      <c r="AM44" s="311"/>
    </row>
    <row r="45" spans="1:39" x14ac:dyDescent="0.25">
      <c r="A45" s="312"/>
      <c r="B45" s="414" t="s">
        <v>1021</v>
      </c>
      <c r="C45" s="320"/>
      <c r="D45" s="320"/>
      <c r="E45" s="321"/>
      <c r="F45" s="322"/>
      <c r="G45" s="323"/>
      <c r="H45" s="323"/>
      <c r="I45" s="640"/>
      <c r="J45" s="238"/>
      <c r="K45" s="238"/>
      <c r="L45" s="238"/>
      <c r="M45" s="238"/>
      <c r="N45" s="238"/>
      <c r="O45" s="238"/>
      <c r="P45" s="238"/>
      <c r="Q45" s="144"/>
      <c r="R45" s="144"/>
      <c r="S45" s="144"/>
      <c r="T45" s="144"/>
      <c r="U45" s="144"/>
      <c r="V45" s="144"/>
      <c r="W45" s="144"/>
      <c r="X45" s="144"/>
      <c r="Y45" s="144"/>
      <c r="AI45" s="311"/>
      <c r="AJ45" s="311"/>
      <c r="AK45" s="311"/>
      <c r="AL45" s="311"/>
      <c r="AM45" s="311"/>
    </row>
    <row r="46" spans="1:39" x14ac:dyDescent="0.25">
      <c r="A46" s="610"/>
      <c r="B46" s="609" t="s">
        <v>1027</v>
      </c>
      <c r="C46" s="415"/>
      <c r="D46" s="415"/>
      <c r="E46" s="415"/>
      <c r="F46" s="415"/>
      <c r="G46" s="415"/>
      <c r="H46" s="415"/>
      <c r="I46" s="415"/>
      <c r="J46" s="450"/>
      <c r="K46" s="238"/>
      <c r="L46" s="238"/>
      <c r="M46" s="238"/>
      <c r="N46" s="238"/>
      <c r="O46" s="238"/>
      <c r="P46" s="238"/>
      <c r="Q46" s="144"/>
      <c r="R46" s="144"/>
      <c r="S46" s="144"/>
      <c r="T46" s="144"/>
      <c r="U46" s="144"/>
      <c r="V46" s="144"/>
      <c r="W46" s="144"/>
      <c r="X46" s="144"/>
      <c r="Y46" s="144"/>
      <c r="AI46" s="311"/>
      <c r="AJ46" s="311"/>
      <c r="AK46" s="311"/>
      <c r="AL46" s="311"/>
      <c r="AM46" s="311"/>
    </row>
    <row r="47" spans="1:39" ht="45" x14ac:dyDescent="0.25">
      <c r="A47" s="610"/>
      <c r="B47" s="336" t="s">
        <v>902</v>
      </c>
      <c r="C47" s="181" t="s">
        <v>1028</v>
      </c>
      <c r="D47" s="444" t="s">
        <v>997</v>
      </c>
      <c r="E47" s="282" t="s">
        <v>703</v>
      </c>
      <c r="F47" s="282" t="s">
        <v>704</v>
      </c>
      <c r="G47" s="180" t="s">
        <v>998</v>
      </c>
      <c r="H47" s="180" t="s">
        <v>999</v>
      </c>
      <c r="I47" s="282" t="s">
        <v>1000</v>
      </c>
      <c r="J47" s="450"/>
      <c r="K47" s="238"/>
      <c r="L47" s="238"/>
      <c r="M47" s="238"/>
      <c r="N47" s="238"/>
      <c r="O47" s="238"/>
      <c r="P47" s="238"/>
      <c r="U47" s="144"/>
      <c r="AI47" s="311"/>
      <c r="AJ47" s="311"/>
      <c r="AK47" s="311"/>
      <c r="AL47" s="311"/>
      <c r="AM47" s="311"/>
    </row>
    <row r="48" spans="1:39" x14ac:dyDescent="0.25">
      <c r="A48" s="610"/>
      <c r="B48" s="366" t="s">
        <v>1029</v>
      </c>
      <c r="C48" s="319">
        <f>'Inputs and eligible population'!G106</f>
        <v>4</v>
      </c>
      <c r="D48" s="139">
        <f>'Financial impact (cash)'!D13*'Capacity (local prices)'!C48</f>
        <v>0</v>
      </c>
      <c r="E48" s="139">
        <f>'Financial impact (cash)'!E13*'Capacity (local prices)'!$C48</f>
        <v>57.548243200717877</v>
      </c>
      <c r="F48" s="139">
        <f>'Financial impact (cash)'!F13*'Capacity (local prices)'!$C48</f>
        <v>39.290277268526381</v>
      </c>
      <c r="G48" s="139">
        <f>'Financial impact (cash)'!G13*'Capacity (local prices)'!$C48</f>
        <v>40.042585904936374</v>
      </c>
      <c r="H48" s="139">
        <f>'Financial impact (cash)'!H13*'Capacity (local prices)'!$C48</f>
        <v>40.80574917233514</v>
      </c>
      <c r="I48" s="139">
        <f>'Financial impact (cash)'!I13*'Capacity (local prices)'!$C48</f>
        <v>41.579906449287364</v>
      </c>
      <c r="J48" s="450"/>
      <c r="K48" s="238"/>
      <c r="L48" s="238"/>
      <c r="M48" s="238"/>
      <c r="N48" s="238"/>
      <c r="O48" s="238"/>
      <c r="P48" s="238"/>
      <c r="U48" s="144"/>
      <c r="AI48" s="311"/>
      <c r="AJ48" s="311"/>
      <c r="AK48" s="311"/>
      <c r="AL48" s="311"/>
      <c r="AM48" s="311"/>
    </row>
    <row r="49" spans="1:39" x14ac:dyDescent="0.25">
      <c r="A49" s="610"/>
      <c r="B49" s="338"/>
      <c r="C49" s="338"/>
      <c r="D49" s="205">
        <f t="shared" ref="D49:I49" si="37">SUM(D48:D48)</f>
        <v>0</v>
      </c>
      <c r="E49" s="205">
        <f t="shared" si="37"/>
        <v>57.548243200717877</v>
      </c>
      <c r="F49" s="205">
        <f t="shared" si="37"/>
        <v>39.290277268526381</v>
      </c>
      <c r="G49" s="205">
        <f t="shared" si="37"/>
        <v>40.042585904936374</v>
      </c>
      <c r="H49" s="205">
        <f t="shared" si="37"/>
        <v>40.80574917233514</v>
      </c>
      <c r="I49" s="205">
        <f t="shared" si="37"/>
        <v>41.579906449287364</v>
      </c>
      <c r="J49" s="312"/>
      <c r="K49" s="312"/>
      <c r="L49" s="312"/>
      <c r="M49" s="312"/>
      <c r="N49" s="312"/>
      <c r="O49" s="312"/>
      <c r="P49" s="312"/>
      <c r="U49" s="144"/>
      <c r="AI49" s="311"/>
      <c r="AJ49" s="311"/>
      <c r="AK49" s="311"/>
      <c r="AL49" s="311"/>
      <c r="AM49" s="311"/>
    </row>
    <row r="50" spans="1:39" x14ac:dyDescent="0.25">
      <c r="A50" s="610"/>
      <c r="B50" s="283"/>
      <c r="C50" s="283"/>
      <c r="D50" s="310" t="s">
        <v>1030</v>
      </c>
      <c r="E50" s="205">
        <f>E49-$D$49</f>
        <v>57.548243200717877</v>
      </c>
      <c r="F50" s="205">
        <f>F49-$D$49</f>
        <v>39.290277268526381</v>
      </c>
      <c r="G50" s="205">
        <f>G49-$D$49</f>
        <v>40.042585904936374</v>
      </c>
      <c r="H50" s="205">
        <f>H49-$D$49</f>
        <v>40.80574917233514</v>
      </c>
      <c r="I50" s="205">
        <f>I49-$D$49</f>
        <v>41.579906449287364</v>
      </c>
      <c r="J50" s="312"/>
      <c r="K50" s="312"/>
      <c r="L50" s="312"/>
      <c r="M50" s="312"/>
      <c r="N50" s="312"/>
      <c r="O50" s="312"/>
      <c r="P50" s="312"/>
      <c r="R50" s="144"/>
      <c r="S50" s="144"/>
      <c r="T50" s="144"/>
      <c r="U50" s="144"/>
      <c r="V50" s="144"/>
      <c r="W50" s="144"/>
      <c r="X50" s="144"/>
      <c r="Y50" s="144"/>
      <c r="AI50" s="311"/>
      <c r="AJ50" s="311"/>
      <c r="AK50" s="311"/>
      <c r="AL50" s="311"/>
      <c r="AM50" s="311"/>
    </row>
    <row r="51" spans="1:39" x14ac:dyDescent="0.25">
      <c r="A51" s="312"/>
      <c r="B51" s="611"/>
      <c r="C51" s="612"/>
      <c r="D51" s="612"/>
      <c r="E51" s="613"/>
      <c r="F51" s="312"/>
      <c r="G51" s="312"/>
      <c r="H51" s="238"/>
      <c r="I51" s="238"/>
      <c r="J51" s="238"/>
      <c r="K51" s="238"/>
      <c r="L51" s="238"/>
      <c r="M51" s="238"/>
      <c r="N51" s="238"/>
      <c r="O51" s="238"/>
      <c r="P51" s="238"/>
      <c r="R51" s="144"/>
      <c r="S51" s="144"/>
      <c r="T51" s="144"/>
      <c r="U51" s="144"/>
      <c r="V51" s="144"/>
      <c r="W51" s="144"/>
      <c r="X51" s="144"/>
      <c r="Y51" s="144"/>
      <c r="AI51" s="311"/>
      <c r="AJ51" s="311"/>
      <c r="AK51" s="311"/>
      <c r="AL51" s="311"/>
      <c r="AM51" s="311"/>
    </row>
    <row r="52" spans="1:39" x14ac:dyDescent="0.25">
      <c r="A52" s="312"/>
      <c r="B52" s="312"/>
      <c r="C52" s="312"/>
      <c r="D52" s="642"/>
      <c r="E52" s="643"/>
      <c r="F52" s="643"/>
      <c r="G52" s="643"/>
      <c r="H52" s="643"/>
      <c r="I52" s="643"/>
      <c r="J52" s="312"/>
      <c r="K52" s="641"/>
      <c r="L52" s="644"/>
      <c r="M52" s="644"/>
      <c r="N52" s="644"/>
      <c r="O52" s="644"/>
      <c r="P52" s="644"/>
      <c r="R52" s="144"/>
      <c r="S52" s="144"/>
      <c r="T52" s="144"/>
      <c r="U52" s="144"/>
      <c r="V52" s="144"/>
      <c r="W52" s="144"/>
      <c r="X52" s="144"/>
      <c r="Y52" s="144"/>
      <c r="AI52" s="311"/>
      <c r="AJ52" s="311"/>
      <c r="AK52" s="311"/>
      <c r="AL52" s="311"/>
      <c r="AM52" s="311"/>
    </row>
    <row r="53" spans="1:39" x14ac:dyDescent="0.25">
      <c r="A53" s="312"/>
      <c r="B53" s="414" t="s">
        <v>1021</v>
      </c>
      <c r="C53" s="320"/>
      <c r="D53" s="320"/>
      <c r="E53" s="321"/>
      <c r="F53" s="322"/>
      <c r="G53" s="323"/>
      <c r="H53" s="323"/>
      <c r="I53" s="640"/>
      <c r="J53" s="312"/>
      <c r="K53" s="641"/>
      <c r="L53" s="644"/>
      <c r="M53" s="644"/>
      <c r="N53" s="644"/>
      <c r="O53" s="644"/>
      <c r="P53" s="644"/>
      <c r="R53" s="144"/>
      <c r="S53" s="144"/>
      <c r="T53" s="144"/>
      <c r="U53" s="144"/>
      <c r="V53" s="144"/>
      <c r="W53" s="144"/>
      <c r="X53" s="144"/>
      <c r="Y53" s="144"/>
      <c r="AI53" s="311"/>
      <c r="AJ53" s="311"/>
      <c r="AK53" s="311"/>
      <c r="AL53" s="311"/>
      <c r="AM53" s="311"/>
    </row>
    <row r="54" spans="1:39" x14ac:dyDescent="0.25">
      <c r="A54" s="312"/>
      <c r="B54" s="414" t="s">
        <v>1031</v>
      </c>
      <c r="C54" s="415"/>
      <c r="D54" s="415"/>
      <c r="E54" s="415"/>
      <c r="F54" s="415"/>
      <c r="G54" s="415"/>
      <c r="H54" s="415"/>
      <c r="I54" s="415"/>
      <c r="J54" s="312"/>
      <c r="K54" s="641"/>
      <c r="L54" s="644"/>
      <c r="M54" s="644"/>
      <c r="N54" s="644"/>
      <c r="O54" s="644"/>
      <c r="P54" s="644"/>
      <c r="R54" s="144"/>
      <c r="S54" s="144"/>
      <c r="T54" s="144"/>
      <c r="U54" s="144"/>
      <c r="V54" s="144"/>
      <c r="W54" s="144"/>
      <c r="X54" s="144"/>
      <c r="Y54" s="144"/>
      <c r="AI54" s="311"/>
      <c r="AJ54" s="311"/>
      <c r="AK54" s="311"/>
      <c r="AL54" s="311"/>
      <c r="AM54" s="311"/>
    </row>
    <row r="55" spans="1:39" ht="45" x14ac:dyDescent="0.25">
      <c r="A55" s="312"/>
      <c r="B55" s="305" t="s">
        <v>902</v>
      </c>
      <c r="C55" s="181" t="s">
        <v>1032</v>
      </c>
      <c r="D55" s="444" t="s">
        <v>997</v>
      </c>
      <c r="E55" s="282" t="s">
        <v>703</v>
      </c>
      <c r="F55" s="282" t="s">
        <v>704</v>
      </c>
      <c r="G55" s="180" t="s">
        <v>998</v>
      </c>
      <c r="H55" s="180" t="s">
        <v>999</v>
      </c>
      <c r="I55" s="282" t="s">
        <v>1000</v>
      </c>
      <c r="J55" s="312"/>
      <c r="K55" s="641"/>
      <c r="L55" s="644"/>
      <c r="M55" s="644"/>
      <c r="N55" s="644"/>
      <c r="O55" s="644"/>
      <c r="P55" s="644"/>
      <c r="R55" s="144"/>
      <c r="S55" s="144"/>
      <c r="T55" s="144"/>
      <c r="U55" s="144"/>
      <c r="V55" s="144"/>
      <c r="W55" s="144"/>
      <c r="X55" s="144"/>
      <c r="Y55" s="144"/>
      <c r="AI55" s="311"/>
      <c r="AJ55" s="311"/>
      <c r="AK55" s="311"/>
      <c r="AL55" s="311"/>
      <c r="AM55" s="311"/>
    </row>
    <row r="56" spans="1:39" x14ac:dyDescent="0.25">
      <c r="A56" s="312"/>
      <c r="B56" s="366" t="s">
        <v>1029</v>
      </c>
      <c r="C56" s="319">
        <f>'Inputs and eligible population'!G111</f>
        <v>28</v>
      </c>
      <c r="D56" s="139">
        <f>'Financial impact (cash)'!D13*'Capacity (local prices)'!$C$56</f>
        <v>0</v>
      </c>
      <c r="E56" s="139">
        <f>'Financial impact (cash)'!E13*'Capacity (local prices)'!$C$56</f>
        <v>402.83770240502514</v>
      </c>
      <c r="F56" s="139">
        <f>'Financial impact (cash)'!F13*'Capacity (local prices)'!$C$56</f>
        <v>275.03194087968467</v>
      </c>
      <c r="G56" s="139">
        <f>'Financial impact (cash)'!G13*'Capacity (local prices)'!$C$56</f>
        <v>280.29810133455464</v>
      </c>
      <c r="H56" s="139">
        <f>'Financial impact (cash)'!H13*'Capacity (local prices)'!$C$56</f>
        <v>285.64024420634598</v>
      </c>
      <c r="I56" s="139">
        <f>'Financial impact (cash)'!I13*'Capacity (local prices)'!$C$56</f>
        <v>291.05934514501155</v>
      </c>
      <c r="J56" s="312"/>
      <c r="K56" s="641"/>
      <c r="L56" s="644"/>
      <c r="M56" s="644"/>
      <c r="N56" s="644"/>
      <c r="O56" s="644"/>
      <c r="P56" s="644"/>
      <c r="R56" s="144"/>
      <c r="S56" s="144"/>
      <c r="T56" s="144"/>
      <c r="U56" s="144"/>
      <c r="V56" s="144"/>
      <c r="W56" s="144"/>
      <c r="X56" s="144"/>
      <c r="Y56" s="144"/>
      <c r="AI56" s="311"/>
      <c r="AJ56" s="311"/>
      <c r="AK56" s="311"/>
      <c r="AL56" s="311"/>
      <c r="AM56" s="311"/>
    </row>
    <row r="57" spans="1:39" x14ac:dyDescent="0.25">
      <c r="A57" s="312"/>
      <c r="B57" s="308"/>
      <c r="C57" s="338"/>
      <c r="D57" s="205">
        <f t="shared" ref="D57:I57" si="38">SUM(D56:D56)</f>
        <v>0</v>
      </c>
      <c r="E57" s="205">
        <f t="shared" si="38"/>
        <v>402.83770240502514</v>
      </c>
      <c r="F57" s="205">
        <f t="shared" si="38"/>
        <v>275.03194087968467</v>
      </c>
      <c r="G57" s="205">
        <f t="shared" si="38"/>
        <v>280.29810133455464</v>
      </c>
      <c r="H57" s="205">
        <f t="shared" si="38"/>
        <v>285.64024420634598</v>
      </c>
      <c r="I57" s="205">
        <f t="shared" si="38"/>
        <v>291.05934514501155</v>
      </c>
      <c r="J57" s="312"/>
      <c r="K57" s="641"/>
      <c r="L57" s="644"/>
      <c r="M57" s="644"/>
      <c r="N57" s="644"/>
      <c r="O57" s="644"/>
      <c r="P57" s="644"/>
      <c r="R57" s="144"/>
      <c r="S57" s="144"/>
      <c r="T57" s="144"/>
      <c r="U57" s="144"/>
      <c r="V57" s="144"/>
      <c r="W57" s="144"/>
      <c r="X57" s="144"/>
      <c r="Y57" s="144"/>
      <c r="AI57" s="311"/>
      <c r="AJ57" s="311"/>
      <c r="AK57" s="311"/>
      <c r="AL57" s="311"/>
      <c r="AM57" s="311"/>
    </row>
    <row r="58" spans="1:39" x14ac:dyDescent="0.25">
      <c r="A58" s="312"/>
      <c r="B58" s="324"/>
      <c r="C58" s="283"/>
      <c r="D58" s="310" t="s">
        <v>1033</v>
      </c>
      <c r="E58" s="205">
        <f>E57-$D$65</f>
        <v>402.83770240502514</v>
      </c>
      <c r="F58" s="205">
        <f>F57-$D$65</f>
        <v>275.03194087968467</v>
      </c>
      <c r="G58" s="205">
        <f>G57-$D$65</f>
        <v>280.29810133455464</v>
      </c>
      <c r="H58" s="205">
        <f>H57-$D$65</f>
        <v>285.64024420634598</v>
      </c>
      <c r="I58" s="205">
        <f>I57-$D$65</f>
        <v>291.05934514501155</v>
      </c>
      <c r="J58" s="312"/>
      <c r="K58" s="641"/>
      <c r="L58" s="644"/>
      <c r="M58" s="644"/>
      <c r="N58" s="644"/>
      <c r="O58" s="644"/>
      <c r="P58" s="644"/>
      <c r="R58" s="144"/>
      <c r="S58" s="144"/>
      <c r="T58" s="144"/>
      <c r="U58" s="144"/>
      <c r="V58" s="144"/>
      <c r="W58" s="144"/>
      <c r="X58" s="144"/>
      <c r="Y58" s="144"/>
      <c r="AI58" s="311"/>
      <c r="AJ58" s="311"/>
      <c r="AK58" s="311"/>
      <c r="AL58" s="311"/>
      <c r="AM58" s="311"/>
    </row>
    <row r="59" spans="1:39" x14ac:dyDescent="0.25">
      <c r="A59" s="312"/>
      <c r="B59" s="312"/>
      <c r="C59" s="312"/>
      <c r="D59" s="642"/>
      <c r="E59" s="643"/>
      <c r="F59" s="643"/>
      <c r="G59" s="643"/>
      <c r="H59" s="643"/>
      <c r="I59" s="643"/>
      <c r="J59" s="312"/>
      <c r="K59" s="641"/>
      <c r="L59" s="644"/>
      <c r="M59" s="644"/>
      <c r="N59" s="644"/>
      <c r="O59" s="644"/>
      <c r="P59" s="644"/>
      <c r="R59" s="144"/>
      <c r="S59" s="144"/>
      <c r="T59" s="144"/>
      <c r="U59" s="144"/>
      <c r="V59" s="144"/>
      <c r="W59" s="144"/>
      <c r="X59" s="144"/>
      <c r="Y59" s="144"/>
      <c r="AI59" s="311"/>
      <c r="AJ59" s="311"/>
      <c r="AK59" s="311"/>
      <c r="AL59" s="311"/>
      <c r="AM59" s="311"/>
    </row>
    <row r="60" spans="1:39" x14ac:dyDescent="0.25">
      <c r="A60" s="312"/>
      <c r="B60" s="312"/>
      <c r="C60" s="312"/>
      <c r="D60" s="642"/>
      <c r="E60" s="643"/>
      <c r="F60" s="643"/>
      <c r="G60" s="643"/>
      <c r="H60" s="643"/>
      <c r="I60" s="643"/>
      <c r="J60" s="312"/>
      <c r="K60" s="641"/>
      <c r="L60" s="644"/>
      <c r="M60" s="644"/>
      <c r="N60" s="644"/>
      <c r="O60" s="644"/>
      <c r="P60" s="644"/>
      <c r="R60" s="144"/>
      <c r="S60" s="144"/>
      <c r="T60" s="144"/>
      <c r="U60" s="144"/>
      <c r="V60" s="144"/>
      <c r="W60" s="144"/>
      <c r="X60" s="144"/>
      <c r="Y60" s="144"/>
      <c r="AI60" s="311"/>
      <c r="AJ60" s="311"/>
      <c r="AK60" s="311"/>
      <c r="AL60" s="311"/>
      <c r="AM60" s="311"/>
    </row>
    <row r="61" spans="1:39" x14ac:dyDescent="0.25">
      <c r="A61" s="312"/>
      <c r="B61" s="414" t="s">
        <v>1021</v>
      </c>
      <c r="C61" s="320"/>
      <c r="D61" s="320"/>
      <c r="E61" s="321"/>
      <c r="F61" s="322"/>
      <c r="G61" s="323"/>
      <c r="H61" s="323"/>
      <c r="I61" s="640"/>
      <c r="J61" s="312"/>
      <c r="K61" s="641"/>
      <c r="L61" s="644"/>
      <c r="M61" s="644"/>
      <c r="N61" s="644"/>
      <c r="O61" s="644"/>
      <c r="P61" s="644"/>
      <c r="R61" s="144"/>
      <c r="S61" s="144"/>
      <c r="T61" s="144"/>
      <c r="U61" s="144"/>
      <c r="V61" s="144"/>
      <c r="W61" s="144"/>
      <c r="X61" s="144"/>
      <c r="Y61" s="144"/>
      <c r="AI61" s="311"/>
      <c r="AJ61" s="311"/>
      <c r="AK61" s="311"/>
      <c r="AL61" s="311"/>
      <c r="AM61" s="311"/>
    </row>
    <row r="62" spans="1:39" x14ac:dyDescent="0.25">
      <c r="A62" s="312"/>
      <c r="B62" s="414" t="s">
        <v>1034</v>
      </c>
      <c r="C62" s="415"/>
      <c r="D62" s="415"/>
      <c r="E62" s="415"/>
      <c r="F62" s="415"/>
      <c r="G62" s="415"/>
      <c r="H62" s="415"/>
      <c r="I62" s="415"/>
      <c r="J62" s="312"/>
      <c r="K62" s="641"/>
      <c r="L62" s="644"/>
      <c r="M62" s="644"/>
      <c r="N62" s="644"/>
      <c r="O62" s="644"/>
      <c r="P62" s="644"/>
      <c r="R62" s="144"/>
      <c r="S62" s="144"/>
      <c r="T62" s="144"/>
      <c r="U62" s="144"/>
      <c r="V62" s="144"/>
      <c r="W62" s="144"/>
      <c r="X62" s="144"/>
      <c r="Y62" s="144"/>
      <c r="AI62" s="311"/>
      <c r="AJ62" s="311"/>
      <c r="AK62" s="311"/>
      <c r="AL62" s="311"/>
      <c r="AM62" s="311"/>
    </row>
    <row r="63" spans="1:39" ht="45" x14ac:dyDescent="0.25">
      <c r="A63" s="312"/>
      <c r="B63" s="305" t="s">
        <v>902</v>
      </c>
      <c r="C63" s="181" t="s">
        <v>1035</v>
      </c>
      <c r="D63" s="444" t="s">
        <v>997</v>
      </c>
      <c r="E63" s="282" t="s">
        <v>703</v>
      </c>
      <c r="F63" s="282" t="s">
        <v>704</v>
      </c>
      <c r="G63" s="180" t="s">
        <v>998</v>
      </c>
      <c r="H63" s="180" t="s">
        <v>999</v>
      </c>
      <c r="I63" s="282" t="s">
        <v>1000</v>
      </c>
      <c r="J63" s="312"/>
      <c r="K63" s="641"/>
      <c r="L63" s="644"/>
      <c r="M63" s="644"/>
      <c r="N63" s="644"/>
      <c r="O63" s="644"/>
      <c r="P63" s="644"/>
      <c r="R63" s="144"/>
      <c r="S63" s="144"/>
      <c r="T63" s="144"/>
      <c r="U63" s="144"/>
      <c r="V63" s="144"/>
      <c r="W63" s="144"/>
      <c r="X63" s="144"/>
      <c r="Y63" s="144"/>
      <c r="AI63" s="311"/>
      <c r="AJ63" s="311"/>
      <c r="AK63" s="311"/>
      <c r="AL63" s="311"/>
      <c r="AM63" s="311"/>
    </row>
    <row r="64" spans="1:39" x14ac:dyDescent="0.25">
      <c r="A64" s="312"/>
      <c r="B64" s="366" t="s">
        <v>1029</v>
      </c>
      <c r="C64" s="319">
        <f>'Inputs and eligible population'!G112</f>
        <v>26</v>
      </c>
      <c r="D64" s="139">
        <f>'Financial impact (cash)'!D13*'Capacity (local prices)'!$C$64</f>
        <v>0</v>
      </c>
      <c r="E64" s="139">
        <f>'Financial impact (cash)'!E13*'Capacity (local prices)'!$C$64</f>
        <v>374.06358080466623</v>
      </c>
      <c r="F64" s="139">
        <f>'Financial impact (cash)'!F13*'Capacity (local prices)'!$C$64</f>
        <v>255.38680224542148</v>
      </c>
      <c r="G64" s="139">
        <f>'Financial impact (cash)'!G13*'Capacity (local prices)'!$C$64</f>
        <v>260.27680838208641</v>
      </c>
      <c r="H64" s="139">
        <f>'Financial impact (cash)'!H13*'Capacity (local prices)'!$C$64</f>
        <v>265.23736962017841</v>
      </c>
      <c r="I64" s="139">
        <f>'Financial impact (cash)'!I13*'Capacity (local prices)'!$C$64</f>
        <v>270.26939192036787</v>
      </c>
      <c r="J64" s="312"/>
      <c r="K64" s="641"/>
      <c r="L64" s="644"/>
      <c r="M64" s="644"/>
      <c r="N64" s="644"/>
      <c r="O64" s="644"/>
      <c r="P64" s="644"/>
      <c r="R64" s="144"/>
      <c r="S64" s="144"/>
      <c r="T64" s="144"/>
      <c r="U64" s="144"/>
      <c r="V64" s="144"/>
      <c r="W64" s="144"/>
      <c r="X64" s="144"/>
      <c r="Y64" s="144"/>
      <c r="AI64" s="311"/>
      <c r="AJ64" s="311"/>
      <c r="AK64" s="311"/>
      <c r="AL64" s="311"/>
      <c r="AM64" s="311"/>
    </row>
    <row r="65" spans="1:39" x14ac:dyDescent="0.25">
      <c r="A65" s="312"/>
      <c r="B65" s="308"/>
      <c r="C65" s="338"/>
      <c r="D65" s="205">
        <f t="shared" ref="D65:I65" si="39">SUM(D64:D64)</f>
        <v>0</v>
      </c>
      <c r="E65" s="205">
        <f t="shared" si="39"/>
        <v>374.06358080466623</v>
      </c>
      <c r="F65" s="205">
        <f t="shared" si="39"/>
        <v>255.38680224542148</v>
      </c>
      <c r="G65" s="205">
        <f t="shared" si="39"/>
        <v>260.27680838208641</v>
      </c>
      <c r="H65" s="205">
        <f t="shared" si="39"/>
        <v>265.23736962017841</v>
      </c>
      <c r="I65" s="205">
        <f t="shared" si="39"/>
        <v>270.26939192036787</v>
      </c>
      <c r="J65" s="312"/>
      <c r="K65" s="641"/>
      <c r="L65" s="644"/>
      <c r="M65" s="644"/>
      <c r="N65" s="644"/>
      <c r="O65" s="644"/>
      <c r="P65" s="644"/>
      <c r="R65" s="144"/>
      <c r="S65" s="144"/>
      <c r="T65" s="144"/>
      <c r="U65" s="144"/>
      <c r="V65" s="144"/>
      <c r="W65" s="144"/>
      <c r="X65" s="144"/>
      <c r="Y65" s="144"/>
      <c r="AI65" s="311"/>
      <c r="AJ65" s="311"/>
      <c r="AK65" s="311"/>
      <c r="AL65" s="311"/>
      <c r="AM65" s="311"/>
    </row>
    <row r="66" spans="1:39" x14ac:dyDescent="0.25">
      <c r="A66" s="312"/>
      <c r="B66" s="324"/>
      <c r="C66" s="283"/>
      <c r="D66" s="310" t="s">
        <v>1030</v>
      </c>
      <c r="E66" s="205">
        <f>E65-$D$65</f>
        <v>374.06358080466623</v>
      </c>
      <c r="F66" s="205">
        <f t="shared" ref="F66:I66" si="40">F65-$D$65</f>
        <v>255.38680224542148</v>
      </c>
      <c r="G66" s="205">
        <f t="shared" si="40"/>
        <v>260.27680838208641</v>
      </c>
      <c r="H66" s="205">
        <f t="shared" si="40"/>
        <v>265.23736962017841</v>
      </c>
      <c r="I66" s="205">
        <f t="shared" si="40"/>
        <v>270.26939192036787</v>
      </c>
      <c r="J66" s="312"/>
      <c r="K66" s="641"/>
      <c r="L66" s="644"/>
      <c r="M66" s="644"/>
      <c r="N66" s="644"/>
      <c r="O66" s="644"/>
      <c r="P66" s="644"/>
      <c r="R66" s="144"/>
      <c r="S66" s="144"/>
      <c r="T66" s="144"/>
      <c r="U66" s="144"/>
      <c r="V66" s="144"/>
      <c r="W66" s="144"/>
      <c r="X66" s="144"/>
      <c r="Y66" s="144"/>
      <c r="AI66" s="311"/>
      <c r="AJ66" s="311"/>
      <c r="AK66" s="311"/>
      <c r="AL66" s="311"/>
      <c r="AM66" s="311"/>
    </row>
    <row r="67" spans="1:39" x14ac:dyDescent="0.25">
      <c r="A67" s="312"/>
      <c r="B67" s="312"/>
      <c r="C67" s="312"/>
      <c r="D67" s="642"/>
      <c r="E67" s="643"/>
      <c r="F67" s="643"/>
      <c r="G67" s="643"/>
      <c r="H67" s="643"/>
      <c r="I67" s="643"/>
      <c r="J67" s="312"/>
      <c r="K67" s="641"/>
      <c r="L67" s="644"/>
      <c r="M67" s="644"/>
      <c r="N67" s="644"/>
      <c r="O67" s="644"/>
      <c r="P67" s="644"/>
      <c r="R67" s="144"/>
      <c r="S67" s="144"/>
      <c r="T67" s="144"/>
      <c r="U67" s="144"/>
      <c r="V67" s="144"/>
      <c r="W67" s="144"/>
      <c r="X67" s="144"/>
      <c r="Y67" s="144"/>
      <c r="AI67" s="311"/>
      <c r="AJ67" s="311"/>
      <c r="AK67" s="311"/>
      <c r="AL67" s="311"/>
      <c r="AM67" s="311"/>
    </row>
    <row r="68" spans="1:39" x14ac:dyDescent="0.25">
      <c r="A68" s="312"/>
      <c r="B68" s="414" t="s">
        <v>1021</v>
      </c>
      <c r="C68" s="320"/>
      <c r="D68" s="320"/>
      <c r="E68" s="321"/>
      <c r="F68" s="322"/>
      <c r="G68" s="323"/>
      <c r="H68" s="323"/>
      <c r="I68" s="640"/>
      <c r="J68" s="452"/>
      <c r="K68" s="312"/>
      <c r="L68" s="312"/>
      <c r="M68" s="312"/>
      <c r="N68" s="312"/>
      <c r="O68" s="312"/>
      <c r="P68" s="238"/>
      <c r="R68" s="144"/>
      <c r="S68" s="144"/>
      <c r="T68" s="144"/>
      <c r="U68" s="144"/>
      <c r="V68" s="144"/>
      <c r="W68" s="144"/>
      <c r="X68" s="144"/>
      <c r="Y68" s="144"/>
      <c r="AI68" s="311"/>
      <c r="AJ68" s="311"/>
      <c r="AK68" s="311"/>
      <c r="AL68" s="311"/>
      <c r="AM68" s="311"/>
    </row>
    <row r="69" spans="1:39" x14ac:dyDescent="0.25">
      <c r="A69" s="312"/>
      <c r="B69" s="414" t="s">
        <v>1036</v>
      </c>
      <c r="C69" s="415"/>
      <c r="D69" s="415"/>
      <c r="E69" s="415"/>
      <c r="F69" s="415"/>
      <c r="G69" s="415"/>
      <c r="H69" s="415"/>
      <c r="I69" s="237"/>
      <c r="J69" s="450"/>
      <c r="K69" s="449"/>
      <c r="L69" s="449"/>
      <c r="M69" s="449"/>
      <c r="N69" s="449"/>
      <c r="O69" s="449"/>
      <c r="P69" s="449"/>
      <c r="R69" s="144"/>
      <c r="S69" s="144"/>
      <c r="T69" s="144"/>
      <c r="U69" s="144"/>
      <c r="V69" s="144"/>
      <c r="W69" s="144"/>
      <c r="X69" s="144"/>
      <c r="Y69" s="144"/>
      <c r="AI69" s="311"/>
      <c r="AJ69" s="311"/>
      <c r="AK69" s="311"/>
      <c r="AL69" s="311"/>
      <c r="AM69" s="311"/>
    </row>
    <row r="70" spans="1:39" ht="60" x14ac:dyDescent="0.25">
      <c r="A70" s="312"/>
      <c r="B70" s="307" t="s">
        <v>902</v>
      </c>
      <c r="C70" s="181" t="s">
        <v>1037</v>
      </c>
      <c r="D70" s="444" t="s">
        <v>997</v>
      </c>
      <c r="E70" s="282" t="s">
        <v>703</v>
      </c>
      <c r="F70" s="282" t="s">
        <v>704</v>
      </c>
      <c r="G70" s="180" t="s">
        <v>998</v>
      </c>
      <c r="H70" s="180" t="s">
        <v>999</v>
      </c>
      <c r="I70" s="282" t="s">
        <v>1000</v>
      </c>
      <c r="J70" s="312"/>
      <c r="K70" s="444" t="s">
        <v>997</v>
      </c>
      <c r="L70" s="555" t="s">
        <v>703</v>
      </c>
      <c r="M70" s="555" t="s">
        <v>704</v>
      </c>
      <c r="N70" s="445" t="s">
        <v>998</v>
      </c>
      <c r="O70" s="445" t="s">
        <v>999</v>
      </c>
      <c r="P70" s="555" t="s">
        <v>1000</v>
      </c>
      <c r="R70" s="144"/>
      <c r="S70" s="144"/>
      <c r="T70" s="144"/>
      <c r="U70" s="144"/>
      <c r="V70" s="144"/>
      <c r="W70" s="144"/>
      <c r="X70" s="144"/>
      <c r="Y70" s="144"/>
      <c r="AI70" s="311"/>
      <c r="AJ70" s="311"/>
      <c r="AK70" s="311"/>
      <c r="AL70" s="311"/>
      <c r="AM70" s="311"/>
    </row>
    <row r="71" spans="1:39" x14ac:dyDescent="0.25">
      <c r="A71" s="312"/>
      <c r="B71" s="366" t="s">
        <v>1029</v>
      </c>
      <c r="C71" s="162">
        <f>'Inputs and eligible population'!$G$113/60</f>
        <v>1</v>
      </c>
      <c r="D71" s="139">
        <f>D64*$C$71</f>
        <v>0</v>
      </c>
      <c r="E71" s="139">
        <f t="shared" ref="E71:I71" si="41">E64*$C$71</f>
        <v>374.06358080466623</v>
      </c>
      <c r="F71" s="139">
        <f t="shared" si="41"/>
        <v>255.38680224542148</v>
      </c>
      <c r="G71" s="139">
        <f t="shared" si="41"/>
        <v>260.27680838208641</v>
      </c>
      <c r="H71" s="139">
        <f t="shared" si="41"/>
        <v>265.23736962017841</v>
      </c>
      <c r="I71" s="139">
        <f t="shared" si="41"/>
        <v>270.26939192036787</v>
      </c>
      <c r="J71" s="312"/>
      <c r="K71" s="316">
        <f>(D71*'Inputs and eligible population'!$K$113)/1000</f>
        <v>0</v>
      </c>
      <c r="L71" s="316">
        <f>(E71*'Inputs and eligible population'!$K$113)/1000</f>
        <v>15.76677993091668</v>
      </c>
      <c r="M71" s="316">
        <f>(F71*'Inputs and eligible population'!$K$113)/1000</f>
        <v>10.764553714644515</v>
      </c>
      <c r="N71" s="316">
        <f>(G71*'Inputs and eligible population'!$K$113)/1000</f>
        <v>10.970667473304943</v>
      </c>
      <c r="O71" s="316">
        <f>(H71*'Inputs and eligible population'!$K$113)/1000</f>
        <v>11.17975512949052</v>
      </c>
      <c r="P71" s="316">
        <f>(I71*'Inputs and eligible population'!$K$113)/1000</f>
        <v>11.391854869443504</v>
      </c>
      <c r="R71" s="144"/>
      <c r="S71" s="144"/>
      <c r="T71" s="144"/>
      <c r="U71" s="144"/>
      <c r="V71" s="144"/>
      <c r="W71" s="144"/>
      <c r="X71" s="144"/>
      <c r="Y71" s="144"/>
      <c r="AI71" s="311"/>
      <c r="AJ71" s="311"/>
      <c r="AK71" s="311"/>
      <c r="AL71" s="311"/>
      <c r="AM71" s="311"/>
    </row>
    <row r="72" spans="1:39" x14ac:dyDescent="0.25">
      <c r="A72" s="312"/>
      <c r="B72" s="308" t="s">
        <v>1038</v>
      </c>
      <c r="C72" s="338"/>
      <c r="D72" s="205">
        <f t="shared" ref="D72" si="42">SUM(D71:D71)</f>
        <v>0</v>
      </c>
      <c r="E72" s="205">
        <f t="shared" ref="E72" si="43">SUM(E71:E71)</f>
        <v>374.06358080466623</v>
      </c>
      <c r="F72" s="205">
        <f t="shared" ref="F72" si="44">SUM(F71:F71)</f>
        <v>255.38680224542148</v>
      </c>
      <c r="G72" s="205">
        <f t="shared" ref="G72" si="45">SUM(G71:G71)</f>
        <v>260.27680838208641</v>
      </c>
      <c r="H72" s="205">
        <f t="shared" ref="H72" si="46">SUM(H71:H71)</f>
        <v>265.23736962017841</v>
      </c>
      <c r="I72" s="205">
        <f t="shared" ref="I72" si="47">SUM(I71:I71)</f>
        <v>270.26939192036787</v>
      </c>
      <c r="J72" s="312"/>
      <c r="K72" s="317">
        <f t="shared" ref="K72" si="48">SUM(K71:K71)</f>
        <v>0</v>
      </c>
      <c r="L72" s="317">
        <f t="shared" ref="L72" si="49">SUM(L71:L71)</f>
        <v>15.76677993091668</v>
      </c>
      <c r="M72" s="317">
        <f t="shared" ref="M72" si="50">SUM(M71:M71)</f>
        <v>10.764553714644515</v>
      </c>
      <c r="N72" s="317">
        <f t="shared" ref="N72" si="51">SUM(N71:N71)</f>
        <v>10.970667473304943</v>
      </c>
      <c r="O72" s="317">
        <f t="shared" ref="O72" si="52">SUM(O71:O71)</f>
        <v>11.17975512949052</v>
      </c>
      <c r="P72" s="317">
        <f t="shared" ref="P72" si="53">SUM(P71:P71)</f>
        <v>11.391854869443504</v>
      </c>
      <c r="R72" s="144"/>
      <c r="S72" s="144"/>
      <c r="T72" s="144"/>
      <c r="U72" s="144"/>
      <c r="V72" s="144"/>
      <c r="W72" s="144"/>
      <c r="X72" s="144"/>
      <c r="Y72" s="144"/>
      <c r="AI72" s="311"/>
      <c r="AJ72" s="311"/>
      <c r="AK72" s="311"/>
      <c r="AL72" s="311"/>
      <c r="AM72" s="311"/>
    </row>
    <row r="73" spans="1:39" x14ac:dyDescent="0.25">
      <c r="A73" s="312"/>
      <c r="B73" s="324"/>
      <c r="C73" s="283"/>
      <c r="D73" s="310" t="s">
        <v>1039</v>
      </c>
      <c r="E73" s="205">
        <f>E72-$D$72</f>
        <v>374.06358080466623</v>
      </c>
      <c r="F73" s="205">
        <f t="shared" ref="F73:I73" si="54">F72-$D$72</f>
        <v>255.38680224542148</v>
      </c>
      <c r="G73" s="205">
        <f t="shared" si="54"/>
        <v>260.27680838208641</v>
      </c>
      <c r="H73" s="205">
        <f t="shared" si="54"/>
        <v>265.23736962017841</v>
      </c>
      <c r="I73" s="205">
        <f t="shared" si="54"/>
        <v>270.26939192036787</v>
      </c>
      <c r="J73" s="312"/>
      <c r="K73" s="556"/>
      <c r="L73" s="317">
        <f>L72-$K$72</f>
        <v>15.76677993091668</v>
      </c>
      <c r="M73" s="317">
        <f t="shared" ref="M73:P73" si="55">M72-$K$72</f>
        <v>10.764553714644515</v>
      </c>
      <c r="N73" s="317">
        <f t="shared" si="55"/>
        <v>10.970667473304943</v>
      </c>
      <c r="O73" s="317">
        <f t="shared" si="55"/>
        <v>11.17975512949052</v>
      </c>
      <c r="P73" s="317">
        <f t="shared" si="55"/>
        <v>11.391854869443504</v>
      </c>
      <c r="R73" s="144"/>
      <c r="S73" s="144"/>
      <c r="T73" s="144"/>
      <c r="U73" s="144"/>
      <c r="V73" s="144"/>
      <c r="W73" s="144"/>
      <c r="X73" s="144"/>
      <c r="Y73" s="144"/>
      <c r="AI73" s="311"/>
      <c r="AJ73" s="311"/>
      <c r="AK73" s="311"/>
      <c r="AL73" s="311"/>
      <c r="AM73" s="311"/>
    </row>
    <row r="74" spans="1:39" x14ac:dyDescent="0.25">
      <c r="A74" s="312"/>
      <c r="B74" s="312"/>
      <c r="C74" s="312"/>
      <c r="D74" s="642"/>
      <c r="E74" s="643"/>
      <c r="F74" s="643"/>
      <c r="G74" s="643"/>
      <c r="H74" s="643"/>
      <c r="I74" s="643"/>
      <c r="J74" s="312"/>
      <c r="K74" s="641"/>
      <c r="L74" s="644"/>
      <c r="M74" s="644"/>
      <c r="N74" s="644"/>
      <c r="O74" s="644"/>
      <c r="P74" s="644"/>
      <c r="R74" s="144"/>
      <c r="S74" s="144"/>
      <c r="T74" s="144"/>
      <c r="U74" s="144"/>
      <c r="V74" s="144"/>
      <c r="W74" s="144"/>
      <c r="X74" s="144"/>
      <c r="Y74" s="144"/>
      <c r="AI74" s="311"/>
      <c r="AJ74" s="311"/>
      <c r="AK74" s="311"/>
      <c r="AL74" s="311"/>
      <c r="AM74" s="311"/>
    </row>
    <row r="75" spans="1:39" x14ac:dyDescent="0.25">
      <c r="A75" s="312"/>
      <c r="B75" s="414" t="s">
        <v>1021</v>
      </c>
      <c r="C75" s="320"/>
      <c r="D75" s="320"/>
      <c r="E75" s="321"/>
      <c r="F75" s="322"/>
      <c r="G75" s="323"/>
      <c r="H75" s="323"/>
      <c r="I75" s="640"/>
      <c r="J75" s="312"/>
      <c r="K75" s="641"/>
      <c r="L75" s="644"/>
      <c r="M75" s="644"/>
      <c r="N75" s="644"/>
      <c r="O75" s="644"/>
      <c r="P75" s="644"/>
      <c r="R75" s="144"/>
      <c r="S75" s="144"/>
      <c r="T75" s="144"/>
      <c r="U75" s="144"/>
      <c r="V75" s="144"/>
      <c r="W75" s="144"/>
      <c r="X75" s="144"/>
      <c r="Y75" s="144"/>
      <c r="AI75" s="311"/>
      <c r="AJ75" s="311"/>
      <c r="AK75" s="311"/>
      <c r="AL75" s="311"/>
      <c r="AM75" s="311"/>
    </row>
    <row r="76" spans="1:39" x14ac:dyDescent="0.25">
      <c r="A76" s="312"/>
      <c r="B76" s="414" t="s">
        <v>1040</v>
      </c>
      <c r="C76" s="415"/>
      <c r="D76" s="415"/>
      <c r="E76" s="415"/>
      <c r="F76" s="415"/>
      <c r="G76" s="415"/>
      <c r="H76" s="415"/>
      <c r="I76" s="415"/>
      <c r="J76" s="312"/>
      <c r="K76" s="641"/>
      <c r="L76" s="644"/>
      <c r="M76" s="644"/>
      <c r="N76" s="644"/>
      <c r="O76" s="644"/>
      <c r="P76" s="644"/>
      <c r="R76" s="144"/>
      <c r="S76" s="144"/>
      <c r="T76" s="144"/>
      <c r="U76" s="144"/>
      <c r="V76" s="144"/>
      <c r="W76" s="144"/>
      <c r="X76" s="144"/>
      <c r="Y76" s="144"/>
      <c r="AI76" s="311"/>
      <c r="AJ76" s="311"/>
      <c r="AK76" s="311"/>
      <c r="AL76" s="311"/>
      <c r="AM76" s="311"/>
    </row>
    <row r="77" spans="1:39" ht="45" x14ac:dyDescent="0.25">
      <c r="A77" s="312"/>
      <c r="B77" s="305" t="s">
        <v>902</v>
      </c>
      <c r="C77" s="181" t="s">
        <v>1028</v>
      </c>
      <c r="D77" s="444" t="s">
        <v>997</v>
      </c>
      <c r="E77" s="282" t="s">
        <v>703</v>
      </c>
      <c r="F77" s="282" t="s">
        <v>704</v>
      </c>
      <c r="G77" s="180" t="s">
        <v>998</v>
      </c>
      <c r="H77" s="180" t="s">
        <v>999</v>
      </c>
      <c r="I77" s="282" t="s">
        <v>1000</v>
      </c>
      <c r="J77" s="312"/>
      <c r="K77" s="641"/>
      <c r="L77" s="644"/>
      <c r="M77" s="644"/>
      <c r="N77" s="644"/>
      <c r="O77" s="644"/>
      <c r="P77" s="644"/>
      <c r="R77" s="144"/>
      <c r="S77" s="144"/>
      <c r="T77" s="144"/>
      <c r="U77" s="144"/>
      <c r="V77" s="144"/>
      <c r="W77" s="144"/>
      <c r="X77" s="144"/>
      <c r="Y77" s="144"/>
      <c r="AI77" s="311"/>
      <c r="AJ77" s="311"/>
      <c r="AK77" s="311"/>
      <c r="AL77" s="311"/>
      <c r="AM77" s="311"/>
    </row>
    <row r="78" spans="1:39" x14ac:dyDescent="0.25">
      <c r="A78" s="312"/>
      <c r="B78" s="366" t="s">
        <v>1041</v>
      </c>
      <c r="C78" s="319">
        <f>'Inputs and eligible population'!H114</f>
        <v>15</v>
      </c>
      <c r="D78" s="139">
        <f>'Financial impact (cash)'!D16*'Capacity (local prices)'!$C$78</f>
        <v>7124.8341212799223</v>
      </c>
      <c r="E78" s="139">
        <f>'Financial impact (cash)'!E16*'Capacity (local prices)'!$C$78</f>
        <v>6977.7244880870421</v>
      </c>
      <c r="F78" s="139">
        <f>'Financial impact (cash)'!F16*'Capacity (local prices)'!$C$78</f>
        <v>7115.550495436346</v>
      </c>
      <c r="G78" s="139">
        <f>'Financial impact (cash)'!G16*'Capacity (local prices)'!$C$78</f>
        <v>7182.756715759022</v>
      </c>
      <c r="H78" s="139">
        <f>'Financial impact (cash)'!H16*'Capacity (local prices)'!$C$78</f>
        <v>7250.5974217085677</v>
      </c>
      <c r="I78" s="139">
        <f>'Financial impact (cash)'!I16*'Capacity (local prices)'!$C$78</f>
        <v>7319.0786006720973</v>
      </c>
      <c r="J78" s="312"/>
      <c r="K78" s="641"/>
      <c r="L78" s="644"/>
      <c r="M78" s="644"/>
      <c r="N78" s="644"/>
      <c r="O78" s="644"/>
      <c r="P78" s="644"/>
      <c r="R78" s="144"/>
      <c r="S78" s="144"/>
      <c r="T78" s="144"/>
      <c r="U78" s="144"/>
      <c r="V78" s="144"/>
      <c r="W78" s="144"/>
      <c r="X78" s="144"/>
      <c r="Y78" s="144"/>
      <c r="AI78" s="311"/>
      <c r="AJ78" s="311"/>
      <c r="AK78" s="311"/>
      <c r="AL78" s="311"/>
      <c r="AM78" s="311"/>
    </row>
    <row r="79" spans="1:39" x14ac:dyDescent="0.25">
      <c r="A79" s="312"/>
      <c r="B79" s="308"/>
      <c r="C79" s="338"/>
      <c r="D79" s="205">
        <f t="shared" ref="D79:I79" si="56">SUM(D78:D78)</f>
        <v>7124.8341212799223</v>
      </c>
      <c r="E79" s="205">
        <f t="shared" si="56"/>
        <v>6977.7244880870421</v>
      </c>
      <c r="F79" s="205">
        <f t="shared" si="56"/>
        <v>7115.550495436346</v>
      </c>
      <c r="G79" s="205">
        <f t="shared" si="56"/>
        <v>7182.756715759022</v>
      </c>
      <c r="H79" s="205">
        <f t="shared" si="56"/>
        <v>7250.5974217085677</v>
      </c>
      <c r="I79" s="205">
        <f t="shared" si="56"/>
        <v>7319.0786006720973</v>
      </c>
      <c r="J79" s="312"/>
      <c r="K79" s="641"/>
      <c r="L79" s="644"/>
      <c r="M79" s="644"/>
      <c r="N79" s="644"/>
      <c r="O79" s="644"/>
      <c r="P79" s="644"/>
      <c r="R79" s="144"/>
      <c r="S79" s="144"/>
      <c r="T79" s="144"/>
      <c r="U79" s="144"/>
      <c r="V79" s="144"/>
      <c r="W79" s="144"/>
      <c r="X79" s="144"/>
      <c r="Y79" s="144"/>
      <c r="AI79" s="311"/>
      <c r="AJ79" s="311"/>
      <c r="AK79" s="311"/>
      <c r="AL79" s="311"/>
      <c r="AM79" s="311"/>
    </row>
    <row r="80" spans="1:39" x14ac:dyDescent="0.25">
      <c r="A80" s="312"/>
      <c r="B80" s="324"/>
      <c r="C80" s="283"/>
      <c r="D80" s="310" t="s">
        <v>1030</v>
      </c>
      <c r="E80" s="205">
        <f>E79-$D$79</f>
        <v>-147.10963319288021</v>
      </c>
      <c r="F80" s="205">
        <f t="shared" ref="F80:I80" si="57">F79-$D$79</f>
        <v>-9.2836258435763739</v>
      </c>
      <c r="G80" s="205">
        <f t="shared" si="57"/>
        <v>57.922594479099644</v>
      </c>
      <c r="H80" s="205">
        <f t="shared" si="57"/>
        <v>125.76330042864538</v>
      </c>
      <c r="I80" s="205">
        <f t="shared" si="57"/>
        <v>194.24447939217498</v>
      </c>
      <c r="J80" s="312"/>
      <c r="K80" s="641"/>
      <c r="L80" s="644"/>
      <c r="M80" s="644"/>
      <c r="N80" s="644"/>
      <c r="O80" s="644"/>
      <c r="P80" s="644"/>
      <c r="R80" s="144"/>
      <c r="S80" s="144"/>
      <c r="T80" s="144"/>
      <c r="U80" s="144"/>
      <c r="V80" s="144"/>
      <c r="W80" s="144"/>
      <c r="X80" s="144"/>
      <c r="Y80" s="144"/>
      <c r="AI80" s="311"/>
      <c r="AJ80" s="311"/>
      <c r="AK80" s="311"/>
      <c r="AL80" s="311"/>
      <c r="AM80" s="311"/>
    </row>
    <row r="81" spans="1:39" x14ac:dyDescent="0.25">
      <c r="A81" s="312"/>
      <c r="B81" s="312"/>
      <c r="C81" s="312"/>
      <c r="D81" s="642"/>
      <c r="E81" s="643"/>
      <c r="F81" s="643"/>
      <c r="G81" s="643"/>
      <c r="H81" s="643"/>
      <c r="I81" s="643"/>
      <c r="J81" s="312"/>
      <c r="K81" s="641"/>
      <c r="L81" s="644"/>
      <c r="M81" s="644"/>
      <c r="N81" s="644"/>
      <c r="O81" s="644"/>
      <c r="P81" s="644"/>
      <c r="R81" s="144"/>
      <c r="S81" s="144"/>
      <c r="T81" s="144"/>
      <c r="U81" s="144"/>
      <c r="V81" s="144"/>
      <c r="W81" s="144"/>
      <c r="X81" s="144"/>
      <c r="Y81" s="144"/>
      <c r="AI81" s="311"/>
      <c r="AJ81" s="311"/>
      <c r="AK81" s="311"/>
      <c r="AL81" s="311"/>
      <c r="AM81" s="311"/>
    </row>
    <row r="82" spans="1:39" x14ac:dyDescent="0.25">
      <c r="A82" s="312"/>
      <c r="B82" s="414" t="s">
        <v>1021</v>
      </c>
      <c r="C82" s="320"/>
      <c r="D82" s="320"/>
      <c r="E82" s="321"/>
      <c r="F82" s="322"/>
      <c r="G82" s="323"/>
      <c r="H82" s="323"/>
      <c r="I82" s="640"/>
      <c r="J82" s="452"/>
      <c r="K82" s="312"/>
      <c r="L82" s="312"/>
      <c r="M82" s="312"/>
      <c r="N82" s="312"/>
      <c r="O82" s="312"/>
      <c r="P82" s="238"/>
      <c r="R82" s="144"/>
      <c r="S82" s="144"/>
      <c r="T82" s="144"/>
      <c r="U82" s="144"/>
      <c r="V82" s="144"/>
      <c r="W82" s="144"/>
      <c r="X82" s="144"/>
      <c r="Y82" s="144"/>
      <c r="AI82" s="311"/>
      <c r="AJ82" s="311"/>
      <c r="AK82" s="311"/>
      <c r="AL82" s="311"/>
      <c r="AM82" s="311"/>
    </row>
    <row r="83" spans="1:39" x14ac:dyDescent="0.25">
      <c r="A83" s="312"/>
      <c r="B83" s="414" t="s">
        <v>1042</v>
      </c>
      <c r="C83" s="415"/>
      <c r="D83" s="415"/>
      <c r="E83" s="415"/>
      <c r="F83" s="415"/>
      <c r="G83" s="415"/>
      <c r="H83" s="415"/>
      <c r="I83" s="237"/>
      <c r="J83" s="450"/>
      <c r="K83" s="449"/>
      <c r="L83" s="449"/>
      <c r="M83" s="449"/>
      <c r="N83" s="449"/>
      <c r="O83" s="449"/>
      <c r="P83" s="449"/>
      <c r="R83" s="144"/>
      <c r="S83" s="144"/>
      <c r="T83" s="144"/>
      <c r="U83" s="144"/>
      <c r="V83" s="144"/>
      <c r="W83" s="144"/>
      <c r="X83" s="144"/>
      <c r="Y83" s="144"/>
      <c r="AI83" s="311"/>
      <c r="AJ83" s="311"/>
      <c r="AK83" s="311"/>
      <c r="AL83" s="311"/>
      <c r="AM83" s="311"/>
    </row>
    <row r="84" spans="1:39" ht="60" x14ac:dyDescent="0.25">
      <c r="A84" s="312"/>
      <c r="B84" s="307" t="s">
        <v>902</v>
      </c>
      <c r="C84" s="181" t="s">
        <v>1037</v>
      </c>
      <c r="D84" s="444" t="s">
        <v>997</v>
      </c>
      <c r="E84" s="282" t="s">
        <v>703</v>
      </c>
      <c r="F84" s="282" t="s">
        <v>704</v>
      </c>
      <c r="G84" s="180" t="s">
        <v>998</v>
      </c>
      <c r="H84" s="180" t="s">
        <v>999</v>
      </c>
      <c r="I84" s="282" t="s">
        <v>1000</v>
      </c>
      <c r="J84" s="312"/>
      <c r="K84" s="444" t="s">
        <v>997</v>
      </c>
      <c r="L84" s="555" t="s">
        <v>703</v>
      </c>
      <c r="M84" s="555" t="s">
        <v>704</v>
      </c>
      <c r="N84" s="445" t="s">
        <v>998</v>
      </c>
      <c r="O84" s="445" t="s">
        <v>999</v>
      </c>
      <c r="P84" s="555" t="s">
        <v>1000</v>
      </c>
      <c r="R84" s="144"/>
      <c r="S84" s="144"/>
      <c r="T84" s="144"/>
      <c r="U84" s="144"/>
      <c r="V84" s="144"/>
      <c r="W84" s="144"/>
      <c r="X84" s="144"/>
      <c r="Y84" s="144"/>
      <c r="AI84" s="311"/>
      <c r="AJ84" s="311"/>
      <c r="AK84" s="311"/>
      <c r="AL84" s="311"/>
      <c r="AM84" s="311"/>
    </row>
    <row r="85" spans="1:39" x14ac:dyDescent="0.25">
      <c r="A85" s="312"/>
      <c r="B85" s="366" t="s">
        <v>1041</v>
      </c>
      <c r="C85" s="162">
        <f>'Inputs and eligible population'!H115/60</f>
        <v>8</v>
      </c>
      <c r="D85" s="139">
        <f>D78*$C$85</f>
        <v>56998.672970239379</v>
      </c>
      <c r="E85" s="139">
        <f t="shared" ref="E85:I85" si="58">E78*$C$85</f>
        <v>55821.795904696337</v>
      </c>
      <c r="F85" s="139">
        <f t="shared" si="58"/>
        <v>56924.403963490768</v>
      </c>
      <c r="G85" s="139">
        <f t="shared" si="58"/>
        <v>57462.053726072176</v>
      </c>
      <c r="H85" s="139">
        <f t="shared" si="58"/>
        <v>58004.779373668542</v>
      </c>
      <c r="I85" s="139">
        <f t="shared" si="58"/>
        <v>58552.628805376778</v>
      </c>
      <c r="J85" s="312"/>
      <c r="K85" s="316">
        <f>(D85*'Inputs and eligible population'!$K$115)/1000</f>
        <v>2402.4940656955901</v>
      </c>
      <c r="L85" s="316">
        <f>(E85*'Inputs and eligible population'!$K$115)/1000</f>
        <v>2352.8886973829508</v>
      </c>
      <c r="M85" s="316">
        <f>(F85*'Inputs and eligible population'!$K$115)/1000</f>
        <v>2399.3636270611355</v>
      </c>
      <c r="N85" s="316">
        <f>(G85*'Inputs and eligible population'!$K$115)/1000</f>
        <v>2422.0255645539419</v>
      </c>
      <c r="O85" s="316">
        <f>(H85*'Inputs and eligible population'!$K$115)/1000</f>
        <v>2444.901450600129</v>
      </c>
      <c r="P85" s="316">
        <f>(I85*'Inputs and eligible population'!$K$115)/1000</f>
        <v>2467.9933041466311</v>
      </c>
      <c r="R85" s="144"/>
      <c r="S85" s="144"/>
      <c r="T85" s="144"/>
      <c r="U85" s="144"/>
      <c r="V85" s="144"/>
      <c r="W85" s="144"/>
      <c r="X85" s="144"/>
      <c r="Y85" s="144"/>
      <c r="AI85" s="311"/>
      <c r="AJ85" s="311"/>
      <c r="AK85" s="311"/>
      <c r="AL85" s="311"/>
      <c r="AM85" s="311"/>
    </row>
    <row r="86" spans="1:39" x14ac:dyDescent="0.25">
      <c r="A86" s="312"/>
      <c r="B86" s="308" t="s">
        <v>1038</v>
      </c>
      <c r="C86" s="338"/>
      <c r="D86" s="205">
        <f t="shared" ref="D86" si="59">SUM(D85:D85)</f>
        <v>56998.672970239379</v>
      </c>
      <c r="E86" s="205">
        <f t="shared" ref="E86" si="60">SUM(E85:E85)</f>
        <v>55821.795904696337</v>
      </c>
      <c r="F86" s="205">
        <f t="shared" ref="F86" si="61">SUM(F85:F85)</f>
        <v>56924.403963490768</v>
      </c>
      <c r="G86" s="205">
        <f t="shared" ref="G86" si="62">SUM(G85:G85)</f>
        <v>57462.053726072176</v>
      </c>
      <c r="H86" s="205">
        <f t="shared" ref="H86" si="63">SUM(H85:H85)</f>
        <v>58004.779373668542</v>
      </c>
      <c r="I86" s="205">
        <f t="shared" ref="I86" si="64">SUM(I85:I85)</f>
        <v>58552.628805376778</v>
      </c>
      <c r="J86" s="312"/>
      <c r="K86" s="317">
        <f t="shared" ref="K86" si="65">SUM(K85:K85)</f>
        <v>2402.4940656955901</v>
      </c>
      <c r="L86" s="317">
        <f t="shared" ref="L86" si="66">SUM(L85:L85)</f>
        <v>2352.8886973829508</v>
      </c>
      <c r="M86" s="317">
        <f t="shared" ref="M86" si="67">SUM(M85:M85)</f>
        <v>2399.3636270611355</v>
      </c>
      <c r="N86" s="317">
        <f t="shared" ref="N86" si="68">SUM(N85:N85)</f>
        <v>2422.0255645539419</v>
      </c>
      <c r="O86" s="317">
        <f t="shared" ref="O86" si="69">SUM(O85:O85)</f>
        <v>2444.901450600129</v>
      </c>
      <c r="P86" s="317">
        <f t="shared" ref="P86" si="70">SUM(P85:P85)</f>
        <v>2467.9933041466311</v>
      </c>
      <c r="R86" s="144"/>
      <c r="S86" s="144"/>
      <c r="T86" s="144"/>
      <c r="U86" s="144"/>
      <c r="V86" s="144"/>
      <c r="W86" s="144"/>
      <c r="X86" s="144"/>
      <c r="Y86" s="144"/>
      <c r="AI86" s="311"/>
      <c r="AJ86" s="311"/>
      <c r="AK86" s="311"/>
      <c r="AL86" s="311"/>
      <c r="AM86" s="311"/>
    </row>
    <row r="87" spans="1:39" x14ac:dyDescent="0.25">
      <c r="A87" s="312"/>
      <c r="B87" s="324"/>
      <c r="C87" s="283"/>
      <c r="D87" s="310" t="s">
        <v>1039</v>
      </c>
      <c r="E87" s="205">
        <f>E86-$D$86</f>
        <v>-1176.8770655430417</v>
      </c>
      <c r="F87" s="205">
        <f t="shared" ref="F87:I87" si="71">F86-$D$86</f>
        <v>-74.269006748610991</v>
      </c>
      <c r="G87" s="205">
        <f t="shared" si="71"/>
        <v>463.38075583279715</v>
      </c>
      <c r="H87" s="205">
        <f t="shared" si="71"/>
        <v>1006.106403429163</v>
      </c>
      <c r="I87" s="205">
        <f t="shared" si="71"/>
        <v>1553.9558351373998</v>
      </c>
      <c r="J87" s="312"/>
      <c r="K87" s="556"/>
      <c r="L87" s="317">
        <f>L86-$K$86</f>
        <v>-49.605368312639257</v>
      </c>
      <c r="M87" s="317">
        <f t="shared" ref="M87:P87" si="72">M86-$K$86</f>
        <v>-3.1304386344545492</v>
      </c>
      <c r="N87" s="317">
        <f t="shared" si="72"/>
        <v>19.531498858351824</v>
      </c>
      <c r="O87" s="317">
        <f t="shared" si="72"/>
        <v>42.407384904538958</v>
      </c>
      <c r="P87" s="317">
        <f t="shared" si="72"/>
        <v>65.499238451041037</v>
      </c>
      <c r="R87" s="144"/>
      <c r="S87" s="144"/>
      <c r="T87" s="144"/>
      <c r="U87" s="144"/>
      <c r="V87" s="144"/>
      <c r="W87" s="144"/>
      <c r="X87" s="144"/>
      <c r="Y87" s="144"/>
      <c r="AI87" s="311"/>
      <c r="AJ87" s="311"/>
      <c r="AK87" s="311"/>
      <c r="AL87" s="311"/>
      <c r="AM87" s="311"/>
    </row>
    <row r="88" spans="1:39" x14ac:dyDescent="0.25">
      <c r="A88" s="312"/>
      <c r="B88" s="312"/>
      <c r="C88" s="312"/>
      <c r="D88" s="642"/>
      <c r="E88" s="643"/>
      <c r="F88" s="643"/>
      <c r="G88" s="643"/>
      <c r="H88" s="643"/>
      <c r="I88" s="643"/>
      <c r="J88" s="312"/>
      <c r="K88" s="641"/>
      <c r="L88" s="644"/>
      <c r="M88" s="644"/>
      <c r="N88" s="644"/>
      <c r="O88" s="644"/>
      <c r="P88" s="644"/>
      <c r="R88" s="144"/>
      <c r="S88" s="144"/>
      <c r="T88" s="144"/>
      <c r="U88" s="144"/>
      <c r="V88" s="144"/>
      <c r="W88" s="144"/>
      <c r="X88" s="144"/>
      <c r="Y88" s="144"/>
      <c r="AI88" s="311"/>
      <c r="AJ88" s="311"/>
      <c r="AK88" s="311"/>
      <c r="AL88" s="311"/>
      <c r="AM88" s="311"/>
    </row>
    <row r="89" spans="1:39" x14ac:dyDescent="0.25">
      <c r="A89" s="312"/>
      <c r="B89" s="312"/>
      <c r="C89" s="312"/>
      <c r="D89" s="642"/>
      <c r="E89" s="643"/>
      <c r="F89" s="643"/>
      <c r="G89" s="643"/>
      <c r="H89" s="643"/>
      <c r="I89" s="643"/>
      <c r="J89" s="312"/>
      <c r="K89" s="641"/>
      <c r="L89" s="644"/>
      <c r="M89" s="644"/>
      <c r="N89" s="644"/>
      <c r="O89" s="644"/>
      <c r="P89" s="644"/>
      <c r="R89" s="144"/>
      <c r="S89" s="144"/>
      <c r="T89" s="144"/>
      <c r="U89" s="144"/>
      <c r="V89" s="144"/>
      <c r="W89" s="144"/>
      <c r="X89" s="144"/>
      <c r="Y89" s="144"/>
      <c r="AI89" s="311"/>
      <c r="AJ89" s="311"/>
      <c r="AK89" s="311"/>
      <c r="AL89" s="311"/>
      <c r="AM89" s="311"/>
    </row>
    <row r="90" spans="1:39" x14ac:dyDescent="0.25">
      <c r="A90" s="312"/>
      <c r="B90" s="414" t="s">
        <v>1021</v>
      </c>
      <c r="C90" s="320"/>
      <c r="D90" s="320"/>
      <c r="E90" s="321"/>
      <c r="F90" s="322"/>
      <c r="G90" s="323"/>
      <c r="H90" s="323"/>
      <c r="I90" s="640"/>
      <c r="J90" s="452"/>
      <c r="K90" s="312"/>
      <c r="L90" s="312"/>
      <c r="M90" s="312"/>
      <c r="N90" s="312"/>
      <c r="O90" s="312"/>
      <c r="P90" s="238"/>
      <c r="R90" s="144"/>
      <c r="S90" s="144"/>
      <c r="T90" s="144"/>
      <c r="U90" s="144"/>
      <c r="V90" s="144"/>
      <c r="W90" s="144"/>
      <c r="X90" s="144"/>
      <c r="Y90" s="144"/>
      <c r="AI90" s="311"/>
      <c r="AJ90" s="311"/>
      <c r="AK90" s="311"/>
      <c r="AL90" s="311"/>
      <c r="AM90" s="311"/>
    </row>
    <row r="91" spans="1:39" x14ac:dyDescent="0.25">
      <c r="A91" s="312"/>
      <c r="B91" s="414" t="s">
        <v>1043</v>
      </c>
      <c r="C91" s="415"/>
      <c r="D91" s="415"/>
      <c r="E91" s="415"/>
      <c r="F91" s="415"/>
      <c r="G91" s="415"/>
      <c r="H91" s="415"/>
      <c r="I91" s="237"/>
      <c r="J91" s="450"/>
      <c r="K91" s="238"/>
      <c r="L91" s="238"/>
      <c r="M91" s="238"/>
      <c r="N91" s="238"/>
      <c r="O91" s="238"/>
      <c r="P91" s="238"/>
      <c r="R91" s="144"/>
      <c r="S91" s="144"/>
      <c r="T91" s="144"/>
      <c r="U91" s="144"/>
      <c r="V91" s="144"/>
      <c r="W91" s="144"/>
      <c r="X91" s="144"/>
      <c r="Y91" s="144"/>
      <c r="AI91" s="311"/>
      <c r="AJ91" s="311"/>
      <c r="AK91" s="311"/>
      <c r="AL91" s="311"/>
      <c r="AM91" s="311"/>
    </row>
    <row r="92" spans="1:39" ht="45" x14ac:dyDescent="0.25">
      <c r="A92" s="312"/>
      <c r="B92" s="307" t="s">
        <v>902</v>
      </c>
      <c r="C92" s="181" t="s">
        <v>1044</v>
      </c>
      <c r="D92" s="444" t="s">
        <v>997</v>
      </c>
      <c r="E92" s="282" t="s">
        <v>703</v>
      </c>
      <c r="F92" s="282" t="s">
        <v>704</v>
      </c>
      <c r="G92" s="180" t="s">
        <v>998</v>
      </c>
      <c r="H92" s="180" t="s">
        <v>999</v>
      </c>
      <c r="I92" s="282" t="s">
        <v>1000</v>
      </c>
      <c r="J92" s="312"/>
      <c r="K92" s="665"/>
      <c r="L92" s="663"/>
      <c r="M92" s="663"/>
      <c r="N92" s="663"/>
      <c r="O92" s="663"/>
      <c r="P92" s="663"/>
      <c r="R92" s="144"/>
      <c r="S92" s="144"/>
      <c r="T92" s="144"/>
      <c r="U92" s="144"/>
      <c r="V92" s="144"/>
      <c r="W92" s="144"/>
      <c r="X92" s="144"/>
      <c r="Y92" s="144"/>
      <c r="AI92" s="311"/>
      <c r="AJ92" s="311"/>
      <c r="AK92" s="311"/>
      <c r="AL92" s="311"/>
      <c r="AM92" s="311"/>
    </row>
    <row r="93" spans="1:39" x14ac:dyDescent="0.25">
      <c r="A93" s="312"/>
      <c r="B93" s="366" t="s">
        <v>1041</v>
      </c>
      <c r="C93" s="162">
        <f>'Inputs and eligible population'!H116</f>
        <v>6</v>
      </c>
      <c r="D93" s="139">
        <f>'Financial impact (cash)'!D16*'Capacity (local prices)'!$C93</f>
        <v>2849.9336485119693</v>
      </c>
      <c r="E93" s="139">
        <f>'Financial impact (cash)'!E16*'Capacity (local prices)'!$C93</f>
        <v>2791.0897952348168</v>
      </c>
      <c r="F93" s="139">
        <f>'Financial impact (cash)'!F16*'Capacity (local prices)'!$C93</f>
        <v>2846.2201981745384</v>
      </c>
      <c r="G93" s="139">
        <f>'Financial impact (cash)'!G16*'Capacity (local prices)'!$C93</f>
        <v>2873.1026863036086</v>
      </c>
      <c r="H93" s="139">
        <f>'Financial impact (cash)'!H16*'Capacity (local prices)'!$C93</f>
        <v>2900.2389686834272</v>
      </c>
      <c r="I93" s="139">
        <f>'Financial impact (cash)'!I16*'Capacity (local prices)'!$C93</f>
        <v>2927.631440268839</v>
      </c>
      <c r="J93" s="312"/>
      <c r="K93" s="664"/>
      <c r="L93" s="664"/>
      <c r="M93" s="664"/>
      <c r="N93" s="664"/>
      <c r="O93" s="664"/>
      <c r="P93" s="664"/>
      <c r="R93" s="144"/>
      <c r="S93" s="144"/>
      <c r="T93" s="144"/>
      <c r="U93" s="144"/>
      <c r="V93" s="144"/>
      <c r="W93" s="144"/>
      <c r="X93" s="144"/>
      <c r="Y93" s="144"/>
      <c r="AI93" s="311"/>
      <c r="AJ93" s="311"/>
      <c r="AK93" s="311"/>
      <c r="AL93" s="311"/>
      <c r="AM93" s="311"/>
    </row>
    <row r="94" spans="1:39" x14ac:dyDescent="0.25">
      <c r="A94" s="312"/>
      <c r="B94" s="308" t="s">
        <v>1038</v>
      </c>
      <c r="C94" s="338"/>
      <c r="D94" s="205">
        <f t="shared" ref="D94:I94" si="73">SUM(D93:D93)</f>
        <v>2849.9336485119693</v>
      </c>
      <c r="E94" s="205">
        <f t="shared" si="73"/>
        <v>2791.0897952348168</v>
      </c>
      <c r="F94" s="205">
        <f t="shared" si="73"/>
        <v>2846.2201981745384</v>
      </c>
      <c r="G94" s="205">
        <f t="shared" si="73"/>
        <v>2873.1026863036086</v>
      </c>
      <c r="H94" s="205">
        <f t="shared" si="73"/>
        <v>2900.2389686834272</v>
      </c>
      <c r="I94" s="205">
        <f t="shared" si="73"/>
        <v>2927.631440268839</v>
      </c>
      <c r="J94" s="312"/>
      <c r="K94" s="644"/>
      <c r="L94" s="644"/>
      <c r="M94" s="644"/>
      <c r="N94" s="644"/>
      <c r="O94" s="644"/>
      <c r="P94" s="644"/>
      <c r="R94" s="144"/>
      <c r="S94" s="144"/>
      <c r="T94" s="144"/>
      <c r="U94" s="144"/>
      <c r="V94" s="144"/>
      <c r="W94" s="144"/>
      <c r="X94" s="144"/>
      <c r="Y94" s="144"/>
      <c r="AI94" s="311"/>
      <c r="AJ94" s="311"/>
      <c r="AK94" s="311"/>
      <c r="AL94" s="311"/>
      <c r="AM94" s="311"/>
    </row>
    <row r="95" spans="1:39" x14ac:dyDescent="0.25">
      <c r="A95" s="312"/>
      <c r="B95" s="324"/>
      <c r="C95" s="283"/>
      <c r="D95" s="310" t="s">
        <v>1045</v>
      </c>
      <c r="E95" s="205">
        <f>E94-$D$94</f>
        <v>-58.843853277152448</v>
      </c>
      <c r="F95" s="205">
        <f t="shared" ref="F95:I95" si="74">F94-$D$94</f>
        <v>-3.7134503374309134</v>
      </c>
      <c r="G95" s="205">
        <f t="shared" si="74"/>
        <v>23.169037791639312</v>
      </c>
      <c r="H95" s="205">
        <f t="shared" si="74"/>
        <v>50.305320171457879</v>
      </c>
      <c r="I95" s="205">
        <f t="shared" si="74"/>
        <v>77.697791756869719</v>
      </c>
      <c r="J95" s="312"/>
      <c r="K95" s="641"/>
      <c r="L95" s="644"/>
      <c r="M95" s="644"/>
      <c r="N95" s="644"/>
      <c r="O95" s="644"/>
      <c r="P95" s="644"/>
      <c r="R95" s="144"/>
      <c r="S95" s="144"/>
      <c r="T95" s="144"/>
      <c r="U95" s="144"/>
      <c r="V95" s="144"/>
      <c r="W95" s="144"/>
      <c r="X95" s="144"/>
      <c r="Y95" s="144"/>
      <c r="AI95" s="311"/>
      <c r="AJ95" s="311"/>
      <c r="AK95" s="311"/>
      <c r="AL95" s="311"/>
      <c r="AM95" s="311"/>
    </row>
    <row r="96" spans="1:39" x14ac:dyDescent="0.25">
      <c r="A96" s="312"/>
      <c r="B96" s="312"/>
      <c r="C96" s="312"/>
      <c r="D96" s="642"/>
      <c r="E96" s="643"/>
      <c r="F96" s="643"/>
      <c r="G96" s="643"/>
      <c r="H96" s="643"/>
      <c r="I96" s="643"/>
      <c r="J96" s="312"/>
      <c r="K96" s="641"/>
      <c r="L96" s="644"/>
      <c r="M96" s="644"/>
      <c r="N96" s="644"/>
      <c r="O96" s="644"/>
      <c r="P96" s="644"/>
      <c r="R96" s="144"/>
      <c r="S96" s="144"/>
      <c r="T96" s="144"/>
      <c r="U96" s="144"/>
      <c r="V96" s="144"/>
      <c r="W96" s="144"/>
      <c r="X96" s="144"/>
      <c r="Y96" s="144"/>
      <c r="AI96" s="311"/>
      <c r="AJ96" s="311"/>
      <c r="AK96" s="311"/>
      <c r="AL96" s="311"/>
      <c r="AM96" s="311"/>
    </row>
    <row r="97" spans="1:39" x14ac:dyDescent="0.25">
      <c r="A97" s="312"/>
      <c r="B97" s="414" t="s">
        <v>1021</v>
      </c>
      <c r="C97" s="320"/>
      <c r="D97" s="320"/>
      <c r="E97" s="321"/>
      <c r="F97" s="322"/>
      <c r="G97" s="323"/>
      <c r="H97" s="323"/>
      <c r="I97" s="640"/>
      <c r="J97" s="312"/>
      <c r="K97" s="641"/>
      <c r="L97" s="644"/>
      <c r="M97" s="644"/>
      <c r="N97" s="644"/>
      <c r="O97" s="644"/>
      <c r="P97" s="644"/>
      <c r="R97" s="144"/>
      <c r="S97" s="144"/>
      <c r="T97" s="144"/>
      <c r="U97" s="144"/>
      <c r="V97" s="144"/>
      <c r="W97" s="144"/>
      <c r="X97" s="144"/>
      <c r="Y97" s="144"/>
      <c r="AI97" s="311"/>
      <c r="AJ97" s="311"/>
      <c r="AK97" s="311"/>
      <c r="AL97" s="311"/>
      <c r="AM97" s="311"/>
    </row>
    <row r="98" spans="1:39" x14ac:dyDescent="0.25">
      <c r="A98" s="312"/>
      <c r="B98" s="414" t="s">
        <v>1043</v>
      </c>
      <c r="C98" s="415"/>
      <c r="D98" s="415"/>
      <c r="E98" s="415"/>
      <c r="F98" s="415"/>
      <c r="G98" s="415"/>
      <c r="H98" s="415"/>
      <c r="I98" s="237"/>
      <c r="J98" s="312"/>
      <c r="K98" s="641"/>
      <c r="L98" s="644"/>
      <c r="M98" s="644"/>
      <c r="N98" s="644"/>
      <c r="O98" s="644"/>
      <c r="P98" s="644"/>
      <c r="R98" s="144"/>
      <c r="S98" s="144"/>
      <c r="T98" s="144"/>
      <c r="U98" s="144"/>
      <c r="V98" s="144"/>
      <c r="W98" s="144"/>
      <c r="X98" s="144"/>
      <c r="Y98" s="144"/>
      <c r="AI98" s="311"/>
      <c r="AJ98" s="311"/>
      <c r="AK98" s="311"/>
      <c r="AL98" s="311"/>
      <c r="AM98" s="311"/>
    </row>
    <row r="99" spans="1:39" ht="45" x14ac:dyDescent="0.25">
      <c r="A99" s="312"/>
      <c r="B99" s="307" t="s">
        <v>902</v>
      </c>
      <c r="C99" s="181" t="s">
        <v>1046</v>
      </c>
      <c r="D99" s="444" t="s">
        <v>997</v>
      </c>
      <c r="E99" s="282" t="s">
        <v>703</v>
      </c>
      <c r="F99" s="282" t="s">
        <v>704</v>
      </c>
      <c r="G99" s="180" t="s">
        <v>998</v>
      </c>
      <c r="H99" s="180" t="s">
        <v>999</v>
      </c>
      <c r="I99" s="282" t="s">
        <v>1000</v>
      </c>
      <c r="J99" s="312"/>
      <c r="K99" s="444" t="s">
        <v>997</v>
      </c>
      <c r="L99" s="555" t="s">
        <v>703</v>
      </c>
      <c r="M99" s="555" t="s">
        <v>704</v>
      </c>
      <c r="N99" s="445" t="s">
        <v>998</v>
      </c>
      <c r="O99" s="445" t="s">
        <v>999</v>
      </c>
      <c r="P99" s="555" t="s">
        <v>1000</v>
      </c>
      <c r="R99" s="144"/>
      <c r="S99" s="144"/>
      <c r="T99" s="144"/>
      <c r="U99" s="144"/>
      <c r="V99" s="144"/>
      <c r="W99" s="144"/>
      <c r="X99" s="144"/>
      <c r="Y99" s="144"/>
      <c r="AI99" s="311"/>
      <c r="AJ99" s="311"/>
      <c r="AK99" s="311"/>
      <c r="AL99" s="311"/>
      <c r="AM99" s="311"/>
    </row>
    <row r="100" spans="1:39" x14ac:dyDescent="0.25">
      <c r="A100" s="312"/>
      <c r="B100" s="366" t="s">
        <v>1041</v>
      </c>
      <c r="C100" s="162">
        <f>'Inputs and eligible population'!H117/60</f>
        <v>0.5</v>
      </c>
      <c r="D100" s="139">
        <f>D93*$C100</f>
        <v>1424.9668242559846</v>
      </c>
      <c r="E100" s="139">
        <f t="shared" ref="E100:I100" si="75">E93*$C100</f>
        <v>1395.5448976174084</v>
      </c>
      <c r="F100" s="139">
        <f t="shared" si="75"/>
        <v>1423.1100990872692</v>
      </c>
      <c r="G100" s="139">
        <f t="shared" si="75"/>
        <v>1436.5513431518043</v>
      </c>
      <c r="H100" s="139">
        <f t="shared" si="75"/>
        <v>1450.1194843417136</v>
      </c>
      <c r="I100" s="139">
        <f t="shared" si="75"/>
        <v>1463.8157201344195</v>
      </c>
      <c r="J100" s="312"/>
      <c r="K100" s="316">
        <f>(D100*'Inputs and eligible population'!$K$117)/1000</f>
        <v>60.06235164238975</v>
      </c>
      <c r="L100" s="316">
        <f>(E100*'Inputs and eligible population'!$K$117)/1000</f>
        <v>58.822217434573766</v>
      </c>
      <c r="M100" s="316">
        <f>(F100*'Inputs and eligible population'!$K$117)/1000</f>
        <v>59.984090676528396</v>
      </c>
      <c r="N100" s="316">
        <f>(G100*'Inputs and eligible population'!$K$117)/1000</f>
        <v>60.550639113848547</v>
      </c>
      <c r="O100" s="316">
        <f>(H100*'Inputs and eligible population'!$K$117)/1000</f>
        <v>61.122536265003227</v>
      </c>
      <c r="P100" s="316">
        <f>(I100*'Inputs and eligible population'!$K$117)/1000</f>
        <v>61.699832603665783</v>
      </c>
      <c r="R100" s="144"/>
      <c r="S100" s="144"/>
      <c r="T100" s="144"/>
      <c r="U100" s="144"/>
      <c r="V100" s="144"/>
      <c r="W100" s="144"/>
      <c r="X100" s="144"/>
      <c r="Y100" s="144"/>
      <c r="AI100" s="311"/>
      <c r="AJ100" s="311"/>
      <c r="AK100" s="311"/>
      <c r="AL100" s="311"/>
      <c r="AM100" s="311"/>
    </row>
    <row r="101" spans="1:39" x14ac:dyDescent="0.25">
      <c r="A101" s="312"/>
      <c r="B101" s="308" t="s">
        <v>1038</v>
      </c>
      <c r="C101" s="338"/>
      <c r="D101" s="205">
        <f t="shared" ref="D101:I101" si="76">SUM(D100:D100)</f>
        <v>1424.9668242559846</v>
      </c>
      <c r="E101" s="205">
        <f t="shared" si="76"/>
        <v>1395.5448976174084</v>
      </c>
      <c r="F101" s="205">
        <f t="shared" si="76"/>
        <v>1423.1100990872692</v>
      </c>
      <c r="G101" s="205">
        <f t="shared" si="76"/>
        <v>1436.5513431518043</v>
      </c>
      <c r="H101" s="205">
        <f t="shared" si="76"/>
        <v>1450.1194843417136</v>
      </c>
      <c r="I101" s="205">
        <f t="shared" si="76"/>
        <v>1463.8157201344195</v>
      </c>
      <c r="J101" s="312"/>
      <c r="K101" s="317">
        <f t="shared" ref="K101:P101" si="77">SUM(K100:K100)</f>
        <v>60.06235164238975</v>
      </c>
      <c r="L101" s="317">
        <f t="shared" si="77"/>
        <v>58.822217434573766</v>
      </c>
      <c r="M101" s="317">
        <f t="shared" si="77"/>
        <v>59.984090676528396</v>
      </c>
      <c r="N101" s="317">
        <f t="shared" si="77"/>
        <v>60.550639113848547</v>
      </c>
      <c r="O101" s="317">
        <f t="shared" si="77"/>
        <v>61.122536265003227</v>
      </c>
      <c r="P101" s="317">
        <f t="shared" si="77"/>
        <v>61.699832603665783</v>
      </c>
      <c r="R101" s="144"/>
      <c r="S101" s="144"/>
      <c r="T101" s="144"/>
      <c r="U101" s="144"/>
      <c r="V101" s="144"/>
      <c r="W101" s="144"/>
      <c r="X101" s="144"/>
      <c r="Y101" s="144"/>
      <c r="AI101" s="311"/>
      <c r="AJ101" s="311"/>
      <c r="AK101" s="311"/>
      <c r="AL101" s="311"/>
      <c r="AM101" s="311"/>
    </row>
    <row r="102" spans="1:39" x14ac:dyDescent="0.25">
      <c r="A102" s="312"/>
      <c r="B102" s="324"/>
      <c r="C102" s="283"/>
      <c r="D102" s="310" t="s">
        <v>1047</v>
      </c>
      <c r="E102" s="205">
        <f>E101-$D$101</f>
        <v>-29.421926638576224</v>
      </c>
      <c r="F102" s="205">
        <f t="shared" ref="F102:I102" si="78">F101-$D$101</f>
        <v>-1.8567251687154567</v>
      </c>
      <c r="G102" s="205">
        <f t="shared" si="78"/>
        <v>11.584518895819656</v>
      </c>
      <c r="H102" s="205">
        <f t="shared" si="78"/>
        <v>25.15266008572894</v>
      </c>
      <c r="I102" s="205">
        <f t="shared" si="78"/>
        <v>38.84889587843486</v>
      </c>
      <c r="J102" s="312"/>
      <c r="K102" s="556"/>
      <c r="L102" s="317">
        <f>L101-$K$101</f>
        <v>-1.2401342078159843</v>
      </c>
      <c r="M102" s="317">
        <f t="shared" ref="M102:P102" si="79">M101-$K$101</f>
        <v>-7.8260965861353782E-2</v>
      </c>
      <c r="N102" s="317">
        <f t="shared" si="79"/>
        <v>0.48828747145879703</v>
      </c>
      <c r="O102" s="317">
        <f t="shared" si="79"/>
        <v>1.0601846226134768</v>
      </c>
      <c r="P102" s="317">
        <f t="shared" si="79"/>
        <v>1.637480961276033</v>
      </c>
      <c r="R102" s="144"/>
      <c r="S102" s="144"/>
      <c r="T102" s="144"/>
      <c r="U102" s="144"/>
      <c r="V102" s="144"/>
      <c r="W102" s="144"/>
      <c r="X102" s="144"/>
      <c r="Y102" s="144"/>
      <c r="AI102" s="311"/>
      <c r="AJ102" s="311"/>
      <c r="AK102" s="311"/>
      <c r="AL102" s="311"/>
      <c r="AM102" s="311"/>
    </row>
    <row r="103" spans="1:39" x14ac:dyDescent="0.25">
      <c r="A103" s="312"/>
      <c r="B103" s="339"/>
      <c r="C103" s="238"/>
      <c r="D103" s="238"/>
      <c r="E103" s="238"/>
      <c r="F103" s="238"/>
      <c r="G103" s="238"/>
      <c r="H103" s="238"/>
      <c r="I103" s="238"/>
      <c r="J103" s="238"/>
      <c r="K103" s="238"/>
      <c r="L103" s="238"/>
      <c r="M103" s="238"/>
      <c r="N103" s="238"/>
      <c r="O103" s="238"/>
      <c r="P103" s="238"/>
      <c r="R103" s="144"/>
      <c r="S103" s="144"/>
      <c r="T103" s="144"/>
      <c r="U103" s="144"/>
      <c r="V103" s="144"/>
      <c r="W103" s="144"/>
      <c r="X103" s="144"/>
      <c r="Y103" s="144"/>
      <c r="AI103" s="311"/>
      <c r="AJ103" s="311"/>
      <c r="AK103" s="311"/>
      <c r="AL103" s="311"/>
      <c r="AM103" s="311"/>
    </row>
    <row r="104" spans="1:39" x14ac:dyDescent="0.25">
      <c r="A104" s="314"/>
      <c r="B104" s="342" t="s">
        <v>1048</v>
      </c>
      <c r="C104" s="329"/>
      <c r="D104" s="328"/>
      <c r="E104" s="329"/>
      <c r="F104" s="330"/>
      <c r="G104" s="331"/>
      <c r="H104" s="331"/>
      <c r="I104" s="389"/>
      <c r="J104" s="314"/>
      <c r="K104" s="314"/>
      <c r="L104" s="314"/>
      <c r="M104" s="314"/>
      <c r="N104" s="314"/>
      <c r="O104" s="314"/>
      <c r="P104" s="314"/>
      <c r="Q104" s="144"/>
      <c r="R104" s="144"/>
      <c r="S104" s="144"/>
      <c r="T104" s="144"/>
      <c r="U104" s="144"/>
      <c r="V104" s="144"/>
      <c r="W104" s="144"/>
      <c r="X104" s="144"/>
      <c r="Y104" s="144"/>
      <c r="AI104" s="311"/>
      <c r="AJ104" s="311"/>
      <c r="AK104" s="311"/>
      <c r="AL104" s="311"/>
      <c r="AM104" s="311"/>
    </row>
    <row r="105" spans="1:39" x14ac:dyDescent="0.25">
      <c r="A105" s="314"/>
      <c r="B105" s="416" t="s">
        <v>1049</v>
      </c>
      <c r="C105" s="417"/>
      <c r="D105" s="417"/>
      <c r="E105" s="417"/>
      <c r="F105" s="417"/>
      <c r="G105" s="417"/>
      <c r="H105" s="417"/>
      <c r="I105" s="241"/>
      <c r="J105" s="314"/>
      <c r="K105" s="314"/>
      <c r="L105" s="314"/>
      <c r="M105" s="314"/>
      <c r="N105" s="314"/>
      <c r="O105" s="314"/>
      <c r="P105" s="314"/>
      <c r="Q105" s="144"/>
      <c r="R105" s="144"/>
      <c r="S105" s="144"/>
      <c r="T105" s="144"/>
      <c r="U105" s="144"/>
      <c r="V105" s="144"/>
      <c r="W105" s="144"/>
      <c r="X105" s="144"/>
      <c r="Y105" s="144"/>
      <c r="AI105" s="311"/>
      <c r="AJ105" s="311"/>
      <c r="AK105" s="311"/>
      <c r="AL105" s="311"/>
      <c r="AM105" s="311"/>
    </row>
    <row r="106" spans="1:39" ht="75" x14ac:dyDescent="0.25">
      <c r="A106" s="314"/>
      <c r="B106" s="305" t="s">
        <v>902</v>
      </c>
      <c r="C106" s="181" t="s">
        <v>1050</v>
      </c>
      <c r="D106" s="444" t="s">
        <v>997</v>
      </c>
      <c r="E106" s="282" t="s">
        <v>703</v>
      </c>
      <c r="F106" s="282" t="s">
        <v>704</v>
      </c>
      <c r="G106" s="180" t="s">
        <v>998</v>
      </c>
      <c r="H106" s="180" t="s">
        <v>999</v>
      </c>
      <c r="I106" s="282" t="s">
        <v>1000</v>
      </c>
      <c r="J106" s="314"/>
      <c r="K106" s="314"/>
      <c r="L106" s="314"/>
      <c r="M106" s="314"/>
      <c r="N106" s="314"/>
      <c r="O106" s="314"/>
      <c r="P106" s="314"/>
      <c r="Q106" s="144"/>
      <c r="R106" s="144"/>
      <c r="S106" s="144"/>
      <c r="T106" s="144"/>
      <c r="U106" s="144"/>
      <c r="V106" s="144"/>
      <c r="W106" s="144"/>
      <c r="X106" s="144"/>
      <c r="Y106" s="144"/>
      <c r="AI106" s="311"/>
      <c r="AJ106" s="311"/>
      <c r="AK106" s="311"/>
      <c r="AL106" s="311"/>
      <c r="AM106" s="311"/>
    </row>
    <row r="107" spans="1:39" x14ac:dyDescent="0.25">
      <c r="A107" s="314"/>
      <c r="B107" s="366" t="s">
        <v>1051</v>
      </c>
      <c r="C107" s="162">
        <f>'Inputs and eligible population'!G118</f>
        <v>4</v>
      </c>
      <c r="D107" s="139">
        <f>'Financial impact (cash)'!D13*'Capacity (local prices)'!$C$107</f>
        <v>0</v>
      </c>
      <c r="E107" s="139">
        <f>'Financial impact (cash)'!E13*'Capacity (local prices)'!$C$107</f>
        <v>57.548243200717877</v>
      </c>
      <c r="F107" s="139">
        <f>'Financial impact (cash)'!F13*'Capacity (local prices)'!$C$107</f>
        <v>39.290277268526381</v>
      </c>
      <c r="G107" s="139">
        <f>'Financial impact (cash)'!G13*'Capacity (local prices)'!$C$107</f>
        <v>40.042585904936374</v>
      </c>
      <c r="H107" s="139">
        <f>'Financial impact (cash)'!H13*'Capacity (local prices)'!$C$107</f>
        <v>40.80574917233514</v>
      </c>
      <c r="I107" s="139">
        <f>'Financial impact (cash)'!I13*'Capacity (local prices)'!$C$107</f>
        <v>41.579906449287364</v>
      </c>
      <c r="J107" s="314"/>
      <c r="K107" s="314"/>
      <c r="L107" s="314"/>
      <c r="M107" s="314"/>
      <c r="N107" s="314"/>
      <c r="O107" s="314"/>
      <c r="P107" s="314"/>
      <c r="Q107" s="144"/>
      <c r="R107" s="144"/>
      <c r="S107" s="144"/>
      <c r="T107" s="144"/>
      <c r="U107" s="144"/>
      <c r="V107" s="144"/>
      <c r="W107" s="144"/>
      <c r="X107" s="144"/>
      <c r="Y107" s="144"/>
      <c r="AI107" s="311"/>
      <c r="AJ107" s="311"/>
      <c r="AK107" s="311"/>
      <c r="AL107" s="311"/>
      <c r="AM107" s="311"/>
    </row>
    <row r="108" spans="1:39" x14ac:dyDescent="0.25">
      <c r="A108" s="314"/>
      <c r="B108" s="308"/>
      <c r="C108" s="229"/>
      <c r="D108" s="205">
        <f t="shared" ref="D108:I108" si="80">SUM(D107:D107)</f>
        <v>0</v>
      </c>
      <c r="E108" s="205">
        <f t="shared" si="80"/>
        <v>57.548243200717877</v>
      </c>
      <c r="F108" s="205">
        <f t="shared" si="80"/>
        <v>39.290277268526381</v>
      </c>
      <c r="G108" s="205">
        <f t="shared" si="80"/>
        <v>40.042585904936374</v>
      </c>
      <c r="H108" s="205">
        <f t="shared" si="80"/>
        <v>40.80574917233514</v>
      </c>
      <c r="I108" s="205">
        <f t="shared" si="80"/>
        <v>41.579906449287364</v>
      </c>
      <c r="J108" s="314"/>
      <c r="K108" s="314"/>
      <c r="L108" s="314"/>
      <c r="M108" s="314"/>
      <c r="N108" s="314"/>
      <c r="O108" s="314"/>
      <c r="P108" s="314"/>
      <c r="Q108" s="144"/>
      <c r="R108" s="144"/>
      <c r="S108" s="144"/>
      <c r="T108" s="144"/>
      <c r="U108" s="144"/>
      <c r="V108" s="144"/>
      <c r="W108" s="144"/>
      <c r="X108" s="144"/>
      <c r="Y108" s="144"/>
      <c r="AI108" s="311"/>
      <c r="AJ108" s="311"/>
      <c r="AK108" s="311"/>
      <c r="AL108" s="311"/>
      <c r="AM108" s="311"/>
    </row>
    <row r="109" spans="1:39" x14ac:dyDescent="0.25">
      <c r="A109" s="314"/>
      <c r="B109" s="324"/>
      <c r="C109" s="245"/>
      <c r="D109" s="310" t="s">
        <v>979</v>
      </c>
      <c r="E109" s="205">
        <f>E108-$D$108</f>
        <v>57.548243200717877</v>
      </c>
      <c r="F109" s="205">
        <f>F108-$D$108</f>
        <v>39.290277268526381</v>
      </c>
      <c r="G109" s="205">
        <f>G108-$D$108</f>
        <v>40.042585904936374</v>
      </c>
      <c r="H109" s="205">
        <f>H108-$D$108</f>
        <v>40.80574917233514</v>
      </c>
      <c r="I109" s="205">
        <f>I108-$D$108</f>
        <v>41.579906449287364</v>
      </c>
      <c r="J109" s="314"/>
      <c r="K109" s="314"/>
      <c r="L109" s="314"/>
      <c r="M109" s="314"/>
      <c r="N109" s="314"/>
      <c r="O109" s="314"/>
      <c r="P109" s="314"/>
      <c r="Q109" s="144"/>
      <c r="R109" s="144"/>
      <c r="S109" s="144"/>
      <c r="T109" s="144"/>
      <c r="U109" s="144"/>
      <c r="V109" s="144"/>
      <c r="W109" s="144"/>
      <c r="X109" s="144"/>
      <c r="Y109" s="144"/>
      <c r="AI109" s="311"/>
      <c r="AJ109" s="311"/>
      <c r="AK109" s="311"/>
      <c r="AL109" s="311"/>
      <c r="AM109" s="311"/>
    </row>
    <row r="110" spans="1:39" x14ac:dyDescent="0.25">
      <c r="A110" s="314"/>
      <c r="B110" s="343"/>
      <c r="C110" s="417"/>
      <c r="D110" s="242"/>
      <c r="E110" s="242"/>
      <c r="F110" s="242"/>
      <c r="G110" s="242"/>
      <c r="H110" s="331"/>
      <c r="I110" s="331"/>
      <c r="J110" s="314"/>
      <c r="K110" s="314"/>
      <c r="L110" s="314"/>
      <c r="M110" s="314"/>
      <c r="N110" s="314"/>
      <c r="O110" s="314"/>
      <c r="P110" s="314"/>
      <c r="Q110" s="144"/>
      <c r="R110" s="144"/>
      <c r="S110" s="144"/>
      <c r="T110" s="144"/>
      <c r="U110" s="144"/>
      <c r="V110" s="144"/>
      <c r="W110" s="144"/>
      <c r="X110" s="144"/>
      <c r="Y110" s="144"/>
      <c r="AI110" s="311"/>
      <c r="AJ110" s="311"/>
      <c r="AK110" s="311"/>
      <c r="AL110" s="311"/>
      <c r="AM110" s="311"/>
    </row>
    <row r="111" spans="1:39" x14ac:dyDescent="0.25">
      <c r="A111" s="314"/>
      <c r="B111" s="416" t="s">
        <v>1052</v>
      </c>
      <c r="C111" s="417"/>
      <c r="D111" s="417"/>
      <c r="E111" s="417"/>
      <c r="F111" s="417"/>
      <c r="G111" s="417"/>
      <c r="H111" s="417"/>
      <c r="I111" s="241"/>
      <c r="J111" s="314"/>
      <c r="K111" s="314"/>
      <c r="L111" s="314"/>
      <c r="M111" s="314"/>
      <c r="N111" s="314"/>
      <c r="O111" s="314"/>
      <c r="P111" s="314"/>
      <c r="Q111" s="144"/>
      <c r="R111" s="144"/>
      <c r="S111" s="144"/>
      <c r="T111" s="144"/>
      <c r="U111" s="144"/>
      <c r="V111" s="144"/>
      <c r="W111" s="144"/>
      <c r="X111" s="144"/>
      <c r="Y111" s="144"/>
      <c r="AI111" s="311"/>
      <c r="AJ111" s="311"/>
      <c r="AK111" s="311"/>
      <c r="AL111" s="311"/>
      <c r="AM111" s="311"/>
    </row>
    <row r="112" spans="1:39" ht="75" x14ac:dyDescent="0.25">
      <c r="A112" s="314"/>
      <c r="B112" s="305" t="s">
        <v>902</v>
      </c>
      <c r="C112" s="181" t="s">
        <v>1053</v>
      </c>
      <c r="D112" s="444" t="s">
        <v>997</v>
      </c>
      <c r="E112" s="282" t="s">
        <v>703</v>
      </c>
      <c r="F112" s="282" t="s">
        <v>704</v>
      </c>
      <c r="G112" s="180" t="s">
        <v>998</v>
      </c>
      <c r="H112" s="180" t="s">
        <v>999</v>
      </c>
      <c r="I112" s="282" t="s">
        <v>1000</v>
      </c>
      <c r="J112" s="314"/>
      <c r="K112" s="314"/>
      <c r="L112" s="314"/>
      <c r="M112" s="314"/>
      <c r="N112" s="314"/>
      <c r="O112" s="314"/>
      <c r="P112" s="314"/>
      <c r="Q112" s="144"/>
      <c r="R112" s="144"/>
      <c r="S112" s="144"/>
      <c r="T112" s="144"/>
      <c r="U112" s="144"/>
      <c r="V112" s="144"/>
      <c r="W112" s="144"/>
      <c r="X112" s="144"/>
      <c r="Y112" s="144"/>
      <c r="AI112" s="311"/>
      <c r="AJ112" s="311"/>
      <c r="AK112" s="311"/>
      <c r="AL112" s="311"/>
      <c r="AM112" s="311"/>
    </row>
    <row r="113" spans="1:39" x14ac:dyDescent="0.25">
      <c r="A113" s="314"/>
      <c r="B113" s="366" t="s">
        <v>1051</v>
      </c>
      <c r="C113" s="162">
        <f>'Inputs and eligible population'!G119</f>
        <v>0</v>
      </c>
      <c r="D113" s="139">
        <f>'Financial impact (cash)'!D13*'Capacity (local prices)'!$C$113</f>
        <v>0</v>
      </c>
      <c r="E113" s="139">
        <f>'Financial impact (cash)'!E13*'Capacity (local prices)'!$C$113</f>
        <v>0</v>
      </c>
      <c r="F113" s="139">
        <f>'Financial impact (cash)'!F13*'Capacity (local prices)'!$C$113</f>
        <v>0</v>
      </c>
      <c r="G113" s="139">
        <f>'Financial impact (cash)'!G13*'Capacity (local prices)'!$C$113</f>
        <v>0</v>
      </c>
      <c r="H113" s="139">
        <f>'Financial impact (cash)'!H13*'Capacity (local prices)'!$C$113</f>
        <v>0</v>
      </c>
      <c r="I113" s="139">
        <f>'Financial impact (cash)'!I13*'Capacity (local prices)'!$C$113</f>
        <v>0</v>
      </c>
      <c r="J113" s="314"/>
      <c r="K113" s="242"/>
      <c r="L113" s="242"/>
      <c r="M113" s="314"/>
      <c r="N113" s="242"/>
      <c r="O113" s="242"/>
      <c r="P113" s="242"/>
      <c r="Q113" s="144"/>
      <c r="R113" s="144"/>
      <c r="S113" s="144"/>
      <c r="T113" s="144"/>
      <c r="U113" s="144"/>
      <c r="V113" s="144"/>
      <c r="W113" s="144"/>
      <c r="X113" s="144"/>
      <c r="Y113" s="144"/>
      <c r="AI113" s="311"/>
      <c r="AJ113" s="311"/>
      <c r="AK113" s="311"/>
      <c r="AL113" s="311"/>
      <c r="AM113" s="311"/>
    </row>
    <row r="114" spans="1:39" x14ac:dyDescent="0.25">
      <c r="A114" s="314"/>
      <c r="B114" s="308"/>
      <c r="C114" s="229"/>
      <c r="D114" s="205">
        <f t="shared" ref="D114:I114" si="81">SUM(D113:D113)</f>
        <v>0</v>
      </c>
      <c r="E114" s="205">
        <f t="shared" si="81"/>
        <v>0</v>
      </c>
      <c r="F114" s="205">
        <f t="shared" si="81"/>
        <v>0</v>
      </c>
      <c r="G114" s="205">
        <f t="shared" si="81"/>
        <v>0</v>
      </c>
      <c r="H114" s="205">
        <f t="shared" si="81"/>
        <v>0</v>
      </c>
      <c r="I114" s="205">
        <f t="shared" si="81"/>
        <v>0</v>
      </c>
      <c r="J114" s="314"/>
      <c r="K114" s="242"/>
      <c r="L114" s="242"/>
      <c r="M114" s="314"/>
      <c r="N114" s="242"/>
      <c r="O114" s="242"/>
      <c r="P114" s="242"/>
      <c r="U114" s="144"/>
    </row>
    <row r="115" spans="1:39" x14ac:dyDescent="0.25">
      <c r="A115" s="314"/>
      <c r="B115" s="324"/>
      <c r="C115" s="245"/>
      <c r="D115" s="310" t="s">
        <v>980</v>
      </c>
      <c r="E115" s="205">
        <f>E114-$D$114</f>
        <v>0</v>
      </c>
      <c r="F115" s="205">
        <f>F114-$D$114</f>
        <v>0</v>
      </c>
      <c r="G115" s="205">
        <f>G114-$D$114</f>
        <v>0</v>
      </c>
      <c r="H115" s="205">
        <f>H114-$D$114</f>
        <v>0</v>
      </c>
      <c r="I115" s="205">
        <f>I114-$D$114</f>
        <v>0</v>
      </c>
      <c r="J115" s="314"/>
      <c r="K115" s="242"/>
      <c r="L115" s="242"/>
      <c r="M115" s="314"/>
      <c r="N115" s="242"/>
      <c r="O115" s="242"/>
      <c r="P115" s="242"/>
      <c r="U115" s="144"/>
    </row>
    <row r="116" spans="1:39" x14ac:dyDescent="0.25">
      <c r="A116" s="314"/>
      <c r="B116" s="343"/>
      <c r="C116" s="417"/>
      <c r="D116" s="242"/>
      <c r="E116" s="242"/>
      <c r="F116" s="242"/>
      <c r="G116" s="242"/>
      <c r="H116" s="331"/>
      <c r="I116" s="331"/>
      <c r="J116" s="314"/>
      <c r="K116" s="242"/>
      <c r="L116" s="242"/>
      <c r="M116" s="314"/>
      <c r="N116" s="242"/>
      <c r="O116" s="242"/>
      <c r="P116" s="242"/>
      <c r="U116" s="144"/>
    </row>
    <row r="117" spans="1:39" x14ac:dyDescent="0.25">
      <c r="A117" s="314"/>
      <c r="B117" s="416" t="s">
        <v>1054</v>
      </c>
      <c r="C117" s="417"/>
      <c r="D117" s="417"/>
      <c r="E117" s="417"/>
      <c r="F117" s="417"/>
      <c r="G117" s="417"/>
      <c r="H117" s="417"/>
      <c r="I117" s="241"/>
      <c r="J117" s="314"/>
      <c r="K117" s="314"/>
      <c r="L117" s="314"/>
      <c r="M117" s="314"/>
      <c r="N117" s="314"/>
      <c r="O117" s="314"/>
      <c r="P117" s="314"/>
      <c r="U117" s="144"/>
    </row>
    <row r="118" spans="1:39" ht="75" x14ac:dyDescent="0.25">
      <c r="A118" s="314"/>
      <c r="B118" s="305" t="s">
        <v>902</v>
      </c>
      <c r="C118" s="181" t="s">
        <v>1055</v>
      </c>
      <c r="D118" s="444" t="s">
        <v>997</v>
      </c>
      <c r="E118" s="282" t="s">
        <v>703</v>
      </c>
      <c r="F118" s="282" t="s">
        <v>704</v>
      </c>
      <c r="G118" s="180" t="s">
        <v>998</v>
      </c>
      <c r="H118" s="180" t="s">
        <v>999</v>
      </c>
      <c r="I118" s="282" t="s">
        <v>1000</v>
      </c>
      <c r="J118" s="314"/>
      <c r="K118" s="444" t="s">
        <v>997</v>
      </c>
      <c r="L118" s="282" t="s">
        <v>703</v>
      </c>
      <c r="M118" s="282" t="s">
        <v>704</v>
      </c>
      <c r="N118" s="180" t="s">
        <v>998</v>
      </c>
      <c r="O118" s="180" t="s">
        <v>999</v>
      </c>
      <c r="P118" s="282" t="s">
        <v>1000</v>
      </c>
      <c r="U118" s="144"/>
    </row>
    <row r="119" spans="1:39" x14ac:dyDescent="0.25">
      <c r="A119" s="314"/>
      <c r="B119" s="366" t="s">
        <v>1051</v>
      </c>
      <c r="C119" s="162">
        <f>'Inputs and eligible population'!G120</f>
        <v>40</v>
      </c>
      <c r="D119" s="139">
        <f>'Financial impact (cash)'!D13*'Capacity (local prices)'!$C$119/60</f>
        <v>0</v>
      </c>
      <c r="E119" s="139">
        <f>'Financial impact (cash)'!E13*'Capacity (local prices)'!$C$119/60</f>
        <v>9.5913738667863129</v>
      </c>
      <c r="F119" s="139">
        <f>'Financial impact (cash)'!F13*'Capacity (local prices)'!$C$119/60</f>
        <v>6.5483795447543969</v>
      </c>
      <c r="G119" s="139">
        <f>'Financial impact (cash)'!G13*'Capacity (local prices)'!$C$119/60</f>
        <v>6.6737643174893959</v>
      </c>
      <c r="H119" s="139">
        <f>'Financial impact (cash)'!H13*'Capacity (local prices)'!$C$119/60</f>
        <v>6.8009581953891898</v>
      </c>
      <c r="I119" s="139">
        <f>'Financial impact (cash)'!I13*'Capacity (local prices)'!$C$119/60</f>
        <v>6.929984408214561</v>
      </c>
      <c r="J119" s="314"/>
      <c r="K119" s="316">
        <f>(D119*'Inputs and eligible population'!$K$120)/1000</f>
        <v>0</v>
      </c>
      <c r="L119" s="316">
        <f>(E119*'Inputs and eligible population'!$K$120)/1000</f>
        <v>0.40427640848504309</v>
      </c>
      <c r="M119" s="316">
        <f>(F119*'Inputs and eligible population'!$K$120)/1000</f>
        <v>0.2760141978113978</v>
      </c>
      <c r="N119" s="316">
        <f>(G119*'Inputs and eligible population'!$K$120)/1000</f>
        <v>0.28129916598217802</v>
      </c>
      <c r="O119" s="316">
        <f>(H119*'Inputs and eligible population'!$K$120)/1000</f>
        <v>0.28666038793565435</v>
      </c>
      <c r="P119" s="316">
        <f>(I119*'Inputs and eligible population'!$K$120)/1000</f>
        <v>0.29209884280624376</v>
      </c>
      <c r="U119" s="144"/>
    </row>
    <row r="120" spans="1:39" x14ac:dyDescent="0.25">
      <c r="A120" s="314"/>
      <c r="B120" s="308"/>
      <c r="C120" s="229"/>
      <c r="D120" s="205">
        <f t="shared" ref="D120:I120" si="82">SUM(D119:D119)</f>
        <v>0</v>
      </c>
      <c r="E120" s="205">
        <f t="shared" si="82"/>
        <v>9.5913738667863129</v>
      </c>
      <c r="F120" s="205">
        <f t="shared" si="82"/>
        <v>6.5483795447543969</v>
      </c>
      <c r="G120" s="205">
        <f t="shared" si="82"/>
        <v>6.6737643174893959</v>
      </c>
      <c r="H120" s="205">
        <f t="shared" si="82"/>
        <v>6.8009581953891898</v>
      </c>
      <c r="I120" s="205">
        <f t="shared" si="82"/>
        <v>6.929984408214561</v>
      </c>
      <c r="J120" s="314"/>
      <c r="K120" s="317">
        <f t="shared" ref="K120:P120" si="83">SUM(K119:K119)</f>
        <v>0</v>
      </c>
      <c r="L120" s="317">
        <f t="shared" si="83"/>
        <v>0.40427640848504309</v>
      </c>
      <c r="M120" s="317">
        <f t="shared" si="83"/>
        <v>0.2760141978113978</v>
      </c>
      <c r="N120" s="317">
        <f t="shared" si="83"/>
        <v>0.28129916598217802</v>
      </c>
      <c r="O120" s="317">
        <f t="shared" si="83"/>
        <v>0.28666038793565435</v>
      </c>
      <c r="P120" s="317">
        <f t="shared" si="83"/>
        <v>0.29209884280624376</v>
      </c>
      <c r="U120" s="144"/>
    </row>
    <row r="121" spans="1:39" x14ac:dyDescent="0.25">
      <c r="A121" s="314"/>
      <c r="B121" s="324"/>
      <c r="C121" s="245"/>
      <c r="D121" s="310" t="s">
        <v>981</v>
      </c>
      <c r="E121" s="205">
        <f>E120-$D$120</f>
        <v>9.5913738667863129</v>
      </c>
      <c r="F121" s="205">
        <f>F120-$D$120</f>
        <v>6.5483795447543969</v>
      </c>
      <c r="G121" s="205">
        <f>G120-$D$120</f>
        <v>6.6737643174893959</v>
      </c>
      <c r="H121" s="205">
        <f>H120-$D$120</f>
        <v>6.8009581953891898</v>
      </c>
      <c r="I121" s="205">
        <f>I120-$D$120</f>
        <v>6.929984408214561</v>
      </c>
      <c r="J121" s="314"/>
      <c r="K121" s="557"/>
      <c r="L121" s="317">
        <f>L120-$K$120</f>
        <v>0.40427640848504309</v>
      </c>
      <c r="M121" s="317">
        <f t="shared" ref="M121:P121" si="84">M120-$K$120</f>
        <v>0.2760141978113978</v>
      </c>
      <c r="N121" s="317">
        <f t="shared" si="84"/>
        <v>0.28129916598217802</v>
      </c>
      <c r="O121" s="317">
        <f t="shared" si="84"/>
        <v>0.28666038793565435</v>
      </c>
      <c r="P121" s="317">
        <f t="shared" si="84"/>
        <v>0.29209884280624376</v>
      </c>
      <c r="U121" s="144"/>
    </row>
    <row r="122" spans="1:39" x14ac:dyDescent="0.25">
      <c r="A122" s="314"/>
      <c r="B122" s="343"/>
      <c r="C122" s="417"/>
      <c r="D122" s="242"/>
      <c r="E122" s="242"/>
      <c r="F122" s="242"/>
      <c r="G122" s="242"/>
      <c r="H122" s="331"/>
      <c r="I122" s="331"/>
      <c r="J122" s="314"/>
      <c r="K122" s="242"/>
      <c r="L122" s="242"/>
      <c r="M122" s="314"/>
      <c r="N122" s="242"/>
      <c r="O122" s="242"/>
      <c r="P122" s="242"/>
      <c r="U122" s="144"/>
    </row>
    <row r="123" spans="1:39" x14ac:dyDescent="0.25">
      <c r="A123" s="314"/>
      <c r="B123" s="416" t="s">
        <v>1056</v>
      </c>
      <c r="C123" s="417"/>
      <c r="D123" s="417"/>
      <c r="E123" s="417"/>
      <c r="F123" s="417"/>
      <c r="G123" s="417"/>
      <c r="H123" s="417"/>
      <c r="I123" s="241"/>
      <c r="J123" s="314"/>
      <c r="K123" s="314"/>
      <c r="L123" s="314"/>
      <c r="M123" s="314"/>
      <c r="N123" s="314"/>
      <c r="O123" s="314"/>
      <c r="P123" s="314"/>
      <c r="U123" s="144"/>
    </row>
    <row r="124" spans="1:39" ht="75" x14ac:dyDescent="0.25">
      <c r="A124" s="314"/>
      <c r="B124" s="305" t="s">
        <v>902</v>
      </c>
      <c r="C124" s="181" t="s">
        <v>1057</v>
      </c>
      <c r="D124" s="444" t="s">
        <v>997</v>
      </c>
      <c r="E124" s="282" t="s">
        <v>703</v>
      </c>
      <c r="F124" s="282" t="s">
        <v>704</v>
      </c>
      <c r="G124" s="180" t="s">
        <v>998</v>
      </c>
      <c r="H124" s="180" t="s">
        <v>999</v>
      </c>
      <c r="I124" s="282" t="s">
        <v>1000</v>
      </c>
      <c r="J124" s="314"/>
      <c r="K124" s="444" t="s">
        <v>997</v>
      </c>
      <c r="L124" s="282" t="s">
        <v>703</v>
      </c>
      <c r="M124" s="282" t="s">
        <v>704</v>
      </c>
      <c r="N124" s="180" t="s">
        <v>998</v>
      </c>
      <c r="O124" s="180" t="s">
        <v>999</v>
      </c>
      <c r="P124" s="282" t="s">
        <v>1000</v>
      </c>
      <c r="U124" s="144"/>
    </row>
    <row r="125" spans="1:39" x14ac:dyDescent="0.25">
      <c r="A125" s="314"/>
      <c r="B125" s="366" t="s">
        <v>1051</v>
      </c>
      <c r="C125" s="162">
        <f>'Inputs and eligible population'!G121</f>
        <v>0</v>
      </c>
      <c r="D125" s="139">
        <f>'Financial impact (cash)'!D13*'Capacity (local prices)'!$C$125/60</f>
        <v>0</v>
      </c>
      <c r="E125" s="139">
        <f>'Financial impact (cash)'!E13*'Capacity (local prices)'!$C$125/60</f>
        <v>0</v>
      </c>
      <c r="F125" s="139">
        <f>'Financial impact (cash)'!F13*'Capacity (local prices)'!$C$125/60</f>
        <v>0</v>
      </c>
      <c r="G125" s="139">
        <f>'Financial impact (cash)'!G13*'Capacity (local prices)'!$C$125/60</f>
        <v>0</v>
      </c>
      <c r="H125" s="139">
        <f>'Financial impact (cash)'!H13*'Capacity (local prices)'!$C$125/60</f>
        <v>0</v>
      </c>
      <c r="I125" s="139">
        <f>'Financial impact (cash)'!I13*'Capacity (local prices)'!$C$125/60</f>
        <v>0</v>
      </c>
      <c r="J125" s="314"/>
      <c r="K125" s="316">
        <f>(D125*'Inputs and eligible population'!$K$121)/1000</f>
        <v>0</v>
      </c>
      <c r="L125" s="316">
        <f>(E125*'Inputs and eligible population'!$K$121)/1000</f>
        <v>0</v>
      </c>
      <c r="M125" s="316">
        <f>(F125*'Inputs and eligible population'!$K$121)/1000</f>
        <v>0</v>
      </c>
      <c r="N125" s="316">
        <f>(G125*'Inputs and eligible population'!$K$121)/1000</f>
        <v>0</v>
      </c>
      <c r="O125" s="316">
        <f>(H125*'Inputs and eligible population'!$K$121)/1000</f>
        <v>0</v>
      </c>
      <c r="P125" s="316">
        <f>(I125*'Inputs and eligible population'!$K$121)/1000</f>
        <v>0</v>
      </c>
      <c r="U125" s="144"/>
    </row>
    <row r="126" spans="1:39" x14ac:dyDescent="0.25">
      <c r="A126" s="314"/>
      <c r="B126" s="308"/>
      <c r="C126" s="229"/>
      <c r="D126" s="205">
        <f t="shared" ref="D126:I126" si="85">SUM(D125:D125)</f>
        <v>0</v>
      </c>
      <c r="E126" s="205">
        <f t="shared" si="85"/>
        <v>0</v>
      </c>
      <c r="F126" s="205">
        <f t="shared" si="85"/>
        <v>0</v>
      </c>
      <c r="G126" s="205">
        <f t="shared" si="85"/>
        <v>0</v>
      </c>
      <c r="H126" s="205">
        <f t="shared" si="85"/>
        <v>0</v>
      </c>
      <c r="I126" s="205">
        <f t="shared" si="85"/>
        <v>0</v>
      </c>
      <c r="J126" s="314"/>
      <c r="K126" s="317">
        <f t="shared" ref="K126:P126" si="86">SUM(K125:K125)</f>
        <v>0</v>
      </c>
      <c r="L126" s="317">
        <f t="shared" si="86"/>
        <v>0</v>
      </c>
      <c r="M126" s="317">
        <f t="shared" si="86"/>
        <v>0</v>
      </c>
      <c r="N126" s="317">
        <f t="shared" si="86"/>
        <v>0</v>
      </c>
      <c r="O126" s="317">
        <f t="shared" si="86"/>
        <v>0</v>
      </c>
      <c r="P126" s="317">
        <f t="shared" si="86"/>
        <v>0</v>
      </c>
      <c r="U126" s="144"/>
    </row>
    <row r="127" spans="1:39" x14ac:dyDescent="0.25">
      <c r="A127" s="314"/>
      <c r="B127" s="324"/>
      <c r="C127" s="283"/>
      <c r="D127" s="310" t="s">
        <v>982</v>
      </c>
      <c r="E127" s="205">
        <f>E126-$D$126</f>
        <v>0</v>
      </c>
      <c r="F127" s="205">
        <f>F126-$D$126</f>
        <v>0</v>
      </c>
      <c r="G127" s="205">
        <f>G126-$D$126</f>
        <v>0</v>
      </c>
      <c r="H127" s="205">
        <f>H126-$D$126</f>
        <v>0</v>
      </c>
      <c r="I127" s="205">
        <f>I126-$D$126</f>
        <v>0</v>
      </c>
      <c r="J127" s="314"/>
      <c r="K127" s="557"/>
      <c r="L127" s="317">
        <f>L126-$K$126</f>
        <v>0</v>
      </c>
      <c r="M127" s="317">
        <f t="shared" ref="M127:P127" si="87">M126-$K$126</f>
        <v>0</v>
      </c>
      <c r="N127" s="317">
        <f t="shared" si="87"/>
        <v>0</v>
      </c>
      <c r="O127" s="317">
        <f t="shared" si="87"/>
        <v>0</v>
      </c>
      <c r="P127" s="317">
        <f t="shared" si="87"/>
        <v>0</v>
      </c>
      <c r="U127" s="144"/>
    </row>
    <row r="128" spans="1:39" x14ac:dyDescent="0.25">
      <c r="A128" s="314"/>
      <c r="B128" s="343"/>
      <c r="C128" s="634"/>
      <c r="D128" s="242"/>
      <c r="E128" s="242"/>
      <c r="F128" s="242"/>
      <c r="G128" s="242"/>
      <c r="H128" s="242"/>
      <c r="I128" s="242"/>
      <c r="J128" s="242"/>
      <c r="K128" s="242"/>
      <c r="L128" s="242"/>
      <c r="M128" s="242"/>
      <c r="N128" s="242"/>
      <c r="O128" s="242"/>
      <c r="P128" s="242"/>
      <c r="Q128" s="144"/>
      <c r="R128" s="144"/>
      <c r="S128" s="144"/>
      <c r="T128" s="144"/>
      <c r="U128" s="144"/>
      <c r="V128" s="144"/>
      <c r="W128" s="144"/>
      <c r="X128" s="144"/>
      <c r="Y128" s="144"/>
      <c r="AI128" s="311"/>
      <c r="AJ128" s="311"/>
      <c r="AK128" s="311"/>
      <c r="AL128" s="311"/>
      <c r="AM128" s="311"/>
    </row>
    <row r="129" spans="1:39" x14ac:dyDescent="0.25">
      <c r="A129" s="313"/>
      <c r="B129" s="340" t="s">
        <v>1058</v>
      </c>
      <c r="C129" s="325"/>
      <c r="D129" s="325"/>
      <c r="E129" s="326"/>
      <c r="F129" s="327"/>
      <c r="G129" s="327"/>
      <c r="H129" s="327"/>
      <c r="I129" s="412"/>
      <c r="J129" s="313"/>
      <c r="K129" s="313"/>
      <c r="L129" s="313"/>
      <c r="M129" s="313"/>
      <c r="N129" s="313"/>
      <c r="O129" s="313"/>
      <c r="P129" s="240"/>
      <c r="Q129" s="144"/>
      <c r="R129" s="144"/>
      <c r="S129" s="144"/>
      <c r="T129" s="144"/>
      <c r="U129" s="144"/>
      <c r="V129" s="144"/>
      <c r="W129" s="144"/>
      <c r="X129" s="144"/>
      <c r="Y129" s="144"/>
      <c r="AI129" s="311"/>
      <c r="AJ129" s="311"/>
      <c r="AK129" s="311"/>
      <c r="AL129" s="311"/>
      <c r="AM129" s="311"/>
    </row>
    <row r="130" spans="1:39" x14ac:dyDescent="0.25">
      <c r="A130" s="313"/>
      <c r="B130" s="418" t="s">
        <v>1059</v>
      </c>
      <c r="C130" s="419"/>
      <c r="D130" s="419"/>
      <c r="E130" s="419"/>
      <c r="F130" s="419"/>
      <c r="G130" s="419"/>
      <c r="H130" s="419"/>
      <c r="I130" s="239"/>
      <c r="J130" s="240"/>
      <c r="K130" s="240"/>
      <c r="L130" s="240"/>
      <c r="M130" s="240"/>
      <c r="N130" s="240"/>
      <c r="O130" s="240"/>
      <c r="P130" s="240"/>
      <c r="Q130" s="144"/>
      <c r="R130" s="144"/>
      <c r="S130" s="144"/>
      <c r="T130" s="144"/>
      <c r="U130" s="144"/>
      <c r="V130" s="144"/>
      <c r="W130" s="144"/>
      <c r="X130" s="144"/>
      <c r="Y130" s="144"/>
      <c r="AI130" s="311"/>
      <c r="AJ130" s="311"/>
      <c r="AK130" s="311"/>
      <c r="AL130" s="311"/>
      <c r="AM130" s="311"/>
    </row>
    <row r="131" spans="1:39" ht="45" x14ac:dyDescent="0.25">
      <c r="A131" s="313"/>
      <c r="B131" s="305" t="s">
        <v>902</v>
      </c>
      <c r="C131" s="181" t="s">
        <v>1060</v>
      </c>
      <c r="D131" s="444" t="s">
        <v>997</v>
      </c>
      <c r="E131" s="282" t="s">
        <v>703</v>
      </c>
      <c r="F131" s="282" t="s">
        <v>704</v>
      </c>
      <c r="G131" s="180" t="s">
        <v>998</v>
      </c>
      <c r="H131" s="180" t="s">
        <v>999</v>
      </c>
      <c r="I131" s="282" t="s">
        <v>1000</v>
      </c>
      <c r="J131" s="313"/>
      <c r="K131" s="631"/>
      <c r="L131" s="632"/>
      <c r="M131" s="632"/>
      <c r="N131" s="632"/>
      <c r="O131" s="632"/>
      <c r="P131" s="632"/>
      <c r="Q131" s="144"/>
      <c r="R131" s="144"/>
      <c r="S131" s="144"/>
      <c r="T131" s="144"/>
      <c r="U131" s="144"/>
      <c r="V131" s="144"/>
      <c r="W131" s="144"/>
      <c r="X131" s="144"/>
      <c r="Y131" s="144"/>
      <c r="AI131" s="311"/>
      <c r="AJ131" s="311"/>
      <c r="AK131" s="311"/>
      <c r="AL131" s="311"/>
      <c r="AM131" s="311"/>
    </row>
    <row r="132" spans="1:39" x14ac:dyDescent="0.25">
      <c r="A132" s="313"/>
      <c r="B132" s="366" t="s">
        <v>1061</v>
      </c>
      <c r="C132" s="162">
        <f>'Inputs and eligible population'!G107</f>
        <v>3</v>
      </c>
      <c r="D132" s="139">
        <f>'Financial impact (cash)'!D13*'Capacity (local prices)'!$C132</f>
        <v>0</v>
      </c>
      <c r="E132" s="139">
        <f>'Financial impact (cash)'!E13*'Capacity (local prices)'!$C132</f>
        <v>43.161182400538408</v>
      </c>
      <c r="F132" s="139">
        <f>'Financial impact (cash)'!F13*'Capacity (local prices)'!$C132</f>
        <v>29.467707951394786</v>
      </c>
      <c r="G132" s="139">
        <f>'Financial impact (cash)'!G13*'Capacity (local prices)'!$C132</f>
        <v>30.03193942870228</v>
      </c>
      <c r="H132" s="139">
        <f>'Financial impact (cash)'!H13*'Capacity (local prices)'!$C132</f>
        <v>30.604311879251355</v>
      </c>
      <c r="I132" s="139">
        <f>'Financial impact (cash)'!I13*'Capacity (local prices)'!$C132</f>
        <v>31.184929836965523</v>
      </c>
      <c r="J132" s="313"/>
      <c r="K132" s="633"/>
      <c r="L132" s="633"/>
      <c r="M132" s="633"/>
      <c r="N132" s="633"/>
      <c r="O132" s="633"/>
      <c r="P132" s="633"/>
      <c r="Q132" s="144"/>
      <c r="R132" s="144"/>
      <c r="S132" s="144"/>
      <c r="T132" s="144"/>
      <c r="U132" s="144"/>
      <c r="V132" s="144"/>
      <c r="W132" s="144"/>
      <c r="X132" s="144"/>
      <c r="Y132" s="144"/>
      <c r="AI132" s="311"/>
      <c r="AJ132" s="311"/>
      <c r="AK132" s="311"/>
      <c r="AL132" s="311"/>
      <c r="AM132" s="311"/>
    </row>
    <row r="133" spans="1:39" x14ac:dyDescent="0.25">
      <c r="A133" s="313"/>
      <c r="B133" s="308"/>
      <c r="C133" s="229"/>
      <c r="D133" s="205">
        <f t="shared" ref="D133:I133" si="88">SUM(D132:D132)</f>
        <v>0</v>
      </c>
      <c r="E133" s="205">
        <f t="shared" si="88"/>
        <v>43.161182400538408</v>
      </c>
      <c r="F133" s="205">
        <f t="shared" si="88"/>
        <v>29.467707951394786</v>
      </c>
      <c r="G133" s="205">
        <f t="shared" si="88"/>
        <v>30.03193942870228</v>
      </c>
      <c r="H133" s="205">
        <f t="shared" si="88"/>
        <v>30.604311879251355</v>
      </c>
      <c r="I133" s="205">
        <f t="shared" si="88"/>
        <v>31.184929836965523</v>
      </c>
      <c r="J133" s="313"/>
      <c r="K133" s="630"/>
      <c r="L133" s="630"/>
      <c r="M133" s="630"/>
      <c r="N133" s="630"/>
      <c r="O133" s="630"/>
      <c r="P133" s="630"/>
      <c r="Q133" s="144"/>
      <c r="R133" s="144"/>
      <c r="S133" s="144"/>
      <c r="T133" s="144"/>
      <c r="U133" s="144"/>
      <c r="V133" s="144"/>
      <c r="W133" s="144"/>
      <c r="X133" s="144"/>
      <c r="Y133" s="144"/>
      <c r="AI133" s="311"/>
      <c r="AJ133" s="311"/>
      <c r="AK133" s="311"/>
      <c r="AL133" s="311"/>
      <c r="AM133" s="311"/>
    </row>
    <row r="134" spans="1:39" x14ac:dyDescent="0.25">
      <c r="A134" s="313"/>
      <c r="B134" s="324"/>
      <c r="C134" s="283"/>
      <c r="D134" s="310" t="s">
        <v>1062</v>
      </c>
      <c r="E134" s="205">
        <f>E133-$D$133</f>
        <v>43.161182400538408</v>
      </c>
      <c r="F134" s="205">
        <f>F133-$D$133</f>
        <v>29.467707951394786</v>
      </c>
      <c r="G134" s="205">
        <f>G133-$D$133</f>
        <v>30.03193942870228</v>
      </c>
      <c r="H134" s="205">
        <f>H133-$D$133</f>
        <v>30.604311879251355</v>
      </c>
      <c r="I134" s="205">
        <f>I133-$D$133</f>
        <v>31.184929836965523</v>
      </c>
      <c r="J134" s="313"/>
      <c r="K134" s="313"/>
      <c r="L134" s="630"/>
      <c r="M134" s="630"/>
      <c r="N134" s="630"/>
      <c r="O134" s="630"/>
      <c r="P134" s="630"/>
      <c r="U134" s="144"/>
    </row>
    <row r="135" spans="1:39" x14ac:dyDescent="0.25">
      <c r="A135" s="313"/>
      <c r="B135" s="313"/>
      <c r="C135" s="313"/>
      <c r="D135" s="628"/>
      <c r="E135" s="629"/>
      <c r="F135" s="629"/>
      <c r="G135" s="629"/>
      <c r="H135" s="629"/>
      <c r="I135" s="629"/>
      <c r="J135" s="313"/>
      <c r="K135" s="313"/>
      <c r="L135" s="630"/>
      <c r="M135" s="630"/>
      <c r="N135" s="630"/>
      <c r="O135" s="630"/>
      <c r="P135" s="630"/>
      <c r="U135" s="144"/>
    </row>
    <row r="136" spans="1:39" x14ac:dyDescent="0.25">
      <c r="A136" s="313"/>
      <c r="B136" s="340" t="s">
        <v>1058</v>
      </c>
      <c r="C136" s="325"/>
      <c r="D136" s="325"/>
      <c r="E136" s="326"/>
      <c r="F136" s="327"/>
      <c r="G136" s="327"/>
      <c r="H136" s="327"/>
      <c r="I136" s="412"/>
      <c r="J136" s="313"/>
      <c r="K136" s="313"/>
      <c r="L136" s="313"/>
      <c r="M136" s="313"/>
      <c r="N136" s="313"/>
      <c r="O136" s="313"/>
      <c r="P136" s="240"/>
      <c r="U136" s="144"/>
    </row>
    <row r="137" spans="1:39" x14ac:dyDescent="0.25">
      <c r="A137" s="313"/>
      <c r="B137" s="418" t="s">
        <v>1063</v>
      </c>
      <c r="C137" s="419"/>
      <c r="D137" s="419"/>
      <c r="E137" s="419"/>
      <c r="F137" s="419"/>
      <c r="G137" s="419"/>
      <c r="H137" s="419"/>
      <c r="I137" s="239"/>
      <c r="J137" s="240"/>
      <c r="K137" s="453"/>
      <c r="L137" s="453"/>
      <c r="M137" s="453"/>
      <c r="N137" s="453"/>
      <c r="O137" s="453"/>
      <c r="P137" s="453"/>
      <c r="U137" s="144"/>
    </row>
    <row r="138" spans="1:39" ht="45" x14ac:dyDescent="0.25">
      <c r="A138" s="313"/>
      <c r="B138" s="305" t="s">
        <v>902</v>
      </c>
      <c r="C138" s="181" t="s">
        <v>1064</v>
      </c>
      <c r="D138" s="444" t="s">
        <v>997</v>
      </c>
      <c r="E138" s="282" t="s">
        <v>703</v>
      </c>
      <c r="F138" s="282" t="s">
        <v>704</v>
      </c>
      <c r="G138" s="180" t="s">
        <v>998</v>
      </c>
      <c r="H138" s="180" t="s">
        <v>999</v>
      </c>
      <c r="I138" s="282" t="s">
        <v>1000</v>
      </c>
      <c r="J138" s="313"/>
      <c r="K138" s="444" t="s">
        <v>997</v>
      </c>
      <c r="L138" s="282" t="s">
        <v>703</v>
      </c>
      <c r="M138" s="282" t="s">
        <v>704</v>
      </c>
      <c r="N138" s="180" t="s">
        <v>998</v>
      </c>
      <c r="O138" s="180" t="s">
        <v>999</v>
      </c>
      <c r="P138" s="282" t="s">
        <v>1000</v>
      </c>
      <c r="U138" s="144"/>
    </row>
    <row r="139" spans="1:39" x14ac:dyDescent="0.25">
      <c r="A139" s="313"/>
      <c r="B139" s="366" t="s">
        <v>1061</v>
      </c>
      <c r="C139" s="162">
        <f>('Inputs and eligible population'!G107*'Inputs and eligible population'!G108)/60</f>
        <v>3</v>
      </c>
      <c r="D139" s="139">
        <f>'Financial impact (cash)'!D13*'Capacity (local prices)'!$C$139</f>
        <v>0</v>
      </c>
      <c r="E139" s="139">
        <f>'Financial impact (cash)'!E13*'Capacity (local prices)'!$C$139</f>
        <v>43.161182400538408</v>
      </c>
      <c r="F139" s="139">
        <f>'Financial impact (cash)'!F13*'Capacity (local prices)'!$C$139</f>
        <v>29.467707951394786</v>
      </c>
      <c r="G139" s="139">
        <f>'Financial impact (cash)'!G13*'Capacity (local prices)'!$C$139</f>
        <v>30.03193942870228</v>
      </c>
      <c r="H139" s="139">
        <f>'Financial impact (cash)'!H13*'Capacity (local prices)'!$C$139</f>
        <v>30.604311879251355</v>
      </c>
      <c r="I139" s="139">
        <f>'Financial impact (cash)'!I13*'Capacity (local prices)'!$C$139</f>
        <v>31.184929836965523</v>
      </c>
      <c r="J139" s="313"/>
      <c r="K139" s="316">
        <f>(D139*'Inputs and eligible population'!$K$108)/1000</f>
        <v>0</v>
      </c>
      <c r="L139" s="316">
        <f>(E139*'Inputs and eligible population'!$K$108)/1000</f>
        <v>5.2259559650571896</v>
      </c>
      <c r="M139" s="316">
        <f>(F139*'Inputs and eligible population'!$K$108)/1000</f>
        <v>3.5679500787548806</v>
      </c>
      <c r="N139" s="316">
        <f>(G139*'Inputs and eligible population'!$K$108)/1000</f>
        <v>3.6362672260272721</v>
      </c>
      <c r="O139" s="316">
        <f>(H139*'Inputs and eligible population'!$K$108)/1000</f>
        <v>3.7055700823397544</v>
      </c>
      <c r="P139" s="316">
        <f>(I139*'Inputs and eligible population'!$K$108)/1000</f>
        <v>3.7758713046597854</v>
      </c>
      <c r="U139" s="144"/>
    </row>
    <row r="140" spans="1:39" x14ac:dyDescent="0.25">
      <c r="A140" s="313"/>
      <c r="B140" s="308"/>
      <c r="C140" s="229"/>
      <c r="D140" s="205">
        <f t="shared" ref="D140:I140" si="89">SUM(D139:D139)</f>
        <v>0</v>
      </c>
      <c r="E140" s="205">
        <f t="shared" si="89"/>
        <v>43.161182400538408</v>
      </c>
      <c r="F140" s="205">
        <f t="shared" si="89"/>
        <v>29.467707951394786</v>
      </c>
      <c r="G140" s="205">
        <f t="shared" si="89"/>
        <v>30.03193942870228</v>
      </c>
      <c r="H140" s="205">
        <f t="shared" si="89"/>
        <v>30.604311879251355</v>
      </c>
      <c r="I140" s="205">
        <f t="shared" si="89"/>
        <v>31.184929836965523</v>
      </c>
      <c r="J140" s="313"/>
      <c r="K140" s="317">
        <f t="shared" ref="K140:P140" si="90">SUM(K139:K139)</f>
        <v>0</v>
      </c>
      <c r="L140" s="317">
        <f t="shared" si="90"/>
        <v>5.2259559650571896</v>
      </c>
      <c r="M140" s="317">
        <f t="shared" si="90"/>
        <v>3.5679500787548806</v>
      </c>
      <c r="N140" s="317">
        <f t="shared" si="90"/>
        <v>3.6362672260272721</v>
      </c>
      <c r="O140" s="317">
        <f t="shared" si="90"/>
        <v>3.7055700823397544</v>
      </c>
      <c r="P140" s="317">
        <f t="shared" si="90"/>
        <v>3.7758713046597854</v>
      </c>
      <c r="U140" s="144"/>
    </row>
    <row r="141" spans="1:39" x14ac:dyDescent="0.25">
      <c r="A141" s="313"/>
      <c r="B141" s="324"/>
      <c r="C141" s="283"/>
      <c r="D141" s="310" t="s">
        <v>1065</v>
      </c>
      <c r="E141" s="205">
        <f>E140-$D$140</f>
        <v>43.161182400538408</v>
      </c>
      <c r="F141" s="205">
        <f t="shared" ref="F141:I141" si="91">F140-$D$140</f>
        <v>29.467707951394786</v>
      </c>
      <c r="G141" s="205">
        <f t="shared" si="91"/>
        <v>30.03193942870228</v>
      </c>
      <c r="H141" s="205">
        <f t="shared" si="91"/>
        <v>30.604311879251355</v>
      </c>
      <c r="I141" s="205">
        <f t="shared" si="91"/>
        <v>31.184929836965523</v>
      </c>
      <c r="J141" s="313"/>
      <c r="K141" s="558"/>
      <c r="L141" s="317">
        <f>L140-$K$140</f>
        <v>5.2259559650571896</v>
      </c>
      <c r="M141" s="317">
        <f t="shared" ref="M141:P141" si="92">M140-$K$140</f>
        <v>3.5679500787548806</v>
      </c>
      <c r="N141" s="317">
        <f t="shared" si="92"/>
        <v>3.6362672260272721</v>
      </c>
      <c r="O141" s="317">
        <f t="shared" si="92"/>
        <v>3.7055700823397544</v>
      </c>
      <c r="P141" s="317">
        <f t="shared" si="92"/>
        <v>3.7758713046597854</v>
      </c>
      <c r="U141" s="144"/>
    </row>
    <row r="142" spans="1:39" x14ac:dyDescent="0.25">
      <c r="A142" s="313"/>
      <c r="B142" s="313"/>
      <c r="C142" s="313"/>
      <c r="D142" s="628"/>
      <c r="E142" s="629"/>
      <c r="F142" s="629"/>
      <c r="G142" s="629"/>
      <c r="H142" s="629"/>
      <c r="I142" s="629"/>
      <c r="J142" s="313"/>
      <c r="K142" s="313"/>
      <c r="L142" s="630"/>
      <c r="M142" s="630"/>
      <c r="N142" s="630"/>
      <c r="O142" s="630"/>
      <c r="P142" s="630"/>
      <c r="U142" s="144"/>
    </row>
    <row r="143" spans="1:39" x14ac:dyDescent="0.25">
      <c r="A143" s="313"/>
      <c r="B143" s="340" t="s">
        <v>1058</v>
      </c>
      <c r="C143" s="325"/>
      <c r="D143" s="325"/>
      <c r="E143" s="326"/>
      <c r="F143" s="327"/>
      <c r="G143" s="327"/>
      <c r="H143" s="327"/>
      <c r="I143" s="412"/>
      <c r="J143" s="313"/>
      <c r="K143" s="313"/>
      <c r="L143" s="630"/>
      <c r="M143" s="630"/>
      <c r="N143" s="630"/>
      <c r="O143" s="630"/>
      <c r="P143" s="630"/>
      <c r="U143" s="144"/>
    </row>
    <row r="144" spans="1:39" x14ac:dyDescent="0.25">
      <c r="A144" s="313"/>
      <c r="B144" s="418" t="s">
        <v>1066</v>
      </c>
      <c r="C144" s="419"/>
      <c r="D144" s="419"/>
      <c r="E144" s="419"/>
      <c r="F144" s="419"/>
      <c r="G144" s="419"/>
      <c r="H144" s="419"/>
      <c r="I144" s="239"/>
      <c r="J144" s="313"/>
      <c r="K144" s="313"/>
      <c r="L144" s="630"/>
      <c r="M144" s="630"/>
      <c r="N144" s="630"/>
      <c r="O144" s="630"/>
      <c r="P144" s="630"/>
      <c r="U144" s="144"/>
    </row>
    <row r="145" spans="1:21" ht="45" x14ac:dyDescent="0.25">
      <c r="A145" s="313"/>
      <c r="B145" s="305" t="s">
        <v>902</v>
      </c>
      <c r="C145" s="181" t="s">
        <v>1060</v>
      </c>
      <c r="D145" s="444" t="s">
        <v>997</v>
      </c>
      <c r="E145" s="282" t="s">
        <v>703</v>
      </c>
      <c r="F145" s="282" t="s">
        <v>704</v>
      </c>
      <c r="G145" s="180" t="s">
        <v>998</v>
      </c>
      <c r="H145" s="180" t="s">
        <v>999</v>
      </c>
      <c r="I145" s="282" t="s">
        <v>1000</v>
      </c>
      <c r="J145" s="313"/>
      <c r="K145" s="313"/>
      <c r="L145" s="630"/>
      <c r="M145" s="630"/>
      <c r="N145" s="630"/>
      <c r="O145" s="630"/>
      <c r="P145" s="630"/>
      <c r="U145" s="144"/>
    </row>
    <row r="146" spans="1:21" x14ac:dyDescent="0.25">
      <c r="A146" s="313"/>
      <c r="B146" s="366" t="s">
        <v>1061</v>
      </c>
      <c r="C146" s="162">
        <f>'Inputs and eligible population'!G109</f>
        <v>1</v>
      </c>
      <c r="D146" s="139">
        <f>'Financial impact (cash)'!D13*'Capacity (local prices)'!$C$146</f>
        <v>0</v>
      </c>
      <c r="E146" s="139">
        <f>'Financial impact (cash)'!E13*'Capacity (local prices)'!$C$146</f>
        <v>14.387060800179469</v>
      </c>
      <c r="F146" s="139">
        <f>'Financial impact (cash)'!F13*'Capacity (local prices)'!$C$146</f>
        <v>9.8225693171315953</v>
      </c>
      <c r="G146" s="139">
        <f>'Financial impact (cash)'!G13*'Capacity (local prices)'!$C$146</f>
        <v>10.010646476234093</v>
      </c>
      <c r="H146" s="139">
        <f>'Financial impact (cash)'!H13*'Capacity (local prices)'!$C$146</f>
        <v>10.201437293083785</v>
      </c>
      <c r="I146" s="139">
        <f>'Financial impact (cash)'!I13*'Capacity (local prices)'!$C$146</f>
        <v>10.394976612321841</v>
      </c>
      <c r="J146" s="313"/>
      <c r="K146" s="313"/>
      <c r="L146" s="630"/>
      <c r="M146" s="630"/>
      <c r="N146" s="630"/>
      <c r="O146" s="630"/>
      <c r="P146" s="630"/>
      <c r="U146" s="144"/>
    </row>
    <row r="147" spans="1:21" x14ac:dyDescent="0.25">
      <c r="A147" s="313"/>
      <c r="B147" s="308"/>
      <c r="C147" s="229"/>
      <c r="D147" s="205">
        <f t="shared" ref="D147:I147" si="93">SUM(D146:D146)</f>
        <v>0</v>
      </c>
      <c r="E147" s="205">
        <f t="shared" si="93"/>
        <v>14.387060800179469</v>
      </c>
      <c r="F147" s="205">
        <f t="shared" si="93"/>
        <v>9.8225693171315953</v>
      </c>
      <c r="G147" s="205">
        <f t="shared" si="93"/>
        <v>10.010646476234093</v>
      </c>
      <c r="H147" s="205">
        <f t="shared" si="93"/>
        <v>10.201437293083785</v>
      </c>
      <c r="I147" s="205">
        <f t="shared" si="93"/>
        <v>10.394976612321841</v>
      </c>
      <c r="J147" s="313"/>
      <c r="K147" s="313"/>
      <c r="L147" s="630"/>
      <c r="M147" s="630"/>
      <c r="N147" s="630"/>
      <c r="O147" s="630"/>
      <c r="P147" s="630"/>
      <c r="U147" s="144"/>
    </row>
    <row r="148" spans="1:21" x14ac:dyDescent="0.25">
      <c r="A148" s="313"/>
      <c r="B148" s="324"/>
      <c r="C148" s="283"/>
      <c r="D148" s="310" t="s">
        <v>1067</v>
      </c>
      <c r="E148" s="205">
        <f>E147-$D$147</f>
        <v>14.387060800179469</v>
      </c>
      <c r="F148" s="205">
        <f t="shared" ref="F148:I148" si="94">F147-$D$147</f>
        <v>9.8225693171315953</v>
      </c>
      <c r="G148" s="205">
        <f t="shared" si="94"/>
        <v>10.010646476234093</v>
      </c>
      <c r="H148" s="205">
        <f t="shared" si="94"/>
        <v>10.201437293083785</v>
      </c>
      <c r="I148" s="205">
        <f t="shared" si="94"/>
        <v>10.394976612321841</v>
      </c>
      <c r="J148" s="313"/>
      <c r="K148" s="313"/>
      <c r="L148" s="630"/>
      <c r="M148" s="630"/>
      <c r="N148" s="630"/>
      <c r="O148" s="630"/>
      <c r="P148" s="630"/>
      <c r="U148" s="144"/>
    </row>
    <row r="149" spans="1:21" x14ac:dyDescent="0.25">
      <c r="A149" s="313"/>
      <c r="B149" s="313"/>
      <c r="C149" s="313"/>
      <c r="D149" s="628"/>
      <c r="E149" s="629"/>
      <c r="F149" s="629"/>
      <c r="G149" s="629"/>
      <c r="H149" s="629"/>
      <c r="I149" s="629"/>
      <c r="J149" s="313"/>
      <c r="K149" s="313"/>
      <c r="L149" s="630"/>
      <c r="M149" s="630"/>
      <c r="N149" s="630"/>
      <c r="O149" s="630"/>
      <c r="P149" s="630"/>
      <c r="U149" s="144"/>
    </row>
    <row r="150" spans="1:21" x14ac:dyDescent="0.25">
      <c r="A150" s="313"/>
      <c r="B150" s="340" t="s">
        <v>1058</v>
      </c>
      <c r="C150" s="325"/>
      <c r="D150" s="325"/>
      <c r="E150" s="326"/>
      <c r="F150" s="327"/>
      <c r="G150" s="327"/>
      <c r="H150" s="327"/>
      <c r="I150" s="412"/>
      <c r="J150" s="313"/>
      <c r="K150" s="313"/>
      <c r="L150" s="313"/>
      <c r="M150" s="313"/>
      <c r="N150" s="313"/>
      <c r="O150" s="313"/>
      <c r="P150" s="240"/>
      <c r="U150" s="144"/>
    </row>
    <row r="151" spans="1:21" x14ac:dyDescent="0.25">
      <c r="A151" s="313"/>
      <c r="B151" s="418" t="s">
        <v>1179</v>
      </c>
      <c r="C151" s="419"/>
      <c r="D151" s="419"/>
      <c r="E151" s="419"/>
      <c r="F151" s="419"/>
      <c r="G151" s="419"/>
      <c r="H151" s="419"/>
      <c r="I151" s="239"/>
      <c r="J151" s="240"/>
      <c r="K151" s="453"/>
      <c r="L151" s="453"/>
      <c r="M151" s="453"/>
      <c r="N151" s="453"/>
      <c r="O151" s="453"/>
      <c r="P151" s="453"/>
      <c r="U151" s="144"/>
    </row>
    <row r="152" spans="1:21" ht="45" x14ac:dyDescent="0.25">
      <c r="A152" s="313"/>
      <c r="B152" s="305" t="s">
        <v>902</v>
      </c>
      <c r="C152" s="181" t="s">
        <v>1064</v>
      </c>
      <c r="D152" s="444" t="s">
        <v>997</v>
      </c>
      <c r="E152" s="282" t="s">
        <v>703</v>
      </c>
      <c r="F152" s="282" t="s">
        <v>704</v>
      </c>
      <c r="G152" s="180" t="s">
        <v>998</v>
      </c>
      <c r="H152" s="180" t="s">
        <v>999</v>
      </c>
      <c r="I152" s="282" t="s">
        <v>1000</v>
      </c>
      <c r="J152" s="313"/>
      <c r="K152" s="444" t="s">
        <v>997</v>
      </c>
      <c r="L152" s="282" t="s">
        <v>703</v>
      </c>
      <c r="M152" s="282" t="s">
        <v>704</v>
      </c>
      <c r="N152" s="180" t="s">
        <v>998</v>
      </c>
      <c r="O152" s="180" t="s">
        <v>999</v>
      </c>
      <c r="P152" s="282" t="s">
        <v>1000</v>
      </c>
      <c r="U152" s="144"/>
    </row>
    <row r="153" spans="1:21" x14ac:dyDescent="0.25">
      <c r="A153" s="313"/>
      <c r="B153" s="366" t="s">
        <v>1061</v>
      </c>
      <c r="C153" s="162">
        <f>'Inputs and eligible population'!G110/60</f>
        <v>2</v>
      </c>
      <c r="D153" s="139">
        <f>'Financial impact (cash)'!D13*'Capacity (local prices)'!$C$153</f>
        <v>0</v>
      </c>
      <c r="E153" s="139">
        <f>'Financial impact (cash)'!E13*'Capacity (local prices)'!$C$153</f>
        <v>28.774121600358939</v>
      </c>
      <c r="F153" s="139">
        <f>'Financial impact (cash)'!F13*'Capacity (local prices)'!$C$153</f>
        <v>19.645138634263191</v>
      </c>
      <c r="G153" s="139">
        <f>'Financial impact (cash)'!G13*'Capacity (local prices)'!$C$153</f>
        <v>20.021292952468187</v>
      </c>
      <c r="H153" s="139">
        <f>'Financial impact (cash)'!H13*'Capacity (local prices)'!$C$153</f>
        <v>20.40287458616757</v>
      </c>
      <c r="I153" s="139">
        <f>'Financial impact (cash)'!I13*'Capacity (local prices)'!$C$153</f>
        <v>20.789953224643682</v>
      </c>
      <c r="J153" s="313"/>
      <c r="K153" s="316">
        <f>(D153*'Unit costs'!$O$26)/1000</f>
        <v>0</v>
      </c>
      <c r="L153" s="316">
        <f>(E153*'Unit costs'!$O$26)/1000</f>
        <v>0</v>
      </c>
      <c r="M153" s="316">
        <f>(F153*'Unit costs'!$O$26)/1000</f>
        <v>0</v>
      </c>
      <c r="N153" s="316">
        <f>(G153*'Unit costs'!$O$26)/1000</f>
        <v>0</v>
      </c>
      <c r="O153" s="316">
        <f>(H153*'Unit costs'!$O$26)/1000</f>
        <v>0</v>
      </c>
      <c r="P153" s="316">
        <f>(I153*'Unit costs'!$O$26)/1000</f>
        <v>0</v>
      </c>
      <c r="U153" s="144"/>
    </row>
    <row r="154" spans="1:21" x14ac:dyDescent="0.25">
      <c r="A154" s="313"/>
      <c r="B154" s="308"/>
      <c r="C154" s="229"/>
      <c r="D154" s="205">
        <f t="shared" ref="D154:I154" si="95">SUM(D153:D153)</f>
        <v>0</v>
      </c>
      <c r="E154" s="205">
        <f t="shared" si="95"/>
        <v>28.774121600358939</v>
      </c>
      <c r="F154" s="205">
        <f t="shared" si="95"/>
        <v>19.645138634263191</v>
      </c>
      <c r="G154" s="205">
        <f t="shared" si="95"/>
        <v>20.021292952468187</v>
      </c>
      <c r="H154" s="205">
        <f t="shared" si="95"/>
        <v>20.40287458616757</v>
      </c>
      <c r="I154" s="205">
        <f t="shared" si="95"/>
        <v>20.789953224643682</v>
      </c>
      <c r="J154" s="313"/>
      <c r="K154" s="317">
        <f t="shared" ref="K154:P154" si="96">SUM(K153:K153)</f>
        <v>0</v>
      </c>
      <c r="L154" s="317">
        <f t="shared" si="96"/>
        <v>0</v>
      </c>
      <c r="M154" s="317">
        <f t="shared" si="96"/>
        <v>0</v>
      </c>
      <c r="N154" s="317">
        <f t="shared" si="96"/>
        <v>0</v>
      </c>
      <c r="O154" s="317">
        <f t="shared" si="96"/>
        <v>0</v>
      </c>
      <c r="P154" s="317">
        <f t="shared" si="96"/>
        <v>0</v>
      </c>
      <c r="U154" s="144"/>
    </row>
    <row r="155" spans="1:21" x14ac:dyDescent="0.25">
      <c r="A155" s="313"/>
      <c r="B155" s="324"/>
      <c r="C155" s="283"/>
      <c r="D155" s="310" t="s">
        <v>1068</v>
      </c>
      <c r="E155" s="205">
        <f>E154-$D$154</f>
        <v>28.774121600358939</v>
      </c>
      <c r="F155" s="205">
        <f t="shared" ref="F155:I155" si="97">F154-$D$154</f>
        <v>19.645138634263191</v>
      </c>
      <c r="G155" s="205">
        <f t="shared" si="97"/>
        <v>20.021292952468187</v>
      </c>
      <c r="H155" s="205">
        <f t="shared" si="97"/>
        <v>20.40287458616757</v>
      </c>
      <c r="I155" s="205">
        <f t="shared" si="97"/>
        <v>20.789953224643682</v>
      </c>
      <c r="J155" s="313"/>
      <c r="K155" s="558"/>
      <c r="L155" s="317">
        <f>L154-$K$154</f>
        <v>0</v>
      </c>
      <c r="M155" s="317">
        <f t="shared" ref="M155:P155" si="98">M154-$K$154</f>
        <v>0</v>
      </c>
      <c r="N155" s="317">
        <f t="shared" si="98"/>
        <v>0</v>
      </c>
      <c r="O155" s="317">
        <f t="shared" si="98"/>
        <v>0</v>
      </c>
      <c r="P155" s="317">
        <f t="shared" si="98"/>
        <v>0</v>
      </c>
      <c r="U155" s="144"/>
    </row>
    <row r="156" spans="1:21" x14ac:dyDescent="0.25">
      <c r="A156" s="313"/>
      <c r="B156" s="313"/>
      <c r="C156" s="313"/>
      <c r="D156" s="628"/>
      <c r="E156" s="629"/>
      <c r="F156" s="629"/>
      <c r="G156" s="629"/>
      <c r="H156" s="629"/>
      <c r="I156" s="629"/>
      <c r="J156" s="313"/>
      <c r="K156" s="313"/>
      <c r="L156" s="630"/>
      <c r="M156" s="630"/>
      <c r="N156" s="630"/>
      <c r="O156" s="630"/>
      <c r="P156" s="630"/>
      <c r="U156" s="144"/>
    </row>
    <row r="157" spans="1:21" x14ac:dyDescent="0.25">
      <c r="A157" s="313"/>
      <c r="B157" s="340" t="s">
        <v>1058</v>
      </c>
      <c r="C157" s="325"/>
      <c r="D157" s="325"/>
      <c r="E157" s="326"/>
      <c r="F157" s="327"/>
      <c r="G157" s="327"/>
      <c r="H157" s="327"/>
      <c r="I157" s="412"/>
      <c r="J157" s="313"/>
      <c r="K157" s="313"/>
      <c r="L157" s="630"/>
      <c r="M157" s="630"/>
      <c r="N157" s="630"/>
      <c r="O157" s="630"/>
      <c r="P157" s="630"/>
      <c r="U157" s="144"/>
    </row>
    <row r="158" spans="1:21" x14ac:dyDescent="0.25">
      <c r="A158" s="313"/>
      <c r="B158" s="418" t="s">
        <v>1069</v>
      </c>
      <c r="C158" s="419"/>
      <c r="D158" s="419"/>
      <c r="E158" s="419"/>
      <c r="F158" s="419"/>
      <c r="G158" s="419"/>
      <c r="H158" s="419"/>
      <c r="I158" s="239"/>
      <c r="J158" s="313"/>
      <c r="K158" s="313"/>
      <c r="L158" s="630"/>
      <c r="M158" s="630"/>
      <c r="N158" s="630"/>
      <c r="O158" s="630"/>
      <c r="P158" s="630"/>
      <c r="U158" s="144"/>
    </row>
    <row r="159" spans="1:21" ht="45" x14ac:dyDescent="0.25">
      <c r="A159" s="313"/>
      <c r="B159" s="305" t="s">
        <v>902</v>
      </c>
      <c r="C159" s="181" t="s">
        <v>1070</v>
      </c>
      <c r="D159" s="444" t="s">
        <v>997</v>
      </c>
      <c r="E159" s="282" t="s">
        <v>703</v>
      </c>
      <c r="F159" s="282" t="s">
        <v>704</v>
      </c>
      <c r="G159" s="180" t="s">
        <v>998</v>
      </c>
      <c r="H159" s="180" t="s">
        <v>999</v>
      </c>
      <c r="I159" s="282" t="s">
        <v>1000</v>
      </c>
      <c r="J159" s="313"/>
      <c r="K159" s="313"/>
      <c r="L159" s="630"/>
      <c r="M159" s="630"/>
      <c r="N159" s="630"/>
      <c r="O159" s="630"/>
      <c r="P159" s="630"/>
      <c r="U159" s="144"/>
    </row>
    <row r="160" spans="1:21" x14ac:dyDescent="0.25">
      <c r="A160" s="313"/>
      <c r="B160" s="366" t="s">
        <v>1061</v>
      </c>
      <c r="C160" s="162">
        <f>'Inputs and eligible population'!G122</f>
        <v>12</v>
      </c>
      <c r="D160" s="139">
        <f>'Financial impact (cash)'!D13*'Capacity (local prices)'!$C$160</f>
        <v>0</v>
      </c>
      <c r="E160" s="139">
        <f>'Financial impact (cash)'!E13*'Capacity (local prices)'!$C$160</f>
        <v>172.64472960215363</v>
      </c>
      <c r="F160" s="139">
        <f>'Financial impact (cash)'!F13*'Capacity (local prices)'!$C$160</f>
        <v>117.87083180557914</v>
      </c>
      <c r="G160" s="139">
        <f>'Financial impact (cash)'!G13*'Capacity (local prices)'!$C$160</f>
        <v>120.12775771480912</v>
      </c>
      <c r="H160" s="139">
        <f>'Financial impact (cash)'!H13*'Capacity (local prices)'!$C$160</f>
        <v>122.41724751700542</v>
      </c>
      <c r="I160" s="139">
        <f>'Financial impact (cash)'!I13*'Capacity (local prices)'!$C$160</f>
        <v>124.73971934786209</v>
      </c>
      <c r="J160" s="313"/>
      <c r="K160" s="313"/>
      <c r="L160" s="630"/>
      <c r="M160" s="630"/>
      <c r="N160" s="630"/>
      <c r="O160" s="630"/>
      <c r="P160" s="630"/>
      <c r="U160" s="144"/>
    </row>
    <row r="161" spans="1:39" x14ac:dyDescent="0.25">
      <c r="A161" s="313"/>
      <c r="B161" s="366" t="s">
        <v>1071</v>
      </c>
      <c r="C161" s="162">
        <f>'Inputs and eligible population'!H122</f>
        <v>12</v>
      </c>
      <c r="D161" s="139">
        <f>'Financial impact (cash)'!D16*'Capacity (local prices)'!$C$161</f>
        <v>5699.8672970239386</v>
      </c>
      <c r="E161" s="139">
        <f>'Financial impact (cash)'!E16*'Capacity (local prices)'!$C$161</f>
        <v>5582.1795904696337</v>
      </c>
      <c r="F161" s="139">
        <f>'Financial impact (cash)'!F16*'Capacity (local prices)'!$C$161</f>
        <v>5692.4403963490768</v>
      </c>
      <c r="G161" s="139">
        <f>'Financial impact (cash)'!G16*'Capacity (local prices)'!$C$161</f>
        <v>5746.2053726072172</v>
      </c>
      <c r="H161" s="139">
        <f>'Financial impact (cash)'!H16*'Capacity (local prices)'!$C$161</f>
        <v>5800.4779373668543</v>
      </c>
      <c r="I161" s="139">
        <f>'Financial impact (cash)'!I16*'Capacity (local prices)'!$C$161</f>
        <v>5855.262880537678</v>
      </c>
      <c r="J161" s="313"/>
      <c r="K161" s="313"/>
      <c r="L161" s="630"/>
      <c r="M161" s="630"/>
      <c r="N161" s="630"/>
      <c r="O161" s="630"/>
      <c r="P161" s="630"/>
      <c r="U161" s="144"/>
    </row>
    <row r="162" spans="1:39" x14ac:dyDescent="0.25">
      <c r="A162" s="313"/>
      <c r="B162" s="308"/>
      <c r="C162" s="229"/>
      <c r="D162" s="205">
        <f>SUM(D160:D161)</f>
        <v>5699.8672970239386</v>
      </c>
      <c r="E162" s="205">
        <f t="shared" ref="E162:I162" si="99">SUM(E160:E161)</f>
        <v>5754.824320071787</v>
      </c>
      <c r="F162" s="205">
        <f t="shared" si="99"/>
        <v>5810.3112281546555</v>
      </c>
      <c r="G162" s="205">
        <f t="shared" si="99"/>
        <v>5866.3331303220266</v>
      </c>
      <c r="H162" s="205">
        <f t="shared" si="99"/>
        <v>5922.8951848838597</v>
      </c>
      <c r="I162" s="205">
        <f t="shared" si="99"/>
        <v>5980.0025998855399</v>
      </c>
      <c r="J162" s="313"/>
      <c r="K162" s="313"/>
      <c r="L162" s="630"/>
      <c r="M162" s="630"/>
      <c r="N162" s="630"/>
      <c r="O162" s="630"/>
      <c r="P162" s="630"/>
      <c r="U162" s="144"/>
    </row>
    <row r="163" spans="1:39" x14ac:dyDescent="0.25">
      <c r="A163" s="313"/>
      <c r="B163" s="324"/>
      <c r="C163" s="283"/>
      <c r="D163" s="310" t="s">
        <v>1072</v>
      </c>
      <c r="E163" s="205">
        <f>E162-$D$162</f>
        <v>54.957023047848452</v>
      </c>
      <c r="F163" s="205">
        <f t="shared" ref="F163:I163" si="100">F162-$D$162</f>
        <v>110.44393113071692</v>
      </c>
      <c r="G163" s="205">
        <f t="shared" si="100"/>
        <v>166.465833298088</v>
      </c>
      <c r="H163" s="205">
        <f t="shared" si="100"/>
        <v>223.02788785992107</v>
      </c>
      <c r="I163" s="205">
        <f t="shared" si="100"/>
        <v>280.1353028616013</v>
      </c>
      <c r="J163" s="313"/>
      <c r="K163" s="313"/>
      <c r="L163" s="630"/>
      <c r="M163" s="630"/>
      <c r="N163" s="630"/>
      <c r="O163" s="630"/>
      <c r="P163" s="630"/>
      <c r="U163" s="144"/>
    </row>
    <row r="164" spans="1:39" x14ac:dyDescent="0.25">
      <c r="A164" s="313"/>
      <c r="B164" s="313"/>
      <c r="C164" s="313"/>
      <c r="D164" s="628"/>
      <c r="E164" s="629"/>
      <c r="F164" s="629"/>
      <c r="G164" s="629"/>
      <c r="H164" s="629"/>
      <c r="I164" s="629"/>
      <c r="J164" s="313"/>
      <c r="K164" s="313"/>
      <c r="L164" s="630"/>
      <c r="M164" s="630"/>
      <c r="N164" s="630"/>
      <c r="O164" s="630"/>
      <c r="P164" s="630"/>
      <c r="U164" s="144"/>
    </row>
    <row r="165" spans="1:39" x14ac:dyDescent="0.25">
      <c r="A165" s="313"/>
      <c r="B165" s="340" t="s">
        <v>1058</v>
      </c>
      <c r="C165" s="325"/>
      <c r="D165" s="325"/>
      <c r="E165" s="326"/>
      <c r="F165" s="327"/>
      <c r="G165" s="327"/>
      <c r="H165" s="327"/>
      <c r="I165" s="412"/>
      <c r="J165" s="313"/>
      <c r="K165" s="313"/>
      <c r="L165" s="313"/>
      <c r="M165" s="313"/>
      <c r="N165" s="313"/>
      <c r="O165" s="313"/>
      <c r="P165" s="240"/>
      <c r="U165" s="144"/>
    </row>
    <row r="166" spans="1:39" x14ac:dyDescent="0.25">
      <c r="A166" s="313"/>
      <c r="B166" s="418" t="s">
        <v>1073</v>
      </c>
      <c r="C166" s="419"/>
      <c r="D166" s="419"/>
      <c r="E166" s="419"/>
      <c r="F166" s="419"/>
      <c r="G166" s="419"/>
      <c r="H166" s="419"/>
      <c r="I166" s="239"/>
      <c r="J166" s="240"/>
      <c r="K166" s="453"/>
      <c r="L166" s="453"/>
      <c r="M166" s="453"/>
      <c r="N166" s="453"/>
      <c r="O166" s="453"/>
      <c r="P166" s="453"/>
      <c r="U166" s="144"/>
    </row>
    <row r="167" spans="1:39" ht="45" x14ac:dyDescent="0.25">
      <c r="A167" s="313"/>
      <c r="B167" s="305" t="s">
        <v>902</v>
      </c>
      <c r="C167" s="181" t="s">
        <v>1064</v>
      </c>
      <c r="D167" s="444" t="s">
        <v>997</v>
      </c>
      <c r="E167" s="282" t="s">
        <v>703</v>
      </c>
      <c r="F167" s="282" t="s">
        <v>704</v>
      </c>
      <c r="G167" s="180" t="s">
        <v>998</v>
      </c>
      <c r="H167" s="180" t="s">
        <v>999</v>
      </c>
      <c r="I167" s="282" t="s">
        <v>1000</v>
      </c>
      <c r="J167" s="313"/>
      <c r="K167" s="444" t="s">
        <v>997</v>
      </c>
      <c r="L167" s="282" t="s">
        <v>703</v>
      </c>
      <c r="M167" s="282" t="s">
        <v>704</v>
      </c>
      <c r="N167" s="180" t="s">
        <v>998</v>
      </c>
      <c r="O167" s="180" t="s">
        <v>999</v>
      </c>
      <c r="P167" s="282" t="s">
        <v>1000</v>
      </c>
      <c r="U167" s="144"/>
    </row>
    <row r="168" spans="1:39" x14ac:dyDescent="0.25">
      <c r="A168" s="313"/>
      <c r="B168" s="366" t="s">
        <v>1061</v>
      </c>
      <c r="C168" s="162">
        <f>'Inputs and eligible population'!G123/60</f>
        <v>0.75</v>
      </c>
      <c r="D168" s="139">
        <f>D160*$C$168</f>
        <v>0</v>
      </c>
      <c r="E168" s="139">
        <f t="shared" ref="E168:I168" si="101">E160*$C$168</f>
        <v>129.48354720161524</v>
      </c>
      <c r="F168" s="139">
        <f t="shared" si="101"/>
        <v>88.403123854184358</v>
      </c>
      <c r="G168" s="139">
        <f t="shared" si="101"/>
        <v>90.095818286106834</v>
      </c>
      <c r="H168" s="139">
        <f t="shared" si="101"/>
        <v>91.812935637754066</v>
      </c>
      <c r="I168" s="139">
        <f t="shared" si="101"/>
        <v>93.554789510896569</v>
      </c>
      <c r="J168" s="313"/>
      <c r="K168" s="316">
        <f>(D168*'Inputs and eligible population'!$K$123)/1000</f>
        <v>0</v>
      </c>
      <c r="L168" s="316">
        <f>(E168*'Inputs and eligible population'!$K$123)/1000</f>
        <v>15.677867895171572</v>
      </c>
      <c r="M168" s="316">
        <f>(F168*'Inputs and eligible population'!$K$123)/1000</f>
        <v>10.703850236264641</v>
      </c>
      <c r="N168" s="316">
        <f>(G168*'Inputs and eligible population'!$K$123)/1000</f>
        <v>10.908801678081817</v>
      </c>
      <c r="O168" s="316">
        <f>(H168*'Inputs and eligible population'!$K$123)/1000</f>
        <v>11.116710247019261</v>
      </c>
      <c r="P168" s="316">
        <f>(I168*'Inputs and eligible population'!$K$123)/1000</f>
        <v>11.327613913979356</v>
      </c>
      <c r="U168" s="144"/>
    </row>
    <row r="169" spans="1:39" x14ac:dyDescent="0.25">
      <c r="A169" s="313"/>
      <c r="B169" s="366" t="s">
        <v>1071</v>
      </c>
      <c r="C169" s="162">
        <f>'Inputs and eligible population'!H123/60</f>
        <v>0.75</v>
      </c>
      <c r="D169" s="139">
        <f>D161*$C$169</f>
        <v>4274.9004727679539</v>
      </c>
      <c r="E169" s="139">
        <f t="shared" ref="E169:I169" si="102">E161*$C$169</f>
        <v>4186.6346928522253</v>
      </c>
      <c r="F169" s="139">
        <f t="shared" si="102"/>
        <v>4269.3302972618076</v>
      </c>
      <c r="G169" s="139">
        <f t="shared" si="102"/>
        <v>4309.6540294554125</v>
      </c>
      <c r="H169" s="139">
        <f t="shared" si="102"/>
        <v>4350.358453025141</v>
      </c>
      <c r="I169" s="139">
        <f t="shared" si="102"/>
        <v>4391.4471604032587</v>
      </c>
      <c r="J169" s="313"/>
      <c r="K169" s="316">
        <f>(D169*'Inputs and eligible population'!$K$123)/1000</f>
        <v>517.60494924274383</v>
      </c>
      <c r="L169" s="316">
        <f>(E169*'Inputs and eligible population'!$K$123)/1000</f>
        <v>506.91772861054744</v>
      </c>
      <c r="M169" s="316">
        <f>(F169*'Inputs and eligible population'!$K$123)/1000</f>
        <v>516.93051239245972</v>
      </c>
      <c r="N169" s="316">
        <f>(G169*'Inputs and eligible population'!$K$123)/1000</f>
        <v>521.81290988646128</v>
      </c>
      <c r="O169" s="316">
        <f>(H169*'Inputs and eligible population'!$K$123)/1000</f>
        <v>526.74140149228401</v>
      </c>
      <c r="P169" s="316">
        <f>(I169*'Inputs and eligible population'!$K$123)/1000</f>
        <v>531.71642218162651</v>
      </c>
      <c r="U169" s="144"/>
    </row>
    <row r="170" spans="1:39" x14ac:dyDescent="0.25">
      <c r="A170" s="313"/>
      <c r="B170" s="308"/>
      <c r="C170" s="229"/>
      <c r="D170" s="205">
        <f>SUM(D168:D169)</f>
        <v>4274.9004727679539</v>
      </c>
      <c r="E170" s="205">
        <f t="shared" ref="E170:I170" si="103">SUM(E168:E169)</f>
        <v>4316.1182400538401</v>
      </c>
      <c r="F170" s="205">
        <f t="shared" si="103"/>
        <v>4357.7334211159923</v>
      </c>
      <c r="G170" s="205">
        <f t="shared" si="103"/>
        <v>4399.7498477415193</v>
      </c>
      <c r="H170" s="205">
        <f t="shared" si="103"/>
        <v>4442.171388662895</v>
      </c>
      <c r="I170" s="205">
        <f t="shared" si="103"/>
        <v>4485.0019499141554</v>
      </c>
      <c r="J170" s="313"/>
      <c r="K170" s="317">
        <f>SUM(K168:K169)</f>
        <v>517.60494924274383</v>
      </c>
      <c r="L170" s="317">
        <f t="shared" ref="L170:P170" si="104">SUM(L168:L169)</f>
        <v>522.59559650571896</v>
      </c>
      <c r="M170" s="317">
        <f t="shared" si="104"/>
        <v>527.63436262872438</v>
      </c>
      <c r="N170" s="317">
        <f t="shared" si="104"/>
        <v>532.72171156454306</v>
      </c>
      <c r="O170" s="317">
        <f t="shared" si="104"/>
        <v>537.85811173930324</v>
      </c>
      <c r="P170" s="317">
        <f t="shared" si="104"/>
        <v>543.04403609560586</v>
      </c>
      <c r="U170" s="144"/>
    </row>
    <row r="171" spans="1:39" x14ac:dyDescent="0.25">
      <c r="A171" s="313"/>
      <c r="B171" s="324"/>
      <c r="C171" s="283"/>
      <c r="D171" s="310" t="s">
        <v>1074</v>
      </c>
      <c r="E171" s="205">
        <f>E170-$D$170</f>
        <v>41.217767285886111</v>
      </c>
      <c r="F171" s="205">
        <f t="shared" ref="F171:I171" si="105">F170-$D$170</f>
        <v>82.832948348038371</v>
      </c>
      <c r="G171" s="205">
        <f t="shared" si="105"/>
        <v>124.84937497356532</v>
      </c>
      <c r="H171" s="205">
        <f t="shared" si="105"/>
        <v>167.27091589494103</v>
      </c>
      <c r="I171" s="205">
        <f t="shared" si="105"/>
        <v>210.10147714620143</v>
      </c>
      <c r="J171" s="313"/>
      <c r="K171" s="558"/>
      <c r="L171" s="317">
        <f>L170-$K$170</f>
        <v>4.9906472629751306</v>
      </c>
      <c r="M171" s="317">
        <f t="shared" ref="M171:P171" si="106">M170-$K$170</f>
        <v>10.029413385980547</v>
      </c>
      <c r="N171" s="317">
        <f t="shared" si="106"/>
        <v>15.116762321799229</v>
      </c>
      <c r="O171" s="317">
        <f t="shared" si="106"/>
        <v>20.253162496559412</v>
      </c>
      <c r="P171" s="317">
        <f t="shared" si="106"/>
        <v>25.439086852862033</v>
      </c>
      <c r="U171" s="144"/>
    </row>
    <row r="172" spans="1:39" x14ac:dyDescent="0.25">
      <c r="A172" s="313"/>
      <c r="B172" s="313"/>
      <c r="C172" s="313"/>
      <c r="D172" s="628"/>
      <c r="E172" s="629"/>
      <c r="F172" s="629"/>
      <c r="G172" s="629"/>
      <c r="H172" s="629"/>
      <c r="I172" s="629"/>
      <c r="J172" s="313"/>
      <c r="K172" s="313"/>
      <c r="L172" s="630"/>
      <c r="M172" s="630"/>
      <c r="N172" s="630"/>
      <c r="O172" s="630"/>
      <c r="P172" s="630"/>
      <c r="U172" s="144"/>
    </row>
    <row r="173" spans="1:39" x14ac:dyDescent="0.25">
      <c r="A173" s="313"/>
      <c r="B173" s="341"/>
      <c r="C173" s="240"/>
      <c r="D173" s="240"/>
      <c r="E173" s="240"/>
      <c r="F173" s="240"/>
      <c r="G173" s="240"/>
      <c r="H173" s="240"/>
      <c r="I173" s="240"/>
      <c r="J173" s="240"/>
      <c r="K173" s="240"/>
      <c r="L173" s="240"/>
      <c r="M173" s="240"/>
      <c r="N173" s="240"/>
      <c r="O173" s="240"/>
      <c r="P173" s="240"/>
      <c r="Q173" s="144"/>
      <c r="R173" s="144"/>
      <c r="S173" s="144"/>
      <c r="T173" s="144"/>
      <c r="U173" s="144"/>
      <c r="V173" s="144"/>
      <c r="W173" s="144"/>
      <c r="X173" s="144"/>
      <c r="Y173" s="144"/>
      <c r="AI173" s="311"/>
      <c r="AJ173" s="311"/>
      <c r="AK173" s="311"/>
      <c r="AL173" s="311"/>
      <c r="AM173" s="311"/>
    </row>
    <row r="174" spans="1:39" x14ac:dyDescent="0.25">
      <c r="A174" s="347"/>
      <c r="B174" s="348" t="s">
        <v>6</v>
      </c>
      <c r="C174" s="349"/>
      <c r="D174" s="349"/>
      <c r="E174" s="350"/>
      <c r="F174" s="351"/>
      <c r="G174" s="352"/>
      <c r="H174" s="352"/>
      <c r="I174" s="413"/>
      <c r="J174" s="347"/>
      <c r="K174" s="347"/>
      <c r="L174" s="347"/>
      <c r="M174" s="347"/>
      <c r="N174" s="347"/>
      <c r="O174" s="347"/>
      <c r="P174" s="430"/>
      <c r="Q174" s="144"/>
      <c r="R174" s="144"/>
      <c r="S174" s="144"/>
      <c r="T174" s="144"/>
      <c r="U174" s="144"/>
      <c r="V174" s="144"/>
      <c r="W174" s="144"/>
      <c r="X174" s="144"/>
      <c r="Y174" s="144"/>
      <c r="AI174" s="311"/>
      <c r="AJ174" s="311"/>
      <c r="AK174" s="311"/>
      <c r="AL174" s="311"/>
      <c r="AM174" s="311"/>
    </row>
    <row r="175" spans="1:39" x14ac:dyDescent="0.25">
      <c r="A175" s="347"/>
      <c r="B175" s="420" t="s">
        <v>1075</v>
      </c>
      <c r="C175" s="421"/>
      <c r="D175" s="421"/>
      <c r="E175" s="421"/>
      <c r="F175" s="421"/>
      <c r="G175" s="421"/>
      <c r="H175" s="421"/>
      <c r="I175" s="353"/>
      <c r="J175" s="430"/>
      <c r="K175" s="454"/>
      <c r="L175" s="454"/>
      <c r="M175" s="454"/>
      <c r="N175" s="454"/>
      <c r="O175" s="454"/>
      <c r="P175" s="454"/>
      <c r="Q175" s="144"/>
      <c r="R175" s="144"/>
      <c r="S175" s="144"/>
      <c r="T175" s="144"/>
      <c r="U175" s="144"/>
      <c r="V175" s="144"/>
      <c r="W175" s="144"/>
      <c r="X175" s="144"/>
      <c r="Y175" s="144"/>
      <c r="AI175" s="311"/>
      <c r="AJ175" s="311"/>
      <c r="AK175" s="311"/>
      <c r="AL175" s="311"/>
      <c r="AM175" s="311"/>
    </row>
    <row r="176" spans="1:39" ht="45" x14ac:dyDescent="0.25">
      <c r="A176" s="347"/>
      <c r="B176" s="305" t="s">
        <v>902</v>
      </c>
      <c r="C176" s="181" t="s">
        <v>1076</v>
      </c>
      <c r="D176" s="444" t="s">
        <v>997</v>
      </c>
      <c r="E176" s="282" t="s">
        <v>703</v>
      </c>
      <c r="F176" s="282" t="s">
        <v>704</v>
      </c>
      <c r="G176" s="180" t="s">
        <v>998</v>
      </c>
      <c r="H176" s="180" t="s">
        <v>999</v>
      </c>
      <c r="I176" s="282" t="s">
        <v>1000</v>
      </c>
      <c r="J176" s="347"/>
      <c r="K176" s="444" t="s">
        <v>997</v>
      </c>
      <c r="L176" s="282" t="s">
        <v>703</v>
      </c>
      <c r="M176" s="282" t="s">
        <v>704</v>
      </c>
      <c r="N176" s="180" t="s">
        <v>998</v>
      </c>
      <c r="O176" s="180" t="s">
        <v>999</v>
      </c>
      <c r="P176" s="282" t="s">
        <v>1000</v>
      </c>
      <c r="Q176" s="144"/>
      <c r="R176" s="144"/>
      <c r="S176" s="144"/>
      <c r="T176" s="144"/>
      <c r="U176" s="144"/>
      <c r="V176" s="144"/>
      <c r="W176" s="144"/>
      <c r="X176" s="144"/>
      <c r="Y176" s="144"/>
      <c r="AI176" s="311"/>
      <c r="AJ176" s="311"/>
      <c r="AK176" s="311"/>
      <c r="AL176" s="311"/>
      <c r="AM176" s="311"/>
    </row>
    <row r="177" spans="1:39" x14ac:dyDescent="0.25">
      <c r="A177" s="347"/>
      <c r="B177" s="366" t="s">
        <v>1061</v>
      </c>
      <c r="C177" s="162">
        <f>'Inputs and eligible population'!G98</f>
        <v>4</v>
      </c>
      <c r="D177" s="139">
        <f>'Financial impact (cash)'!D13*'Capacity (local prices)'!$C177</f>
        <v>0</v>
      </c>
      <c r="E177" s="139">
        <f>'Financial impact (cash)'!E13*'Capacity (local prices)'!$C177</f>
        <v>57.548243200717877</v>
      </c>
      <c r="F177" s="139">
        <f>'Financial impact (cash)'!F13*'Capacity (local prices)'!$C177</f>
        <v>39.290277268526381</v>
      </c>
      <c r="G177" s="139">
        <f>'Financial impact (cash)'!G13*'Capacity (local prices)'!$C177</f>
        <v>40.042585904936374</v>
      </c>
      <c r="H177" s="139">
        <f>'Financial impact (cash)'!H13*'Capacity (local prices)'!$C177</f>
        <v>40.80574917233514</v>
      </c>
      <c r="I177" s="139">
        <f>'Financial impact (cash)'!I13*'Capacity (local prices)'!$C177</f>
        <v>41.579906449287364</v>
      </c>
      <c r="J177" s="347"/>
      <c r="K177" s="316">
        <f>(D177*$C177*'Inputs and eligible population'!$G$99/60*'Inputs and eligible population'!$K$99)/1000</f>
        <v>0</v>
      </c>
      <c r="L177" s="316">
        <f>(E177*$C177*'Inputs and eligible population'!$G$99/60*'Inputs and eligible population'!$K$99)/1000</f>
        <v>6.9679412867429198</v>
      </c>
      <c r="M177" s="316">
        <f>(F177*$C177*'Inputs and eligible population'!$G$99/60*'Inputs and eligible population'!$K$99)/1000</f>
        <v>4.7572667716731747</v>
      </c>
      <c r="N177" s="316">
        <f>(G177*$C177*'Inputs and eligible population'!$G$99/60*'Inputs and eligible population'!$K$99)/1000</f>
        <v>4.8483563013696962</v>
      </c>
      <c r="O177" s="316">
        <f>(H177*$C177*'Inputs and eligible population'!$G$99/60*'Inputs and eligible population'!$K$99)/1000</f>
        <v>4.9407601097863392</v>
      </c>
      <c r="P177" s="316">
        <f>(I177*$C177*'Inputs and eligible population'!$G$99/60*'Inputs and eligible population'!$K$99)/1000</f>
        <v>5.0344950728797135</v>
      </c>
      <c r="Q177" s="144"/>
      <c r="R177" s="144"/>
      <c r="S177" s="144"/>
      <c r="T177" s="144"/>
      <c r="U177" s="144"/>
      <c r="V177" s="144"/>
      <c r="W177" s="144"/>
      <c r="X177" s="144"/>
      <c r="Y177" s="144"/>
      <c r="AI177" s="311"/>
      <c r="AJ177" s="311"/>
      <c r="AK177" s="311"/>
      <c r="AL177" s="311"/>
      <c r="AM177" s="311"/>
    </row>
    <row r="178" spans="1:39" x14ac:dyDescent="0.25">
      <c r="A178" s="347"/>
      <c r="B178" s="308"/>
      <c r="C178" s="229"/>
      <c r="D178" s="205">
        <f t="shared" ref="D178:I178" si="107">SUM(D177:D177)</f>
        <v>0</v>
      </c>
      <c r="E178" s="205">
        <f t="shared" si="107"/>
        <v>57.548243200717877</v>
      </c>
      <c r="F178" s="205">
        <f t="shared" si="107"/>
        <v>39.290277268526381</v>
      </c>
      <c r="G178" s="205">
        <f t="shared" si="107"/>
        <v>40.042585904936374</v>
      </c>
      <c r="H178" s="205">
        <f t="shared" si="107"/>
        <v>40.80574917233514</v>
      </c>
      <c r="I178" s="205">
        <f t="shared" si="107"/>
        <v>41.579906449287364</v>
      </c>
      <c r="J178" s="347"/>
      <c r="K178" s="317">
        <f t="shared" ref="K178:P178" si="108">SUM(K177:K177)</f>
        <v>0</v>
      </c>
      <c r="L178" s="317">
        <f t="shared" si="108"/>
        <v>6.9679412867429198</v>
      </c>
      <c r="M178" s="317">
        <f t="shared" si="108"/>
        <v>4.7572667716731747</v>
      </c>
      <c r="N178" s="317">
        <f t="shared" si="108"/>
        <v>4.8483563013696962</v>
      </c>
      <c r="O178" s="317">
        <f t="shared" si="108"/>
        <v>4.9407601097863392</v>
      </c>
      <c r="P178" s="317">
        <f t="shared" si="108"/>
        <v>5.0344950728797135</v>
      </c>
      <c r="Q178" s="144"/>
      <c r="R178" s="144"/>
      <c r="S178" s="144"/>
      <c r="T178" s="144"/>
      <c r="U178" s="144"/>
      <c r="V178" s="144"/>
      <c r="W178" s="144"/>
      <c r="X178" s="144"/>
      <c r="Y178" s="144"/>
      <c r="AI178" s="311"/>
      <c r="AJ178" s="311"/>
      <c r="AK178" s="311"/>
      <c r="AL178" s="311"/>
      <c r="AM178" s="311"/>
    </row>
    <row r="179" spans="1:39" x14ac:dyDescent="0.25">
      <c r="A179" s="347"/>
      <c r="B179" s="324"/>
      <c r="C179" s="283"/>
      <c r="D179" s="310" t="s">
        <v>1077</v>
      </c>
      <c r="E179" s="205">
        <f>E178-$D$178</f>
        <v>57.548243200717877</v>
      </c>
      <c r="F179" s="205">
        <f>F178-$D$178</f>
        <v>39.290277268526381</v>
      </c>
      <c r="G179" s="205">
        <f>G178-$D$178</f>
        <v>40.042585904936374</v>
      </c>
      <c r="H179" s="205">
        <f>H178-$D$178</f>
        <v>40.80574917233514</v>
      </c>
      <c r="I179" s="205">
        <f>I178-$D$178</f>
        <v>41.579906449287364</v>
      </c>
      <c r="J179" s="347"/>
      <c r="K179" s="559"/>
      <c r="L179" s="317">
        <f>L178-$K$178</f>
        <v>6.9679412867429198</v>
      </c>
      <c r="M179" s="317">
        <f t="shared" ref="M179:P179" si="109">M178-$K$178</f>
        <v>4.7572667716731747</v>
      </c>
      <c r="N179" s="317">
        <f t="shared" si="109"/>
        <v>4.8483563013696962</v>
      </c>
      <c r="O179" s="317">
        <f t="shared" si="109"/>
        <v>4.9407601097863392</v>
      </c>
      <c r="P179" s="317">
        <f t="shared" si="109"/>
        <v>5.0344950728797135</v>
      </c>
      <c r="U179" s="144"/>
    </row>
    <row r="180" spans="1:39" x14ac:dyDescent="0.25">
      <c r="A180" s="347"/>
      <c r="B180" s="347"/>
      <c r="C180" s="347"/>
      <c r="D180" s="624"/>
      <c r="E180" s="625"/>
      <c r="F180" s="625"/>
      <c r="G180" s="625"/>
      <c r="H180" s="625"/>
      <c r="I180" s="625"/>
      <c r="J180" s="347"/>
      <c r="K180" s="347"/>
      <c r="L180" s="626"/>
      <c r="M180" s="626"/>
      <c r="N180" s="626"/>
      <c r="O180" s="626"/>
      <c r="P180" s="626"/>
      <c r="U180" s="144"/>
    </row>
    <row r="181" spans="1:39" x14ac:dyDescent="0.25">
      <c r="A181" s="347"/>
      <c r="B181" s="348" t="s">
        <v>1078</v>
      </c>
      <c r="C181" s="349"/>
      <c r="D181" s="349"/>
      <c r="E181" s="350"/>
      <c r="F181" s="351"/>
      <c r="G181" s="352"/>
      <c r="H181" s="352"/>
      <c r="I181" s="413"/>
      <c r="J181" s="347"/>
      <c r="K181" s="347"/>
      <c r="L181" s="347"/>
      <c r="M181" s="347"/>
      <c r="N181" s="347"/>
      <c r="O181" s="347"/>
      <c r="P181" s="430"/>
      <c r="U181" s="144"/>
    </row>
    <row r="182" spans="1:39" x14ac:dyDescent="0.25">
      <c r="A182" s="347"/>
      <c r="B182" s="420" t="s">
        <v>1079</v>
      </c>
      <c r="C182" s="421"/>
      <c r="D182" s="421"/>
      <c r="E182" s="421"/>
      <c r="F182" s="421"/>
      <c r="G182" s="421"/>
      <c r="H182" s="421"/>
      <c r="I182" s="353"/>
      <c r="J182" s="430"/>
      <c r="K182" s="454"/>
      <c r="L182" s="454"/>
      <c r="M182" s="454"/>
      <c r="N182" s="454"/>
      <c r="O182" s="454"/>
      <c r="P182" s="454"/>
      <c r="U182" s="144"/>
    </row>
    <row r="183" spans="1:39" ht="52.35" customHeight="1" x14ac:dyDescent="0.25">
      <c r="A183" s="347"/>
      <c r="B183" s="305" t="s">
        <v>902</v>
      </c>
      <c r="C183" s="181" t="s">
        <v>819</v>
      </c>
      <c r="D183" s="444" t="s">
        <v>997</v>
      </c>
      <c r="E183" s="282" t="s">
        <v>703</v>
      </c>
      <c r="F183" s="282" t="s">
        <v>704</v>
      </c>
      <c r="G183" s="180" t="s">
        <v>998</v>
      </c>
      <c r="H183" s="180" t="s">
        <v>999</v>
      </c>
      <c r="I183" s="282" t="s">
        <v>1000</v>
      </c>
      <c r="J183" s="347"/>
      <c r="K183" s="444" t="s">
        <v>997</v>
      </c>
      <c r="L183" s="282" t="s">
        <v>703</v>
      </c>
      <c r="M183" s="282" t="s">
        <v>704</v>
      </c>
      <c r="N183" s="180" t="s">
        <v>998</v>
      </c>
      <c r="O183" s="180" t="s">
        <v>999</v>
      </c>
      <c r="P183" s="282" t="s">
        <v>1000</v>
      </c>
      <c r="U183" s="144"/>
    </row>
    <row r="184" spans="1:39" x14ac:dyDescent="0.25">
      <c r="A184" s="347"/>
      <c r="B184" s="366" t="s">
        <v>1080</v>
      </c>
      <c r="C184" s="162">
        <f>'Inputs and eligible population'!G101</f>
        <v>60</v>
      </c>
      <c r="D184" s="139">
        <f>'Financial impact (cash)'!D13*'Inputs and eligible population'!E85*'Capacity (local prices)'!$C184/60</f>
        <v>0</v>
      </c>
      <c r="E184" s="139">
        <f>'Financial impact (cash)'!E13*'Inputs and eligible population'!F85*'Capacity (local prices)'!$C184/60</f>
        <v>7.1935304000897338</v>
      </c>
      <c r="F184" s="139">
        <f>'Financial impact (cash)'!F13*'Inputs and eligible population'!G85*'Capacity (local prices)'!$C184/60</f>
        <v>4.9112846585657985</v>
      </c>
      <c r="G184" s="139">
        <f>'Financial impact (cash)'!G13*'Inputs and eligible population'!H85*'Capacity (local prices)'!$C184/60</f>
        <v>5.0053232381170467</v>
      </c>
      <c r="H184" s="139">
        <f>'Financial impact (cash)'!H13*'Inputs and eligible population'!I85*'Capacity (local prices)'!$C184/60</f>
        <v>5.1007186465418926</v>
      </c>
      <c r="I184" s="139">
        <f>'Financial impact (cash)'!I13*'Inputs and eligible population'!J85*'Capacity (local prices)'!$C184/60</f>
        <v>5.1974883061609205</v>
      </c>
      <c r="J184" s="347"/>
      <c r="K184" s="316">
        <f>D184*'Inputs and eligible population'!$K$101/1000</f>
        <v>0</v>
      </c>
      <c r="L184" s="316">
        <f>E184*'Inputs and eligible population'!$K$101/1000</f>
        <v>0.30320730636378229</v>
      </c>
      <c r="M184" s="316">
        <f>F184*'Inputs and eligible population'!$K$101/1000</f>
        <v>0.2070106483585484</v>
      </c>
      <c r="N184" s="316">
        <f>G184*'Inputs and eligible population'!$K$101/1000</f>
        <v>0.2109743744866335</v>
      </c>
      <c r="O184" s="316">
        <f>H184*'Inputs and eligible population'!$K$101/1000</f>
        <v>0.21499529095174078</v>
      </c>
      <c r="P184" s="316">
        <f>I184*'Inputs and eligible population'!$K$101/1000</f>
        <v>0.21907413210468279</v>
      </c>
      <c r="U184" s="144"/>
    </row>
    <row r="185" spans="1:39" x14ac:dyDescent="0.25">
      <c r="A185" s="347"/>
      <c r="B185" s="366" t="s">
        <v>1081</v>
      </c>
      <c r="C185" s="162">
        <f>'Inputs and eligible population'!G103</f>
        <v>15</v>
      </c>
      <c r="D185" s="139">
        <f>'Financial impact (cash)'!D13*'Inputs and eligible population'!E84*'Capacity (local prices)'!$C185/60</f>
        <v>0</v>
      </c>
      <c r="E185" s="139">
        <f>'Financial impact (cash)'!E13*'Inputs and eligible population'!F84*'Capacity (local prices)'!$C185/60</f>
        <v>1.7983826000224334</v>
      </c>
      <c r="F185" s="139">
        <f>'Financial impact (cash)'!F13*'Inputs and eligible population'!G84*'Capacity (local prices)'!$C185/60</f>
        <v>1.2278211646414496</v>
      </c>
      <c r="G185" s="139">
        <f>'Financial impact (cash)'!G13*'Inputs and eligible population'!H84*'Capacity (local prices)'!$C185/60</f>
        <v>1.2513308095292617</v>
      </c>
      <c r="H185" s="139">
        <f>'Financial impact (cash)'!H13*'Inputs and eligible population'!I84*'Capacity (local prices)'!$C185/60</f>
        <v>1.2751796616354731</v>
      </c>
      <c r="I185" s="139">
        <f>'Financial impact (cash)'!I13*'Inputs and eligible population'!J84*'Capacity (local prices)'!$C185/60</f>
        <v>1.2993720765402301</v>
      </c>
      <c r="J185" s="347"/>
      <c r="K185" s="316">
        <f>D185*'Inputs and eligible population'!$K$103/1000</f>
        <v>0</v>
      </c>
      <c r="L185" s="316">
        <f>E185*'Inputs and eligible population'!$K$103/1000</f>
        <v>7.5801826590945573E-2</v>
      </c>
      <c r="M185" s="316">
        <f>F185*'Inputs and eligible population'!$K$103/1000</f>
        <v>5.1752662089637101E-2</v>
      </c>
      <c r="N185" s="316">
        <f>G185*'Inputs and eligible population'!$K$103/1000</f>
        <v>5.2743593621658376E-2</v>
      </c>
      <c r="O185" s="316">
        <f>H185*'Inputs and eligible population'!$K$103/1000</f>
        <v>5.3748822737935194E-2</v>
      </c>
      <c r="P185" s="316">
        <f>I185*'Inputs and eligible population'!$K$103/1000</f>
        <v>5.4768533026170699E-2</v>
      </c>
      <c r="U185" s="144"/>
    </row>
    <row r="186" spans="1:39" x14ac:dyDescent="0.25">
      <c r="A186" s="347"/>
      <c r="B186" s="308"/>
      <c r="C186" s="229"/>
      <c r="D186" s="205">
        <f>SUM(D184:D185)</f>
        <v>0</v>
      </c>
      <c r="E186" s="205">
        <f t="shared" ref="E186:I186" si="110">SUM(E184:E185)</f>
        <v>8.9919130001121665</v>
      </c>
      <c r="F186" s="205">
        <f t="shared" si="110"/>
        <v>6.139105823207248</v>
      </c>
      <c r="G186" s="205">
        <f t="shared" si="110"/>
        <v>6.2566540476463084</v>
      </c>
      <c r="H186" s="205">
        <f t="shared" si="110"/>
        <v>6.3758983081773657</v>
      </c>
      <c r="I186" s="205">
        <f t="shared" si="110"/>
        <v>6.4968603827011506</v>
      </c>
      <c r="J186" s="347"/>
      <c r="K186" s="317">
        <f>SUM(K184:K185)</f>
        <v>0</v>
      </c>
      <c r="L186" s="317">
        <f t="shared" ref="L186:P186" si="111">SUM(L184:L185)</f>
        <v>0.37900913295472788</v>
      </c>
      <c r="M186" s="317">
        <f t="shared" si="111"/>
        <v>0.25876331044818551</v>
      </c>
      <c r="N186" s="317">
        <f t="shared" si="111"/>
        <v>0.2637179681082919</v>
      </c>
      <c r="O186" s="317">
        <f t="shared" si="111"/>
        <v>0.26874411368967599</v>
      </c>
      <c r="P186" s="317">
        <f t="shared" si="111"/>
        <v>0.27384266513085348</v>
      </c>
      <c r="U186" s="144"/>
    </row>
    <row r="187" spans="1:39" x14ac:dyDescent="0.25">
      <c r="A187" s="347"/>
      <c r="B187" s="324"/>
      <c r="C187" s="283"/>
      <c r="D187" s="310" t="s">
        <v>1082</v>
      </c>
      <c r="E187" s="205">
        <f>E186-$D$186</f>
        <v>8.9919130001121665</v>
      </c>
      <c r="F187" s="205">
        <f t="shared" ref="F187:I187" si="112">F186-$D$186</f>
        <v>6.139105823207248</v>
      </c>
      <c r="G187" s="205">
        <f t="shared" si="112"/>
        <v>6.2566540476463084</v>
      </c>
      <c r="H187" s="205">
        <f t="shared" si="112"/>
        <v>6.3758983081773657</v>
      </c>
      <c r="I187" s="205">
        <f t="shared" si="112"/>
        <v>6.4968603827011506</v>
      </c>
      <c r="J187" s="347"/>
      <c r="K187" s="559"/>
      <c r="L187" s="317">
        <f>L186-$K$186</f>
        <v>0.37900913295472788</v>
      </c>
      <c r="M187" s="317">
        <f t="shared" ref="M187:P187" si="113">M186-$K$186</f>
        <v>0.25876331044818551</v>
      </c>
      <c r="N187" s="317">
        <f t="shared" si="113"/>
        <v>0.2637179681082919</v>
      </c>
      <c r="O187" s="317">
        <f t="shared" si="113"/>
        <v>0.26874411368967599</v>
      </c>
      <c r="P187" s="317">
        <f t="shared" si="113"/>
        <v>0.27384266513085348</v>
      </c>
      <c r="U187" s="144"/>
    </row>
    <row r="188" spans="1:39" x14ac:dyDescent="0.25">
      <c r="A188" s="347"/>
      <c r="B188" s="347"/>
      <c r="C188" s="347"/>
      <c r="D188" s="624"/>
      <c r="E188" s="625"/>
      <c r="F188" s="625"/>
      <c r="G188" s="625"/>
      <c r="H188" s="625"/>
      <c r="I188" s="625"/>
      <c r="J188" s="347"/>
      <c r="K188" s="347"/>
      <c r="L188" s="626"/>
      <c r="M188" s="626"/>
      <c r="N188" s="626"/>
      <c r="O188" s="626"/>
      <c r="P188" s="626"/>
      <c r="U188" s="144"/>
    </row>
    <row r="189" spans="1:39" x14ac:dyDescent="0.25">
      <c r="A189" s="347"/>
      <c r="B189" s="347"/>
      <c r="C189" s="347"/>
      <c r="D189" s="347"/>
      <c r="E189" s="347"/>
      <c r="F189" s="347"/>
      <c r="G189" s="347"/>
      <c r="H189" s="347"/>
      <c r="I189" s="347"/>
      <c r="J189" s="347"/>
      <c r="K189" s="347"/>
      <c r="L189" s="347"/>
      <c r="M189" s="347"/>
      <c r="N189" s="347"/>
      <c r="O189" s="347"/>
      <c r="P189" s="347"/>
      <c r="U189" s="144"/>
    </row>
    <row r="190" spans="1:39" x14ac:dyDescent="0.25">
      <c r="A190" s="315"/>
      <c r="B190" s="344" t="s">
        <v>1083</v>
      </c>
      <c r="C190" s="332"/>
      <c r="D190" s="333"/>
      <c r="E190" s="334"/>
      <c r="F190" s="335"/>
      <c r="G190" s="335"/>
      <c r="H190" s="335"/>
      <c r="I190" s="455"/>
      <c r="J190" s="315"/>
      <c r="K190" s="315"/>
      <c r="L190" s="315"/>
      <c r="M190" s="315"/>
      <c r="N190" s="315"/>
      <c r="O190" s="315"/>
      <c r="P190" s="244"/>
      <c r="Q190" s="144"/>
      <c r="R190" s="144"/>
      <c r="S190" s="144"/>
      <c r="T190" s="144"/>
      <c r="U190" s="144"/>
      <c r="V190" s="144"/>
      <c r="W190" s="144"/>
      <c r="X190" s="144"/>
      <c r="Y190" s="144"/>
      <c r="AI190" s="311"/>
      <c r="AJ190" s="311"/>
      <c r="AK190" s="311"/>
      <c r="AL190" s="311"/>
      <c r="AM190" s="311"/>
    </row>
    <row r="191" spans="1:39" x14ac:dyDescent="0.25">
      <c r="A191" s="315"/>
      <c r="B191" s="422" t="s">
        <v>1084</v>
      </c>
      <c r="C191" s="423"/>
      <c r="D191" s="423"/>
      <c r="E191" s="423"/>
      <c r="F191" s="423"/>
      <c r="G191" s="423"/>
      <c r="H191" s="423"/>
      <c r="I191" s="243"/>
      <c r="J191" s="244"/>
      <c r="K191" s="451"/>
      <c r="L191" s="451"/>
      <c r="M191" s="451"/>
      <c r="N191" s="451"/>
      <c r="O191" s="451"/>
      <c r="P191" s="451"/>
      <c r="Q191" s="144"/>
      <c r="R191" s="144"/>
      <c r="S191" s="144"/>
      <c r="T191" s="144"/>
      <c r="U191" s="144"/>
      <c r="V191" s="144"/>
      <c r="W191" s="144"/>
      <c r="X191" s="144"/>
      <c r="Y191" s="144"/>
      <c r="AI191" s="311"/>
      <c r="AJ191" s="311"/>
      <c r="AK191" s="311"/>
      <c r="AL191" s="311"/>
      <c r="AM191" s="311"/>
    </row>
    <row r="192" spans="1:39" ht="45" x14ac:dyDescent="0.25">
      <c r="A192" s="315"/>
      <c r="B192" s="305" t="s">
        <v>902</v>
      </c>
      <c r="C192" s="181" t="s">
        <v>1084</v>
      </c>
      <c r="D192" s="444" t="s">
        <v>997</v>
      </c>
      <c r="E192" s="282" t="s">
        <v>703</v>
      </c>
      <c r="F192" s="282" t="s">
        <v>704</v>
      </c>
      <c r="G192" s="180" t="s">
        <v>998</v>
      </c>
      <c r="H192" s="180" t="s">
        <v>999</v>
      </c>
      <c r="I192" s="282" t="s">
        <v>1000</v>
      </c>
      <c r="J192" s="315"/>
      <c r="K192" s="444" t="s">
        <v>997</v>
      </c>
      <c r="L192" s="282" t="s">
        <v>703</v>
      </c>
      <c r="M192" s="282" t="s">
        <v>704</v>
      </c>
      <c r="N192" s="180" t="s">
        <v>998</v>
      </c>
      <c r="O192" s="180" t="s">
        <v>999</v>
      </c>
      <c r="P192" s="282" t="s">
        <v>1000</v>
      </c>
      <c r="Q192" s="144"/>
      <c r="R192" s="144"/>
      <c r="S192" s="144"/>
      <c r="T192" s="144"/>
      <c r="U192" s="144"/>
      <c r="V192" s="144"/>
      <c r="W192" s="144"/>
      <c r="X192" s="144"/>
      <c r="Y192" s="144"/>
      <c r="AI192" s="311"/>
      <c r="AJ192" s="311"/>
      <c r="AK192" s="311"/>
      <c r="AL192" s="311"/>
      <c r="AM192" s="311"/>
    </row>
    <row r="193" spans="1:39" x14ac:dyDescent="0.25">
      <c r="A193" s="315"/>
      <c r="B193" s="366" t="s">
        <v>1085</v>
      </c>
      <c r="C193" s="162">
        <f>'Inputs and eligible population'!G94</f>
        <v>1</v>
      </c>
      <c r="D193" s="139">
        <f>('Financial impact (cash)'!D13*'Inputs and eligible population'!$E$65)*'Capacity (local prices)'!$C193</f>
        <v>0</v>
      </c>
      <c r="E193" s="139">
        <f>('Financial impact (cash)'!E13*'Inputs and eligible population'!$E$65)*'Capacity (local prices)'!$C193</f>
        <v>12.56641378135124</v>
      </c>
      <c r="F193" s="139">
        <f>('Financial impact (cash)'!F13*'Inputs and eligible population'!$E$65)*'Capacity (local prices)'!$C193</f>
        <v>8.5795474245539136</v>
      </c>
      <c r="G193" s="139">
        <f>('Financial impact (cash)'!G13*'Inputs and eligible population'!$E$65)*'Capacity (local prices)'!$C193</f>
        <v>8.7438238835839286</v>
      </c>
      <c r="H193" s="139">
        <f>('Financial impact (cash)'!H13*'Inputs and eligible population'!$E$65)*'Capacity (local prices)'!$C193</f>
        <v>8.9104705936739634</v>
      </c>
      <c r="I193" s="139">
        <f>('Financial impact (cash)'!I13*'Inputs and eligible population'!$E$65)*'Capacity (local prices)'!$C193</f>
        <v>9.0795179899618912</v>
      </c>
      <c r="J193" s="315"/>
      <c r="K193" s="316">
        <f>(D193*$C$193*'Inputs and eligible population'!$G$95/60*'Inputs and eligible population'!$K$95)/1000</f>
        <v>0</v>
      </c>
      <c r="L193" s="316">
        <f>(E193*$C$193*'Inputs and eligible population'!$G$95/60*'Inputs and eligible population'!$K$95)/1000</f>
        <v>0.1765581136279849</v>
      </c>
      <c r="M193" s="316">
        <f>(F193*$C$193*'Inputs and eligible population'!$G$95/60*'Inputs and eligible population'!$K$95)/1000</f>
        <v>0.12054264131498248</v>
      </c>
      <c r="N193" s="316">
        <f>(G193*$C$193*'Inputs and eligible population'!$G$95/60*'Inputs and eligible population'!$K$95)/1000</f>
        <v>0.1228507255643542</v>
      </c>
      <c r="O193" s="316">
        <f>(H193*$C$193*'Inputs and eligible population'!$G$95/60*'Inputs and eligible population'!$K$95)/1000</f>
        <v>0.12519211184111917</v>
      </c>
      <c r="P193" s="316">
        <f>(I193*$C$193*'Inputs and eligible population'!$G$95/60*'Inputs and eligible population'!$K$95)/1000</f>
        <v>0.12756722775896459</v>
      </c>
      <c r="Q193" s="144"/>
      <c r="R193" s="144"/>
      <c r="S193" s="144"/>
      <c r="T193" s="144"/>
      <c r="U193" s="144"/>
      <c r="V193" s="144"/>
      <c r="W193" s="144"/>
      <c r="X193" s="144"/>
      <c r="Y193" s="144"/>
      <c r="AI193" s="311"/>
      <c r="AJ193" s="311"/>
      <c r="AK193" s="311"/>
      <c r="AL193" s="311"/>
      <c r="AM193" s="311"/>
    </row>
    <row r="194" spans="1:39" x14ac:dyDescent="0.25">
      <c r="A194" s="315"/>
      <c r="B194" s="366" t="s">
        <v>1086</v>
      </c>
      <c r="C194" s="162">
        <f>'Inputs and eligible population'!G96</f>
        <v>1</v>
      </c>
      <c r="D194" s="139">
        <f>'Financial impact (cash)'!D13*'Inputs and eligible population'!$E$64*'Capacity (local prices)'!$C194</f>
        <v>0</v>
      </c>
      <c r="E194" s="139">
        <f>'Financial impact (cash)'!E13*'Inputs and eligible population'!$E$64*'Capacity (local prices)'!$C194</f>
        <v>1.8206470188282291</v>
      </c>
      <c r="F194" s="139">
        <f>'Financial impact (cash)'!F13*'Inputs and eligible population'!$E$64*'Capacity (local prices)'!$C194</f>
        <v>1.2430218925776828</v>
      </c>
      <c r="G194" s="139">
        <f>'Financial impact (cash)'!G13*'Inputs and eligible population'!$E$64*'Capacity (local prices)'!$C194</f>
        <v>1.2668225926501655</v>
      </c>
      <c r="H194" s="139">
        <f>'Financial impact (cash)'!H13*'Inputs and eligible population'!$E$64*'Capacity (local prices)'!$C194</f>
        <v>1.2909666994098214</v>
      </c>
      <c r="I194" s="139">
        <f>'Financial impact (cash)'!I13*'Inputs and eligible population'!$E$64*'Capacity (local prices)'!$C194</f>
        <v>1.31545862235995</v>
      </c>
      <c r="J194" s="315"/>
      <c r="K194" s="316">
        <f>(D194*$C$194*'Inputs and eligible population'!$G$97/60*'Inputs and eligible population'!$K$97)/1000</f>
        <v>0</v>
      </c>
      <c r="L194" s="316">
        <f>(E194*$C$194*'Inputs and eligible population'!$G$97/60*'Inputs and eligible population'!$K$97)/1000</f>
        <v>3.8370135921804931E-2</v>
      </c>
      <c r="M194" s="316">
        <f>(F194*$C$194*'Inputs and eligible population'!$G$97/60*'Inputs and eligible population'!$K$97)/1000</f>
        <v>2.6196686386074662E-2</v>
      </c>
      <c r="N194" s="316">
        <f>(G194*$C$194*'Inputs and eligible population'!$G$97/60*'Inputs and eligible population'!$K$97)/1000</f>
        <v>2.6698286140102237E-2</v>
      </c>
      <c r="O194" s="316">
        <f>(H194*$C$194*'Inputs and eligible population'!$G$97/60*'Inputs and eligible population'!$K$97)/1000</f>
        <v>2.7207123190061987E-2</v>
      </c>
      <c r="P194" s="316">
        <f>(I194*$C$194*'Inputs and eligible population'!$G$97/60*'Inputs and eligible population'!$K$97)/1000</f>
        <v>2.7723290466235943E-2</v>
      </c>
      <c r="Q194" s="144"/>
      <c r="R194" s="144"/>
      <c r="S194" s="144"/>
      <c r="T194" s="144"/>
      <c r="U194" s="144"/>
      <c r="V194" s="144"/>
      <c r="W194" s="144"/>
      <c r="X194" s="144"/>
      <c r="Y194" s="144"/>
      <c r="AI194" s="311"/>
      <c r="AJ194" s="311"/>
      <c r="AK194" s="311"/>
      <c r="AL194" s="311"/>
      <c r="AM194" s="311"/>
    </row>
    <row r="195" spans="1:39" x14ac:dyDescent="0.25">
      <c r="A195" s="315"/>
      <c r="B195" s="308"/>
      <c r="C195" s="229"/>
      <c r="D195" s="205">
        <f t="shared" ref="D195:I195" si="114">SUM(D193:D194)</f>
        <v>0</v>
      </c>
      <c r="E195" s="205">
        <f t="shared" si="114"/>
        <v>14.387060800179469</v>
      </c>
      <c r="F195" s="205">
        <f t="shared" si="114"/>
        <v>9.8225693171315971</v>
      </c>
      <c r="G195" s="205">
        <f t="shared" si="114"/>
        <v>10.010646476234093</v>
      </c>
      <c r="H195" s="205">
        <f t="shared" si="114"/>
        <v>10.201437293083785</v>
      </c>
      <c r="I195" s="205">
        <f t="shared" si="114"/>
        <v>10.394976612321841</v>
      </c>
      <c r="J195" s="315"/>
      <c r="K195" s="317">
        <f t="shared" ref="K195:P195" si="115">SUM(K193:K194)</f>
        <v>0</v>
      </c>
      <c r="L195" s="317">
        <f t="shared" si="115"/>
        <v>0.21492824954978984</v>
      </c>
      <c r="M195" s="317">
        <f t="shared" si="115"/>
        <v>0.14673932770105713</v>
      </c>
      <c r="N195" s="317">
        <f t="shared" si="115"/>
        <v>0.14954901170445645</v>
      </c>
      <c r="O195" s="317">
        <f t="shared" si="115"/>
        <v>0.15239923503118116</v>
      </c>
      <c r="P195" s="317">
        <f t="shared" si="115"/>
        <v>0.15529051822520054</v>
      </c>
      <c r="Q195" s="144"/>
      <c r="R195" s="144"/>
      <c r="S195" s="144"/>
      <c r="T195" s="144"/>
      <c r="U195" s="144"/>
      <c r="V195" s="144"/>
      <c r="W195" s="144"/>
      <c r="X195" s="144"/>
      <c r="Y195" s="144"/>
      <c r="AI195" s="311"/>
      <c r="AJ195" s="311"/>
      <c r="AK195" s="311"/>
      <c r="AL195" s="311"/>
      <c r="AM195" s="311"/>
    </row>
    <row r="196" spans="1:39" x14ac:dyDescent="0.25">
      <c r="A196" s="315"/>
      <c r="B196" s="324"/>
      <c r="C196" s="283"/>
      <c r="D196" s="310" t="s">
        <v>1087</v>
      </c>
      <c r="E196" s="205">
        <f>E195-$D$195</f>
        <v>14.387060800179469</v>
      </c>
      <c r="F196" s="205">
        <f>F195-$D$195</f>
        <v>9.8225693171315971</v>
      </c>
      <c r="G196" s="205">
        <f>G195-$D$195</f>
        <v>10.010646476234093</v>
      </c>
      <c r="H196" s="205">
        <f>H195-$D$195</f>
        <v>10.201437293083785</v>
      </c>
      <c r="I196" s="205">
        <f>I195-$D$195</f>
        <v>10.394976612321841</v>
      </c>
      <c r="J196" s="315"/>
      <c r="K196" s="560"/>
      <c r="L196" s="317">
        <f>L195-$K$195</f>
        <v>0.21492824954978984</v>
      </c>
      <c r="M196" s="317">
        <f t="shared" ref="M196:P196" si="116">M195-$K$195</f>
        <v>0.14673932770105713</v>
      </c>
      <c r="N196" s="317">
        <f t="shared" si="116"/>
        <v>0.14954901170445645</v>
      </c>
      <c r="O196" s="317">
        <f t="shared" si="116"/>
        <v>0.15239923503118116</v>
      </c>
      <c r="P196" s="317">
        <f t="shared" si="116"/>
        <v>0.15529051822520054</v>
      </c>
      <c r="U196" s="144"/>
    </row>
    <row r="197" spans="1:39" x14ac:dyDescent="0.25">
      <c r="A197" s="315"/>
      <c r="B197" s="345"/>
      <c r="C197" s="244"/>
      <c r="D197" s="244"/>
      <c r="E197" s="244"/>
      <c r="F197" s="244"/>
      <c r="G197" s="244"/>
      <c r="H197" s="244"/>
      <c r="I197" s="244"/>
      <c r="J197" s="315"/>
      <c r="K197" s="244"/>
      <c r="L197" s="244"/>
      <c r="M197" s="244"/>
      <c r="N197" s="244"/>
      <c r="O197" s="244"/>
      <c r="P197" s="244"/>
      <c r="U197" s="144"/>
    </row>
    <row r="198" spans="1:39" x14ac:dyDescent="0.25">
      <c r="A198" s="315"/>
      <c r="B198" s="315"/>
      <c r="C198" s="244"/>
      <c r="D198" s="315"/>
      <c r="E198" s="315"/>
      <c r="F198" s="315"/>
      <c r="G198" s="315"/>
      <c r="H198" s="315"/>
      <c r="I198" s="244"/>
      <c r="J198" s="244"/>
      <c r="K198" s="244"/>
      <c r="L198" s="244"/>
      <c r="M198" s="244"/>
      <c r="N198" s="244"/>
      <c r="O198" s="244"/>
      <c r="P198" s="244"/>
      <c r="U198" s="144"/>
    </row>
    <row r="199" spans="1:39" x14ac:dyDescent="0.25">
      <c r="B199"/>
    </row>
    <row r="200" spans="1:39" x14ac:dyDescent="0.25">
      <c r="B200"/>
    </row>
    <row r="201" spans="1:39" x14ac:dyDescent="0.25">
      <c r="B201"/>
    </row>
    <row r="202" spans="1:39" x14ac:dyDescent="0.25">
      <c r="B202"/>
    </row>
  </sheetData>
  <sheetProtection algorithmName="SHA-512" hashValue="pPfBRy18UUmvdLh5JfIdPuJ2IMpRu6NkBPDSilSFuYMwQN03p8Q+mNDLZ7Af43XY17n7rrfKpYGPaHFP2rReGA==" saltValue="VgsQQS4Xee7003wmmLmHtg==" spinCount="100000" sheet="1" objects="1" scenarios="1"/>
  <mergeCells count="1">
    <mergeCell ref="B27:C27"/>
  </mergeCell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73"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59"/>
  <sheetViews>
    <sheetView showGridLines="0" zoomScale="80" zoomScaleNormal="80" zoomScaleSheetLayoutView="30" workbookViewId="0">
      <selection activeCell="L55" sqref="L55"/>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7" width="11.5703125" customWidth="1"/>
    <col min="18" max="18" width="11.42578125" customWidth="1"/>
    <col min="19" max="19" width="11.5703125" customWidth="1"/>
    <col min="20" max="25" width="10.85546875" customWidth="1"/>
    <col min="27" max="40" width="0" hidden="1" customWidth="1"/>
  </cols>
  <sheetData>
    <row r="1" spans="1:39" ht="30" customHeight="1" x14ac:dyDescent="0.25">
      <c r="B1" s="565" t="str">
        <f>'Inputs and eligible population'!B1</f>
        <v>Exagamglogene autotemcel for treating transfusion-dependent beta-thalassaemia</v>
      </c>
      <c r="C1" s="138"/>
      <c r="D1" s="138"/>
      <c r="E1" s="138"/>
      <c r="F1" s="138"/>
      <c r="G1" s="138"/>
      <c r="H1" s="138"/>
      <c r="I1" s="138"/>
      <c r="J1" s="138"/>
      <c r="K1" s="138"/>
      <c r="L1" s="138"/>
      <c r="M1" s="138"/>
      <c r="N1" s="138"/>
      <c r="O1" s="138"/>
      <c r="P1" s="138"/>
      <c r="Q1" s="138"/>
      <c r="R1" s="138"/>
      <c r="S1" s="138"/>
      <c r="T1" s="138"/>
      <c r="U1" s="138"/>
      <c r="V1" s="138"/>
      <c r="W1" s="138"/>
      <c r="X1" s="138"/>
      <c r="Y1" s="138"/>
    </row>
    <row r="2" spans="1:39" ht="42.6" customHeight="1" x14ac:dyDescent="0.25">
      <c r="B2" s="236" t="s">
        <v>1088</v>
      </c>
      <c r="C2" s="138" t="s">
        <v>860</v>
      </c>
      <c r="D2" s="138" t="s">
        <v>860</v>
      </c>
      <c r="E2" s="138" t="s">
        <v>860</v>
      </c>
      <c r="F2" s="138" t="s">
        <v>860</v>
      </c>
      <c r="G2" s="138" t="s">
        <v>860</v>
      </c>
      <c r="H2" s="138" t="s">
        <v>860</v>
      </c>
      <c r="I2" s="138" t="s">
        <v>860</v>
      </c>
      <c r="J2" s="138" t="s">
        <v>860</v>
      </c>
      <c r="K2" s="138" t="s">
        <v>860</v>
      </c>
      <c r="L2" s="138" t="s">
        <v>860</v>
      </c>
      <c r="M2" s="138" t="s">
        <v>860</v>
      </c>
      <c r="N2" s="138" t="s">
        <v>860</v>
      </c>
      <c r="O2" s="138" t="s">
        <v>860</v>
      </c>
      <c r="P2" s="138"/>
      <c r="Q2" s="138"/>
      <c r="R2" s="138"/>
      <c r="S2" s="138"/>
      <c r="T2" s="138"/>
      <c r="U2" s="138"/>
      <c r="V2" s="138"/>
      <c r="W2" s="138"/>
      <c r="X2" s="138"/>
      <c r="Y2" s="138"/>
    </row>
    <row r="3" spans="1:39" ht="14.45" customHeight="1" x14ac:dyDescent="0.25">
      <c r="B3" s="141" t="s">
        <v>860</v>
      </c>
      <c r="C3" s="144" t="s">
        <v>860</v>
      </c>
      <c r="D3" s="144" t="s">
        <v>860</v>
      </c>
      <c r="E3" s="144" t="s">
        <v>860</v>
      </c>
      <c r="F3" s="144" t="s">
        <v>860</v>
      </c>
      <c r="G3" s="144" t="s">
        <v>860</v>
      </c>
      <c r="H3" s="144" t="s">
        <v>860</v>
      </c>
      <c r="I3" s="144" t="s">
        <v>860</v>
      </c>
      <c r="J3" s="144" t="s">
        <v>860</v>
      </c>
      <c r="K3" s="144" t="s">
        <v>860</v>
      </c>
      <c r="L3" s="144" t="s">
        <v>860</v>
      </c>
      <c r="M3" s="144" t="s">
        <v>860</v>
      </c>
      <c r="N3" s="144" t="s">
        <v>860</v>
      </c>
      <c r="O3" s="144" t="s">
        <v>860</v>
      </c>
      <c r="P3" s="144"/>
      <c r="Q3" s="144"/>
      <c r="R3" s="138"/>
      <c r="S3" s="138"/>
      <c r="T3" s="138"/>
      <c r="U3" s="138"/>
      <c r="V3" s="138"/>
      <c r="W3" s="138"/>
      <c r="X3" s="144"/>
      <c r="Y3" s="144"/>
    </row>
    <row r="4" spans="1:39" ht="14.45" customHeight="1" x14ac:dyDescent="0.25">
      <c r="B4" t="s">
        <v>1182</v>
      </c>
      <c r="C4" s="144"/>
      <c r="D4" s="144"/>
      <c r="E4" s="144"/>
      <c r="F4" s="144"/>
      <c r="G4" s="144"/>
      <c r="H4" s="144"/>
      <c r="I4" s="144"/>
      <c r="J4" s="144"/>
      <c r="K4" s="144"/>
      <c r="L4" s="144"/>
      <c r="M4" s="144"/>
      <c r="N4" s="144"/>
      <c r="O4" s="144"/>
      <c r="P4" s="144"/>
      <c r="Q4" s="144"/>
      <c r="R4" s="144"/>
      <c r="S4" s="144"/>
      <c r="T4" s="144"/>
      <c r="U4" s="144"/>
      <c r="V4" s="144"/>
      <c r="W4" s="144"/>
      <c r="X4" s="144"/>
      <c r="Y4" s="144"/>
    </row>
    <row r="5" spans="1:39" ht="14.45" customHeight="1" x14ac:dyDescent="0.25">
      <c r="B5" t="s">
        <v>1181</v>
      </c>
      <c r="C5" s="144"/>
      <c r="D5" s="144"/>
      <c r="E5" s="144"/>
      <c r="F5" s="144"/>
      <c r="G5" s="144"/>
      <c r="H5" s="144"/>
      <c r="I5" s="144"/>
      <c r="J5" s="144"/>
      <c r="K5" s="144"/>
      <c r="L5" s="144"/>
      <c r="M5" s="144"/>
      <c r="N5" s="144"/>
      <c r="O5" s="144"/>
      <c r="P5" s="144"/>
      <c r="Q5" s="144"/>
      <c r="R5" s="144"/>
      <c r="S5" s="144"/>
      <c r="T5" s="144"/>
      <c r="U5" s="144"/>
      <c r="V5" s="144"/>
      <c r="W5" s="144"/>
      <c r="X5" s="144"/>
      <c r="Y5" s="144"/>
    </row>
    <row r="6" spans="1:39" ht="14.45" customHeight="1" x14ac:dyDescent="0.25">
      <c r="B6" t="s">
        <v>1180</v>
      </c>
      <c r="F6" s="144"/>
      <c r="G6" s="144"/>
      <c r="H6" s="144"/>
      <c r="I6" s="144"/>
      <c r="J6" s="144"/>
      <c r="K6" s="144"/>
      <c r="L6" s="144"/>
      <c r="M6" s="144"/>
      <c r="N6" s="144"/>
      <c r="O6" s="144"/>
      <c r="P6" s="144"/>
      <c r="Q6" s="144"/>
      <c r="R6" s="138"/>
      <c r="S6" s="138"/>
      <c r="T6" s="138"/>
      <c r="U6" s="138"/>
      <c r="V6" s="138"/>
      <c r="W6" s="138"/>
      <c r="X6" s="144"/>
      <c r="Y6" s="144"/>
    </row>
    <row r="7" spans="1:39" ht="45" x14ac:dyDescent="0.25">
      <c r="B7" s="284" t="s">
        <v>953</v>
      </c>
      <c r="C7" s="231"/>
      <c r="D7" s="444" t="s">
        <v>997</v>
      </c>
      <c r="E7" s="282" t="s">
        <v>703</v>
      </c>
      <c r="F7" s="282" t="s">
        <v>704</v>
      </c>
      <c r="G7" s="180" t="s">
        <v>998</v>
      </c>
      <c r="H7" s="180" t="s">
        <v>999</v>
      </c>
      <c r="I7" s="282" t="s">
        <v>1000</v>
      </c>
      <c r="K7" s="444" t="s">
        <v>997</v>
      </c>
      <c r="L7" s="282" t="s">
        <v>703</v>
      </c>
      <c r="M7" s="282" t="s">
        <v>704</v>
      </c>
      <c r="N7" s="180" t="s">
        <v>998</v>
      </c>
      <c r="O7" s="180" t="s">
        <v>999</v>
      </c>
      <c r="P7" s="282" t="s">
        <v>1000</v>
      </c>
      <c r="Q7" s="144"/>
      <c r="R7" s="138"/>
      <c r="S7" s="138"/>
      <c r="T7" s="138"/>
      <c r="U7" s="138"/>
      <c r="V7" s="138"/>
      <c r="W7" s="138"/>
      <c r="X7" s="144"/>
      <c r="Y7" s="144"/>
      <c r="AI7" s="311"/>
      <c r="AJ7" s="311"/>
      <c r="AK7" s="311"/>
      <c r="AL7" s="311"/>
      <c r="AM7" s="311"/>
    </row>
    <row r="8" spans="1:39" ht="14.45" customHeight="1" x14ac:dyDescent="0.25">
      <c r="B8" s="246" t="s">
        <v>1013</v>
      </c>
      <c r="C8" s="183"/>
      <c r="D8" s="623">
        <f>'Inputs and eligible population'!F44</f>
        <v>60.108677663993383</v>
      </c>
      <c r="E8" s="623">
        <f>'Inputs and eligible population'!G44</f>
        <v>60.68823396094097</v>
      </c>
      <c r="F8" s="623">
        <f>'Inputs and eligible population'!H44</f>
        <v>61.273378228118233</v>
      </c>
      <c r="G8" s="623">
        <f>'Inputs and eligible population'!I44</f>
        <v>61.864164343658246</v>
      </c>
      <c r="H8" s="623">
        <f>'Inputs and eligible population'!J44</f>
        <v>62.46064670517665</v>
      </c>
      <c r="I8" s="623">
        <f>'Inputs and eligible population'!K44</f>
        <v>63.062880234780437</v>
      </c>
      <c r="K8" s="759"/>
      <c r="L8" s="760"/>
      <c r="M8" s="760"/>
      <c r="N8" s="760"/>
      <c r="O8" s="760"/>
      <c r="P8" s="761"/>
      <c r="Q8" s="144"/>
      <c r="R8" s="138"/>
      <c r="S8" s="138"/>
      <c r="T8" s="138"/>
      <c r="U8" s="138"/>
      <c r="V8" s="138"/>
      <c r="W8" s="138"/>
      <c r="X8" s="144"/>
      <c r="Y8" s="144"/>
      <c r="AI8" s="311"/>
      <c r="AJ8" s="311"/>
      <c r="AK8" s="311"/>
      <c r="AL8" s="311"/>
      <c r="AM8" s="311"/>
    </row>
    <row r="9" spans="1:39" ht="14.45" customHeight="1" x14ac:dyDescent="0.25">
      <c r="B9" s="246" t="s">
        <v>1014</v>
      </c>
      <c r="C9" s="183"/>
      <c r="D9" s="406">
        <f>'Inputs and eligible population'!F45</f>
        <v>414.88026375466814</v>
      </c>
      <c r="E9" s="406">
        <f>'Inputs and eligible population'!G45</f>
        <v>418.88045937837467</v>
      </c>
      <c r="F9" s="406">
        <f>'Inputs and eligible population'!H45</f>
        <v>422.91922411810305</v>
      </c>
      <c r="G9" s="406">
        <f>'Inputs and eligible population'!I45</f>
        <v>426.99692984984404</v>
      </c>
      <c r="H9" s="406">
        <f>'Inputs and eligible population'!J45</f>
        <v>431.11395203514496</v>
      </c>
      <c r="I9" s="406">
        <f>'Inputs and eligible population'!K45</f>
        <v>435.27066975568124</v>
      </c>
      <c r="K9" s="176"/>
      <c r="O9" s="144"/>
      <c r="P9" s="762"/>
      <c r="Q9" s="144"/>
      <c r="R9" s="138"/>
      <c r="S9" s="138"/>
      <c r="T9" s="138"/>
      <c r="U9" s="138"/>
      <c r="V9" s="138"/>
      <c r="W9" s="138"/>
      <c r="X9" s="144"/>
      <c r="Y9" s="144"/>
      <c r="AI9" s="311"/>
      <c r="AJ9" s="311"/>
      <c r="AK9" s="311"/>
      <c r="AL9" s="311"/>
      <c r="AM9" s="311"/>
    </row>
    <row r="10" spans="1:39" ht="14.45" customHeight="1" x14ac:dyDescent="0.25">
      <c r="B10" s="765" t="s">
        <v>1015</v>
      </c>
      <c r="D10" s="200">
        <f>SUM(D8:D9)</f>
        <v>474.98894141866151</v>
      </c>
      <c r="E10" s="200">
        <f t="shared" ref="E10:I10" si="0">SUM(E8:E9)</f>
        <v>479.56869333931564</v>
      </c>
      <c r="F10" s="200">
        <f t="shared" si="0"/>
        <v>484.19260234622129</v>
      </c>
      <c r="G10" s="200">
        <f t="shared" si="0"/>
        <v>488.86109419350225</v>
      </c>
      <c r="H10" s="200">
        <f t="shared" si="0"/>
        <v>493.57459874032162</v>
      </c>
      <c r="I10" s="200">
        <f t="shared" si="0"/>
        <v>498.33354999046168</v>
      </c>
      <c r="K10" s="177"/>
      <c r="L10" s="178"/>
      <c r="M10" s="178"/>
      <c r="N10" s="178"/>
      <c r="O10" s="763"/>
      <c r="P10" s="764"/>
      <c r="Q10" s="144"/>
      <c r="R10" s="138"/>
      <c r="S10" s="138"/>
      <c r="T10" s="138"/>
      <c r="U10" s="138"/>
      <c r="V10" s="138"/>
      <c r="W10" s="138"/>
      <c r="X10" s="144"/>
      <c r="Y10" s="144"/>
      <c r="AI10" s="311"/>
      <c r="AJ10" s="311"/>
      <c r="AK10" s="311"/>
      <c r="AL10" s="311"/>
      <c r="AM10" s="311"/>
    </row>
    <row r="11" spans="1:39" ht="14.45" customHeight="1" x14ac:dyDescent="0.25">
      <c r="B11" s="305" t="s">
        <v>1016</v>
      </c>
      <c r="C11" s="456"/>
      <c r="D11" s="456"/>
      <c r="E11" s="457"/>
      <c r="F11" s="456"/>
      <c r="G11" s="458"/>
      <c r="H11" s="459"/>
      <c r="I11" s="459"/>
      <c r="J11" s="538"/>
      <c r="K11" s="755" t="s">
        <v>961</v>
      </c>
      <c r="L11" s="755" t="s">
        <v>961</v>
      </c>
      <c r="M11" s="755" t="s">
        <v>961</v>
      </c>
      <c r="N11" s="755" t="s">
        <v>961</v>
      </c>
      <c r="O11" s="755" t="s">
        <v>961</v>
      </c>
      <c r="P11" s="755" t="s">
        <v>961</v>
      </c>
      <c r="Q11" s="144"/>
      <c r="R11" s="144"/>
      <c r="S11" s="144"/>
      <c r="T11" s="144"/>
      <c r="U11" s="144"/>
      <c r="V11" s="144"/>
      <c r="W11" s="144"/>
      <c r="X11" s="144"/>
      <c r="Y11" s="144"/>
      <c r="AI11" s="311"/>
      <c r="AJ11" s="311"/>
      <c r="AK11" s="311"/>
      <c r="AL11" s="311"/>
      <c r="AM11" s="311"/>
    </row>
    <row r="12" spans="1:39" ht="14.45" customHeight="1" x14ac:dyDescent="0.25">
      <c r="A12" s="312"/>
      <c r="B12" s="462" t="str">
        <f>B22</f>
        <v>Standard care - regular blood transfusions</v>
      </c>
      <c r="C12" s="467"/>
      <c r="D12" s="442">
        <f>D26</f>
        <v>7124.8341212799232</v>
      </c>
      <c r="E12" s="442">
        <f t="shared" ref="E12:I12" si="1">E26</f>
        <v>6977.724488087043</v>
      </c>
      <c r="F12" s="442">
        <f t="shared" si="1"/>
        <v>6899.7445834336522</v>
      </c>
      <c r="G12" s="442">
        <f t="shared" si="1"/>
        <v>6819.6122639993555</v>
      </c>
      <c r="H12" s="442">
        <f t="shared" si="1"/>
        <v>6737.2932728053902</v>
      </c>
      <c r="I12" s="442">
        <f t="shared" si="1"/>
        <v>6652.7528923726632</v>
      </c>
      <c r="K12" s="316">
        <f t="shared" ref="K12:P12" si="2">K26</f>
        <v>3791.3624735223443</v>
      </c>
      <c r="L12" s="316">
        <f t="shared" si="2"/>
        <v>3713.0805187024712</v>
      </c>
      <c r="M12" s="316">
        <f t="shared" si="2"/>
        <v>3671.5848039729608</v>
      </c>
      <c r="N12" s="316">
        <f t="shared" si="2"/>
        <v>3628.9437173668748</v>
      </c>
      <c r="O12" s="316">
        <f t="shared" si="2"/>
        <v>3585.1390296003401</v>
      </c>
      <c r="P12" s="316">
        <f t="shared" si="2"/>
        <v>3540.1522663418627</v>
      </c>
      <c r="Q12" s="144"/>
      <c r="R12" s="144"/>
      <c r="S12" s="144"/>
      <c r="T12" s="144"/>
      <c r="U12" s="144"/>
      <c r="V12" s="144"/>
      <c r="W12" s="144"/>
      <c r="X12" s="144"/>
      <c r="Y12" s="144"/>
      <c r="AI12" s="311"/>
      <c r="AJ12" s="311"/>
      <c r="AK12" s="311"/>
      <c r="AL12" s="311"/>
      <c r="AM12" s="311"/>
    </row>
    <row r="13" spans="1:39" ht="14.45" customHeight="1" x14ac:dyDescent="0.25">
      <c r="A13" s="312"/>
      <c r="B13" s="462" t="str">
        <f>B30</f>
        <v>Standard care administrations - duration of administrations (hours)</v>
      </c>
      <c r="C13" s="467"/>
      <c r="D13" s="442">
        <f>D33</f>
        <v>56998.672970239386</v>
      </c>
      <c r="E13" s="442">
        <f t="shared" ref="E13:I13" si="3">E33</f>
        <v>55821.795904696344</v>
      </c>
      <c r="F13" s="442">
        <f t="shared" si="3"/>
        <v>55197.956667469218</v>
      </c>
      <c r="G13" s="442">
        <f t="shared" si="3"/>
        <v>54556.898111994844</v>
      </c>
      <c r="H13" s="442">
        <f t="shared" si="3"/>
        <v>53898.346182443122</v>
      </c>
      <c r="I13" s="442">
        <f t="shared" si="3"/>
        <v>53222.023138981305</v>
      </c>
      <c r="K13" s="229"/>
      <c r="L13" s="229"/>
      <c r="M13" s="229"/>
      <c r="N13" s="229"/>
      <c r="O13" s="229"/>
      <c r="P13" s="229"/>
      <c r="Q13" s="144"/>
      <c r="R13" s="144"/>
      <c r="S13" s="144"/>
      <c r="T13" s="144"/>
      <c r="U13" s="144"/>
      <c r="V13" s="144"/>
      <c r="W13" s="144"/>
      <c r="X13" s="144"/>
      <c r="Y13" s="144"/>
      <c r="AI13" s="311"/>
      <c r="AJ13" s="311"/>
      <c r="AK13" s="311"/>
      <c r="AL13" s="311"/>
      <c r="AM13" s="311"/>
    </row>
    <row r="14" spans="1:39" ht="14.45" customHeight="1" x14ac:dyDescent="0.25">
      <c r="A14" s="312"/>
      <c r="B14" s="462" t="s">
        <v>1018</v>
      </c>
      <c r="C14" s="467"/>
      <c r="D14" s="442">
        <f>D41</f>
        <v>2849.9336485119688</v>
      </c>
      <c r="E14" s="442">
        <f t="shared" ref="E14:I14" si="4">E41</f>
        <v>2791.0897952348173</v>
      </c>
      <c r="F14" s="442">
        <f t="shared" si="4"/>
        <v>2846.2201981745384</v>
      </c>
      <c r="G14" s="442">
        <f t="shared" si="4"/>
        <v>2873.1026863036086</v>
      </c>
      <c r="H14" s="442">
        <f t="shared" si="4"/>
        <v>2900.2389686834276</v>
      </c>
      <c r="I14" s="442">
        <f t="shared" si="4"/>
        <v>2927.631440268839</v>
      </c>
      <c r="K14" s="646"/>
      <c r="L14" s="646"/>
      <c r="M14" s="646"/>
      <c r="N14" s="646"/>
      <c r="O14" s="646"/>
      <c r="P14" s="646"/>
      <c r="Q14" s="144"/>
      <c r="R14" s="144"/>
      <c r="S14" s="144"/>
      <c r="T14" s="144"/>
      <c r="U14" s="144"/>
      <c r="V14" s="144"/>
      <c r="W14" s="144"/>
      <c r="X14" s="144"/>
      <c r="Y14" s="144"/>
      <c r="AI14" s="311"/>
      <c r="AJ14" s="311"/>
      <c r="AK14" s="311"/>
      <c r="AL14" s="311"/>
      <c r="AM14" s="311"/>
    </row>
    <row r="15" spans="1:39" ht="14.45" customHeight="1" x14ac:dyDescent="0.25">
      <c r="A15" s="312"/>
      <c r="B15" s="462" t="s">
        <v>1019</v>
      </c>
      <c r="C15" s="467"/>
      <c r="D15" s="442">
        <f>D49</f>
        <v>1424.9668242559844</v>
      </c>
      <c r="E15" s="442">
        <f t="shared" ref="E15:I15" si="5">E49</f>
        <v>1395.5448976174087</v>
      </c>
      <c r="F15" s="442">
        <f t="shared" si="5"/>
        <v>1423.1100990872692</v>
      </c>
      <c r="G15" s="442">
        <f t="shared" si="5"/>
        <v>1436.5513431518043</v>
      </c>
      <c r="H15" s="442">
        <f t="shared" si="5"/>
        <v>1450.1194843417138</v>
      </c>
      <c r="I15" s="442">
        <f t="shared" si="5"/>
        <v>1463.8157201344195</v>
      </c>
      <c r="K15" s="316">
        <f>K49</f>
        <v>210.6755694413406</v>
      </c>
      <c r="L15" s="316">
        <f t="shared" ref="L15:P15" si="6">L49</f>
        <v>206.32565683767018</v>
      </c>
      <c r="M15" s="316">
        <f t="shared" si="6"/>
        <v>210.40106015062824</v>
      </c>
      <c r="N15" s="316">
        <f t="shared" si="6"/>
        <v>212.38829360694012</v>
      </c>
      <c r="O15" s="316">
        <f t="shared" si="6"/>
        <v>214.39428828891255</v>
      </c>
      <c r="P15" s="316">
        <f t="shared" si="6"/>
        <v>216.41922123872894</v>
      </c>
      <c r="Q15" s="144"/>
      <c r="R15" s="144"/>
      <c r="S15" s="144"/>
      <c r="T15" s="144"/>
      <c r="U15" s="144"/>
      <c r="V15" s="144"/>
      <c r="W15" s="144"/>
      <c r="X15" s="144"/>
      <c r="Y15" s="144"/>
      <c r="AI15" s="311"/>
      <c r="AJ15" s="311"/>
      <c r="AK15" s="311"/>
      <c r="AL15" s="311"/>
      <c r="AM15" s="311"/>
    </row>
    <row r="16" spans="1:39" ht="14.45" customHeight="1" x14ac:dyDescent="0.25">
      <c r="A16" s="313"/>
      <c r="B16" s="848" t="s">
        <v>1194</v>
      </c>
      <c r="C16" s="849"/>
      <c r="D16" s="446">
        <f>D56</f>
        <v>0</v>
      </c>
      <c r="E16" s="446">
        <f t="shared" ref="E16:I16" si="7">E56</f>
        <v>14.387060800179469</v>
      </c>
      <c r="F16" s="446">
        <f t="shared" si="7"/>
        <v>9.8225693171315953</v>
      </c>
      <c r="G16" s="446">
        <f t="shared" si="7"/>
        <v>10.010646476234093</v>
      </c>
      <c r="H16" s="446">
        <f t="shared" si="7"/>
        <v>10.201437293083785</v>
      </c>
      <c r="I16" s="446">
        <f t="shared" si="7"/>
        <v>10.394976612321841</v>
      </c>
      <c r="K16" s="316">
        <f>K56</f>
        <v>0</v>
      </c>
      <c r="L16" s="316">
        <f t="shared" ref="L16:P16" si="8">L56</f>
        <v>591.32258594817631</v>
      </c>
      <c r="M16" s="316">
        <f t="shared" si="8"/>
        <v>403.71742150342567</v>
      </c>
      <c r="N16" s="316">
        <f t="shared" si="8"/>
        <v>411.44758081969746</v>
      </c>
      <c r="O16" s="316">
        <f t="shared" si="8"/>
        <v>419.28927418303664</v>
      </c>
      <c r="P16" s="316">
        <f t="shared" si="8"/>
        <v>427.24393374303997</v>
      </c>
      <c r="Q16" s="144"/>
      <c r="R16" s="144"/>
      <c r="S16" s="144"/>
      <c r="T16" s="144"/>
      <c r="U16" s="144"/>
      <c r="V16" s="144"/>
      <c r="W16" s="144"/>
      <c r="X16" s="144"/>
      <c r="Y16" s="144"/>
    </row>
    <row r="17" spans="1:39" x14ac:dyDescent="0.25">
      <c r="B17" s="270"/>
      <c r="D17" s="311"/>
      <c r="F17" s="144"/>
      <c r="G17" s="144"/>
      <c r="H17" s="144"/>
      <c r="I17" s="144"/>
      <c r="J17" s="144"/>
      <c r="K17" s="317">
        <f t="shared" ref="K17:P17" si="9">SUM(K12:K16)</f>
        <v>4002.0380429636848</v>
      </c>
      <c r="L17" s="317">
        <f t="shared" si="9"/>
        <v>4510.7287614883171</v>
      </c>
      <c r="M17" s="317">
        <f t="shared" si="9"/>
        <v>4285.7032856270152</v>
      </c>
      <c r="N17" s="317">
        <f t="shared" si="9"/>
        <v>4252.7795917935127</v>
      </c>
      <c r="O17" s="317">
        <f t="shared" si="9"/>
        <v>4218.8225920722889</v>
      </c>
      <c r="P17" s="317">
        <f t="shared" si="9"/>
        <v>4183.8154213236312</v>
      </c>
      <c r="Q17" s="144"/>
      <c r="R17" s="144"/>
      <c r="U17" s="144"/>
    </row>
    <row r="18" spans="1:39" x14ac:dyDescent="0.25">
      <c r="B18" s="337"/>
      <c r="C18" s="337"/>
      <c r="D18" s="337"/>
      <c r="E18" s="337"/>
      <c r="F18" s="337"/>
      <c r="G18" s="337"/>
      <c r="H18" s="337"/>
      <c r="I18" s="337"/>
      <c r="J18" s="337"/>
      <c r="K18" s="337"/>
      <c r="O18" s="144"/>
      <c r="P18" s="144"/>
      <c r="Q18" s="144"/>
      <c r="R18" s="144"/>
      <c r="S18" s="144"/>
      <c r="T18" s="144"/>
      <c r="U18" s="144"/>
      <c r="V18" s="144"/>
      <c r="W18" s="144"/>
      <c r="X18" s="144"/>
      <c r="Y18" s="144"/>
      <c r="AI18" s="311"/>
      <c r="AJ18" s="311"/>
      <c r="AK18" s="311"/>
      <c r="AL18" s="311"/>
      <c r="AM18" s="311"/>
    </row>
    <row r="19" spans="1:39" x14ac:dyDescent="0.25">
      <c r="B19" s="398" t="s">
        <v>1020</v>
      </c>
      <c r="C19" s="399"/>
      <c r="D19" s="399"/>
      <c r="E19" s="400"/>
      <c r="F19" s="399"/>
      <c r="G19" s="401"/>
      <c r="H19" s="402"/>
      <c r="I19" s="402"/>
      <c r="J19" s="402"/>
      <c r="K19" s="402"/>
      <c r="L19" s="402"/>
      <c r="M19" s="402"/>
      <c r="N19" s="402"/>
      <c r="O19" s="402"/>
      <c r="P19" s="403"/>
      <c r="Q19" s="144"/>
      <c r="R19" s="144"/>
      <c r="S19" s="144"/>
      <c r="T19" s="144"/>
      <c r="U19" s="144"/>
      <c r="V19" s="144"/>
      <c r="W19" s="144"/>
      <c r="X19" s="144"/>
      <c r="Y19" s="144"/>
      <c r="AI19" s="311"/>
      <c r="AJ19" s="311"/>
      <c r="AK19" s="311"/>
      <c r="AL19" s="311"/>
      <c r="AM19" s="311"/>
    </row>
    <row r="20" spans="1:39" x14ac:dyDescent="0.25">
      <c r="A20" s="312"/>
      <c r="B20" s="312"/>
      <c r="C20" s="312"/>
      <c r="D20" s="642"/>
      <c r="E20" s="643"/>
      <c r="F20" s="643"/>
      <c r="G20" s="643"/>
      <c r="H20" s="643"/>
      <c r="I20" s="643"/>
      <c r="J20" s="312"/>
      <c r="K20" s="641"/>
      <c r="L20" s="644"/>
      <c r="M20" s="644"/>
      <c r="N20" s="644"/>
      <c r="O20" s="644"/>
      <c r="P20" s="644"/>
      <c r="U20" s="144"/>
      <c r="AI20" s="311"/>
      <c r="AJ20" s="311"/>
      <c r="AK20" s="311"/>
      <c r="AL20" s="311"/>
      <c r="AM20" s="311"/>
    </row>
    <row r="21" spans="1:39" x14ac:dyDescent="0.25">
      <c r="A21" s="312"/>
      <c r="B21" s="414" t="s">
        <v>1021</v>
      </c>
      <c r="C21" s="320"/>
      <c r="D21" s="320"/>
      <c r="E21" s="321"/>
      <c r="F21" s="322"/>
      <c r="G21" s="323"/>
      <c r="H21" s="323"/>
      <c r="I21" s="640"/>
      <c r="J21" s="312"/>
      <c r="K21" s="641"/>
      <c r="L21" s="644"/>
      <c r="M21" s="644"/>
      <c r="N21" s="644"/>
      <c r="O21" s="644"/>
      <c r="P21" s="644"/>
      <c r="R21" s="144"/>
      <c r="S21" s="144"/>
      <c r="T21" s="144"/>
      <c r="U21" s="144"/>
      <c r="V21" s="144"/>
      <c r="W21" s="144"/>
      <c r="X21" s="144"/>
      <c r="Y21" s="144"/>
      <c r="AI21" s="311"/>
      <c r="AJ21" s="311"/>
      <c r="AK21" s="311"/>
      <c r="AL21" s="311"/>
      <c r="AM21" s="311"/>
    </row>
    <row r="22" spans="1:39" x14ac:dyDescent="0.25">
      <c r="A22" s="312"/>
      <c r="B22" s="414" t="s">
        <v>1040</v>
      </c>
      <c r="C22" s="415"/>
      <c r="D22" s="415"/>
      <c r="E22" s="415"/>
      <c r="F22" s="415"/>
      <c r="G22" s="415"/>
      <c r="H22" s="415"/>
      <c r="I22" s="415"/>
      <c r="J22" s="312"/>
      <c r="K22" s="641"/>
      <c r="L22" s="644"/>
      <c r="M22" s="644"/>
      <c r="N22" s="644"/>
      <c r="O22" s="644"/>
      <c r="P22" s="644"/>
      <c r="R22" s="144"/>
      <c r="S22" s="144"/>
      <c r="T22" s="144"/>
      <c r="U22" s="144"/>
      <c r="V22" s="144"/>
      <c r="W22" s="144"/>
      <c r="X22" s="144"/>
      <c r="Y22" s="144"/>
      <c r="AI22" s="311"/>
      <c r="AJ22" s="311"/>
      <c r="AK22" s="311"/>
      <c r="AL22" s="311"/>
      <c r="AM22" s="311"/>
    </row>
    <row r="23" spans="1:39" ht="45" x14ac:dyDescent="0.25">
      <c r="A23" s="312"/>
      <c r="B23" s="305" t="s">
        <v>902</v>
      </c>
      <c r="C23" s="181" t="s">
        <v>1035</v>
      </c>
      <c r="D23" s="444" t="s">
        <v>997</v>
      </c>
      <c r="E23" s="282" t="s">
        <v>703</v>
      </c>
      <c r="F23" s="282" t="s">
        <v>704</v>
      </c>
      <c r="G23" s="180" t="s">
        <v>998</v>
      </c>
      <c r="H23" s="180" t="s">
        <v>999</v>
      </c>
      <c r="I23" s="282" t="s">
        <v>1000</v>
      </c>
      <c r="J23" s="312"/>
      <c r="K23" s="444" t="s">
        <v>997</v>
      </c>
      <c r="L23" s="555" t="s">
        <v>703</v>
      </c>
      <c r="M23" s="555" t="s">
        <v>704</v>
      </c>
      <c r="N23" s="445" t="s">
        <v>998</v>
      </c>
      <c r="O23" s="445" t="s">
        <v>999</v>
      </c>
      <c r="P23" s="555" t="s">
        <v>1000</v>
      </c>
      <c r="R23" s="144"/>
      <c r="S23" s="144"/>
      <c r="T23" s="144"/>
      <c r="U23" s="144"/>
      <c r="V23" s="144"/>
      <c r="W23" s="144"/>
      <c r="X23" s="144"/>
      <c r="Y23" s="144"/>
      <c r="AI23" s="311"/>
      <c r="AJ23" s="311"/>
      <c r="AK23" s="311"/>
      <c r="AL23" s="311"/>
      <c r="AM23" s="311"/>
    </row>
    <row r="24" spans="1:39" x14ac:dyDescent="0.25">
      <c r="A24" s="312"/>
      <c r="B24" s="366" t="s">
        <v>1089</v>
      </c>
      <c r="C24" s="319">
        <f>'Inputs and eligible population'!H114</f>
        <v>15</v>
      </c>
      <c r="D24" s="139">
        <f>('Inputs and eligible population'!F45*'Inputs and eligible population'!E72)*$C$24</f>
        <v>6223.2039563200224</v>
      </c>
      <c r="E24" s="139">
        <f>('Inputs and eligible population'!G45*'Inputs and eligible population'!F72)*$C$24</f>
        <v>6094.7106839553517</v>
      </c>
      <c r="F24" s="139">
        <f>('Inputs and eligible population'!H45*'Inputs and eligible population'!G72)*$C$24</f>
        <v>6026.5989436829677</v>
      </c>
      <c r="G24" s="139">
        <f>('Inputs and eligible population'!I45*'Inputs and eligible population'!H72)*$C$24</f>
        <v>5956.6071714053232</v>
      </c>
      <c r="H24" s="139">
        <f>('Inputs and eligible population'!J45*'Inputs and eligible population'!I72)*$C$24</f>
        <v>5884.7054452797292</v>
      </c>
      <c r="I24" s="139">
        <f>('Inputs and eligible population'!K45*'Inputs and eligible population'!J72)*$C$24</f>
        <v>5810.8634412383444</v>
      </c>
      <c r="J24" s="312"/>
      <c r="K24" s="316">
        <f>(D24*'Unit costs'!$N$51)/1000</f>
        <v>3180.0572216795317</v>
      </c>
      <c r="L24" s="316">
        <f>(E24*'Unit costs'!$N$51)/1000</f>
        <v>3114.3971595011849</v>
      </c>
      <c r="M24" s="316">
        <f>(F24*'Unit costs'!$N$51)/1000</f>
        <v>3079.5920602219967</v>
      </c>
      <c r="N24" s="316">
        <f>(G24*'Unit costs'!$N$51)/1000</f>
        <v>3043.8262645881205</v>
      </c>
      <c r="O24" s="316">
        <f>(H24*'Unit costs'!$N$51)/1000</f>
        <v>3007.0844825379418</v>
      </c>
      <c r="P24" s="316">
        <f>(I24*'Unit costs'!$N$51)/1000</f>
        <v>2969.3512184727942</v>
      </c>
      <c r="R24" s="144"/>
      <c r="S24" s="144"/>
      <c r="T24" s="144"/>
      <c r="U24" s="144"/>
      <c r="V24" s="144"/>
      <c r="W24" s="144"/>
      <c r="X24" s="144"/>
      <c r="Y24" s="144"/>
      <c r="AI24" s="311"/>
      <c r="AJ24" s="311"/>
      <c r="AK24" s="311"/>
      <c r="AL24" s="311"/>
      <c r="AM24" s="311"/>
    </row>
    <row r="25" spans="1:39" x14ac:dyDescent="0.25">
      <c r="A25" s="312"/>
      <c r="B25" s="366" t="s">
        <v>1090</v>
      </c>
      <c r="C25" s="319">
        <f>'Inputs and eligible population'!H114</f>
        <v>15</v>
      </c>
      <c r="D25" s="139">
        <f>('Inputs and eligible population'!F44*'Inputs and eligible population'!E72)*'Capacity (national prices)'!$C$25</f>
        <v>901.63016495990075</v>
      </c>
      <c r="E25" s="139">
        <f>('Inputs and eligible population'!G44*'Inputs and eligible population'!F72)*'Capacity (national prices)'!$C$25</f>
        <v>883.01380413169102</v>
      </c>
      <c r="F25" s="139">
        <f>('Inputs and eligible population'!H44*'Inputs and eligible population'!G72)*'Capacity (national prices)'!$C$25</f>
        <v>873.14563975068484</v>
      </c>
      <c r="G25" s="139">
        <f>('Inputs and eligible population'!I44*'Inputs and eligible population'!H72)*'Capacity (national prices)'!$C$25</f>
        <v>863.00509259403248</v>
      </c>
      <c r="H25" s="139">
        <f>('Inputs and eligible population'!J44*'Inputs and eligible population'!I72)*'Capacity (national prices)'!$C$25</f>
        <v>852.58782752566128</v>
      </c>
      <c r="I25" s="139">
        <f>('Inputs and eligible population'!K44*'Inputs and eligible population'!J72)*'Capacity (national prices)'!$C$25</f>
        <v>841.88945113431885</v>
      </c>
      <c r="J25" s="312"/>
      <c r="K25" s="316">
        <f>(D25*'Unit costs'!$N$52)/1000</f>
        <v>611.30525184281271</v>
      </c>
      <c r="L25" s="316">
        <f>(E25*'Unit costs'!$N$52)/1000</f>
        <v>598.68335920128641</v>
      </c>
      <c r="M25" s="316">
        <f>(F25*'Unit costs'!$N$52)/1000</f>
        <v>591.99274375096434</v>
      </c>
      <c r="N25" s="316">
        <f>(G25*'Unit costs'!$N$52)/1000</f>
        <v>585.11745277875411</v>
      </c>
      <c r="O25" s="316">
        <f>(H25*'Unit costs'!$N$52)/1000</f>
        <v>578.05454706239846</v>
      </c>
      <c r="P25" s="316">
        <f>(I25*'Unit costs'!$N$52)/1000</f>
        <v>570.80104786906827</v>
      </c>
      <c r="R25" s="144"/>
      <c r="S25" s="144"/>
      <c r="T25" s="144"/>
      <c r="U25" s="144"/>
      <c r="V25" s="144"/>
      <c r="W25" s="144"/>
      <c r="X25" s="144"/>
      <c r="Y25" s="144"/>
      <c r="AI25" s="311"/>
      <c r="AJ25" s="311"/>
      <c r="AK25" s="311"/>
      <c r="AL25" s="311"/>
      <c r="AM25" s="311"/>
    </row>
    <row r="26" spans="1:39" x14ac:dyDescent="0.25">
      <c r="A26" s="312"/>
      <c r="B26" s="308"/>
      <c r="C26" s="338"/>
      <c r="D26" s="205">
        <f>SUM(D24:D25)</f>
        <v>7124.8341212799232</v>
      </c>
      <c r="E26" s="205">
        <f t="shared" ref="E26:I26" si="10">SUM(E24:E25)</f>
        <v>6977.724488087043</v>
      </c>
      <c r="F26" s="205">
        <f t="shared" si="10"/>
        <v>6899.7445834336522</v>
      </c>
      <c r="G26" s="205">
        <f t="shared" si="10"/>
        <v>6819.6122639993555</v>
      </c>
      <c r="H26" s="205">
        <f t="shared" si="10"/>
        <v>6737.2932728053902</v>
      </c>
      <c r="I26" s="205">
        <f t="shared" si="10"/>
        <v>6652.7528923726632</v>
      </c>
      <c r="J26" s="312"/>
      <c r="K26" s="317">
        <f>SUM(K24:K25)</f>
        <v>3791.3624735223443</v>
      </c>
      <c r="L26" s="317">
        <f t="shared" ref="L26:P26" si="11">SUM(L24:L25)</f>
        <v>3713.0805187024712</v>
      </c>
      <c r="M26" s="317">
        <f t="shared" si="11"/>
        <v>3671.5848039729608</v>
      </c>
      <c r="N26" s="317">
        <f t="shared" si="11"/>
        <v>3628.9437173668748</v>
      </c>
      <c r="O26" s="317">
        <f t="shared" si="11"/>
        <v>3585.1390296003401</v>
      </c>
      <c r="P26" s="317">
        <f t="shared" si="11"/>
        <v>3540.1522663418627</v>
      </c>
      <c r="R26" s="144"/>
      <c r="S26" s="144"/>
      <c r="T26" s="144"/>
      <c r="U26" s="144"/>
      <c r="V26" s="144"/>
      <c r="W26" s="144"/>
      <c r="X26" s="144"/>
      <c r="Y26" s="144"/>
      <c r="AI26" s="311"/>
      <c r="AJ26" s="311"/>
      <c r="AK26" s="311"/>
      <c r="AL26" s="311"/>
      <c r="AM26" s="311"/>
    </row>
    <row r="27" spans="1:39" x14ac:dyDescent="0.25">
      <c r="A27" s="312"/>
      <c r="B27" s="324"/>
      <c r="C27" s="283"/>
      <c r="D27" s="310" t="s">
        <v>1030</v>
      </c>
      <c r="E27" s="205">
        <f>E26-$D$26</f>
        <v>-147.10963319288021</v>
      </c>
      <c r="F27" s="205">
        <f t="shared" ref="F27:I27" si="12">F26-$D$26</f>
        <v>-225.08953784627101</v>
      </c>
      <c r="G27" s="205">
        <f t="shared" si="12"/>
        <v>-305.22185728056775</v>
      </c>
      <c r="H27" s="205">
        <f t="shared" si="12"/>
        <v>-387.54084847453305</v>
      </c>
      <c r="I27" s="205">
        <f t="shared" si="12"/>
        <v>-472.08122890726008</v>
      </c>
      <c r="J27" s="312"/>
      <c r="K27" s="556"/>
      <c r="L27" s="317">
        <f>L26-$K$26</f>
        <v>-78.281954819873135</v>
      </c>
      <c r="M27" s="317">
        <f>M26-$K$26</f>
        <v>-119.77766954938352</v>
      </c>
      <c r="N27" s="317">
        <f>N26-$K$26</f>
        <v>-162.41875615546951</v>
      </c>
      <c r="O27" s="317">
        <f>O26-$K$26</f>
        <v>-206.22344392200421</v>
      </c>
      <c r="P27" s="317">
        <f>P26-$K$26</f>
        <v>-251.21020718048158</v>
      </c>
      <c r="R27" s="144"/>
      <c r="S27" s="144"/>
      <c r="T27" s="144"/>
      <c r="U27" s="144"/>
      <c r="V27" s="144"/>
      <c r="W27" s="144"/>
      <c r="X27" s="144"/>
      <c r="Y27" s="144"/>
      <c r="AI27" s="311"/>
      <c r="AJ27" s="311"/>
      <c r="AK27" s="311"/>
      <c r="AL27" s="311"/>
      <c r="AM27" s="311"/>
    </row>
    <row r="28" spans="1:39" x14ac:dyDescent="0.25">
      <c r="A28" s="312"/>
      <c r="B28" s="312"/>
      <c r="C28" s="312"/>
      <c r="D28" s="642"/>
      <c r="E28" s="643"/>
      <c r="F28" s="643"/>
      <c r="G28" s="643"/>
      <c r="H28" s="643"/>
      <c r="I28" s="643"/>
      <c r="J28" s="312"/>
      <c r="K28" s="641"/>
      <c r="L28" s="644"/>
      <c r="M28" s="644"/>
      <c r="N28" s="644"/>
      <c r="O28" s="644"/>
      <c r="P28" s="644"/>
      <c r="R28" s="144"/>
      <c r="S28" s="144"/>
      <c r="T28" s="144"/>
      <c r="U28" s="144"/>
      <c r="V28" s="144"/>
      <c r="W28" s="144"/>
      <c r="X28" s="144"/>
      <c r="Y28" s="144"/>
      <c r="AI28" s="311"/>
      <c r="AJ28" s="311"/>
      <c r="AK28" s="311"/>
      <c r="AL28" s="311"/>
      <c r="AM28" s="311"/>
    </row>
    <row r="29" spans="1:39" x14ac:dyDescent="0.25">
      <c r="A29" s="312"/>
      <c r="B29" s="414" t="s">
        <v>1021</v>
      </c>
      <c r="C29" s="320"/>
      <c r="D29" s="320"/>
      <c r="E29" s="321"/>
      <c r="F29" s="322"/>
      <c r="G29" s="323"/>
      <c r="H29" s="323"/>
      <c r="I29" s="640"/>
      <c r="J29" s="452"/>
      <c r="K29" s="312"/>
      <c r="L29" s="312"/>
      <c r="M29" s="312"/>
      <c r="N29" s="312"/>
      <c r="O29" s="312"/>
      <c r="P29" s="238"/>
      <c r="R29" s="144"/>
      <c r="S29" s="144"/>
      <c r="T29" s="144"/>
      <c r="U29" s="144"/>
      <c r="V29" s="144"/>
      <c r="W29" s="144"/>
      <c r="X29" s="144"/>
      <c r="Y29" s="144"/>
      <c r="AI29" s="311"/>
      <c r="AJ29" s="311"/>
      <c r="AK29" s="311"/>
      <c r="AL29" s="311"/>
      <c r="AM29" s="311"/>
    </row>
    <row r="30" spans="1:39" x14ac:dyDescent="0.25">
      <c r="A30" s="312"/>
      <c r="B30" s="414" t="s">
        <v>1042</v>
      </c>
      <c r="C30" s="415"/>
      <c r="D30" s="415"/>
      <c r="E30" s="415"/>
      <c r="F30" s="415"/>
      <c r="G30" s="415"/>
      <c r="H30" s="415"/>
      <c r="I30" s="237"/>
      <c r="J30" s="450"/>
      <c r="K30" s="238"/>
      <c r="L30" s="238"/>
      <c r="M30" s="238"/>
      <c r="N30" s="238"/>
      <c r="O30" s="238"/>
      <c r="P30" s="238"/>
      <c r="U30" s="144"/>
      <c r="AI30" s="311"/>
      <c r="AJ30" s="311"/>
      <c r="AK30" s="311"/>
      <c r="AL30" s="311"/>
      <c r="AM30" s="311"/>
    </row>
    <row r="31" spans="1:39" ht="45" x14ac:dyDescent="0.25">
      <c r="A31" s="312"/>
      <c r="B31" s="307" t="s">
        <v>902</v>
      </c>
      <c r="C31" s="181" t="s">
        <v>1091</v>
      </c>
      <c r="D31" s="444" t="s">
        <v>997</v>
      </c>
      <c r="E31" s="282" t="s">
        <v>703</v>
      </c>
      <c r="F31" s="282" t="s">
        <v>704</v>
      </c>
      <c r="G31" s="180" t="s">
        <v>998</v>
      </c>
      <c r="H31" s="180" t="s">
        <v>999</v>
      </c>
      <c r="I31" s="282" t="s">
        <v>1000</v>
      </c>
      <c r="J31" s="312"/>
      <c r="K31" s="312"/>
      <c r="L31" s="312"/>
      <c r="M31" s="312"/>
      <c r="N31" s="312"/>
      <c r="O31" s="312"/>
      <c r="P31" s="312"/>
      <c r="U31" s="144"/>
      <c r="AI31" s="311"/>
      <c r="AJ31" s="311"/>
      <c r="AK31" s="311"/>
      <c r="AL31" s="311"/>
      <c r="AM31" s="311"/>
    </row>
    <row r="32" spans="1:39" x14ac:dyDescent="0.25">
      <c r="A32" s="312"/>
      <c r="B32" s="366" t="s">
        <v>1041</v>
      </c>
      <c r="C32" s="162">
        <f>'Inputs and eligible population'!H115/60</f>
        <v>8</v>
      </c>
      <c r="D32" s="139">
        <f>D26*$C$32</f>
        <v>56998.672970239386</v>
      </c>
      <c r="E32" s="139">
        <f t="shared" ref="E32:I32" si="13">E26*$C$32</f>
        <v>55821.795904696344</v>
      </c>
      <c r="F32" s="139">
        <f t="shared" si="13"/>
        <v>55197.956667469218</v>
      </c>
      <c r="G32" s="139">
        <f t="shared" si="13"/>
        <v>54556.898111994844</v>
      </c>
      <c r="H32" s="139">
        <f t="shared" si="13"/>
        <v>53898.346182443122</v>
      </c>
      <c r="I32" s="139">
        <f t="shared" si="13"/>
        <v>53222.023138981305</v>
      </c>
      <c r="J32" s="312"/>
      <c r="K32" s="312"/>
      <c r="L32" s="312"/>
      <c r="M32" s="312"/>
      <c r="N32" s="312"/>
      <c r="O32" s="312"/>
      <c r="P32" s="312"/>
      <c r="U32" s="144"/>
      <c r="AI32" s="311"/>
      <c r="AJ32" s="311"/>
      <c r="AK32" s="311"/>
      <c r="AL32" s="311"/>
      <c r="AM32" s="311"/>
    </row>
    <row r="33" spans="1:39" x14ac:dyDescent="0.25">
      <c r="A33" s="312"/>
      <c r="B33" s="308" t="s">
        <v>1038</v>
      </c>
      <c r="C33" s="338"/>
      <c r="D33" s="205">
        <f t="shared" ref="D33:I33" si="14">SUM(D32:D32)</f>
        <v>56998.672970239386</v>
      </c>
      <c r="E33" s="205">
        <f t="shared" si="14"/>
        <v>55821.795904696344</v>
      </c>
      <c r="F33" s="205">
        <f t="shared" si="14"/>
        <v>55197.956667469218</v>
      </c>
      <c r="G33" s="205">
        <f t="shared" si="14"/>
        <v>54556.898111994844</v>
      </c>
      <c r="H33" s="205">
        <f t="shared" si="14"/>
        <v>53898.346182443122</v>
      </c>
      <c r="I33" s="205">
        <f t="shared" si="14"/>
        <v>53222.023138981305</v>
      </c>
      <c r="J33" s="312"/>
      <c r="K33" s="312"/>
      <c r="L33" s="312"/>
      <c r="M33" s="312"/>
      <c r="N33" s="312"/>
      <c r="O33" s="312"/>
      <c r="P33" s="312"/>
      <c r="U33" s="144"/>
      <c r="AI33" s="311"/>
      <c r="AJ33" s="311"/>
      <c r="AK33" s="311"/>
      <c r="AL33" s="311"/>
      <c r="AM33" s="311"/>
    </row>
    <row r="34" spans="1:39" x14ac:dyDescent="0.25">
      <c r="A34" s="312"/>
      <c r="B34" s="324"/>
      <c r="C34" s="283"/>
      <c r="D34" s="310" t="s">
        <v>1039</v>
      </c>
      <c r="E34" s="205">
        <f>E33-$D$33</f>
        <v>-1176.8770655430417</v>
      </c>
      <c r="F34" s="205">
        <f t="shared" ref="F34:I34" si="15">F33-$D$33</f>
        <v>-1800.7163027701681</v>
      </c>
      <c r="G34" s="205">
        <f t="shared" si="15"/>
        <v>-2441.774858244542</v>
      </c>
      <c r="H34" s="205">
        <f t="shared" si="15"/>
        <v>-3100.3267877962644</v>
      </c>
      <c r="I34" s="205">
        <f t="shared" si="15"/>
        <v>-3776.6498312580807</v>
      </c>
      <c r="J34" s="312"/>
      <c r="K34" s="312"/>
      <c r="L34" s="312"/>
      <c r="M34" s="312"/>
      <c r="N34" s="312"/>
      <c r="O34" s="312"/>
      <c r="P34" s="312"/>
      <c r="U34" s="144"/>
      <c r="AI34" s="311"/>
      <c r="AJ34" s="311"/>
      <c r="AK34" s="311"/>
      <c r="AL34" s="311"/>
      <c r="AM34" s="311"/>
    </row>
    <row r="35" spans="1:39" x14ac:dyDescent="0.25">
      <c r="A35" s="312"/>
      <c r="B35" s="312"/>
      <c r="C35" s="312"/>
      <c r="D35" s="642"/>
      <c r="E35" s="643"/>
      <c r="F35" s="643"/>
      <c r="G35" s="643"/>
      <c r="H35" s="643"/>
      <c r="I35" s="643"/>
      <c r="J35" s="312"/>
      <c r="K35" s="641"/>
      <c r="L35" s="644"/>
      <c r="M35" s="644"/>
      <c r="N35" s="644"/>
      <c r="O35" s="644"/>
      <c r="P35" s="644"/>
      <c r="Q35" s="144"/>
      <c r="R35" s="144"/>
      <c r="S35" s="144"/>
      <c r="T35" s="144"/>
      <c r="U35" s="144"/>
      <c r="V35" s="144"/>
      <c r="W35" s="144"/>
      <c r="X35" s="144"/>
      <c r="Y35" s="144"/>
      <c r="AI35" s="311"/>
      <c r="AJ35" s="311"/>
      <c r="AK35" s="311"/>
      <c r="AL35" s="311"/>
      <c r="AM35" s="311"/>
    </row>
    <row r="36" spans="1:39" x14ac:dyDescent="0.25">
      <c r="A36" s="312"/>
      <c r="B36" s="414" t="s">
        <v>1021</v>
      </c>
      <c r="C36" s="320"/>
      <c r="D36" s="320"/>
      <c r="E36" s="321"/>
      <c r="F36" s="322"/>
      <c r="G36" s="323"/>
      <c r="H36" s="323"/>
      <c r="I36" s="640"/>
      <c r="J36" s="452"/>
      <c r="K36" s="312"/>
      <c r="L36" s="312"/>
      <c r="M36" s="312"/>
      <c r="N36" s="312"/>
      <c r="O36" s="312"/>
      <c r="P36" s="238"/>
      <c r="Q36" s="144"/>
      <c r="R36" s="144"/>
      <c r="S36" s="144"/>
      <c r="T36" s="144"/>
      <c r="U36" s="144"/>
      <c r="V36" s="144"/>
      <c r="W36" s="144"/>
      <c r="X36" s="144"/>
      <c r="Y36" s="144"/>
      <c r="AI36" s="311"/>
      <c r="AJ36" s="311"/>
      <c r="AK36" s="311"/>
      <c r="AL36" s="311"/>
      <c r="AM36" s="311"/>
    </row>
    <row r="37" spans="1:39" x14ac:dyDescent="0.25">
      <c r="A37" s="312"/>
      <c r="B37" s="414" t="s">
        <v>1043</v>
      </c>
      <c r="C37" s="415"/>
      <c r="D37" s="415"/>
      <c r="E37" s="415"/>
      <c r="F37" s="415"/>
      <c r="G37" s="415"/>
      <c r="H37" s="415"/>
      <c r="I37" s="237"/>
      <c r="J37" s="450"/>
      <c r="K37" s="238"/>
      <c r="L37" s="238"/>
      <c r="M37" s="238"/>
      <c r="N37" s="238"/>
      <c r="O37" s="238"/>
      <c r="P37" s="238"/>
      <c r="Q37" s="144"/>
      <c r="R37" s="144"/>
      <c r="S37" s="144"/>
      <c r="T37" s="144"/>
      <c r="U37" s="144"/>
      <c r="V37" s="144"/>
      <c r="W37" s="144"/>
      <c r="X37" s="144"/>
      <c r="Y37" s="144"/>
      <c r="AI37" s="311"/>
      <c r="AJ37" s="311"/>
      <c r="AK37" s="311"/>
      <c r="AL37" s="311"/>
      <c r="AM37" s="311"/>
    </row>
    <row r="38" spans="1:39" ht="45" x14ac:dyDescent="0.25">
      <c r="A38" s="312"/>
      <c r="B38" s="307" t="s">
        <v>902</v>
      </c>
      <c r="C38" s="181" t="s">
        <v>1044</v>
      </c>
      <c r="D38" s="444" t="s">
        <v>997</v>
      </c>
      <c r="E38" s="282" t="s">
        <v>703</v>
      </c>
      <c r="F38" s="282" t="s">
        <v>704</v>
      </c>
      <c r="G38" s="180" t="s">
        <v>998</v>
      </c>
      <c r="H38" s="180" t="s">
        <v>999</v>
      </c>
      <c r="I38" s="282" t="s">
        <v>1000</v>
      </c>
      <c r="J38" s="312"/>
      <c r="K38" s="665"/>
      <c r="L38" s="663"/>
      <c r="M38" s="663"/>
      <c r="N38" s="663"/>
      <c r="O38" s="663"/>
      <c r="P38" s="663"/>
      <c r="Q38" s="144"/>
      <c r="R38" s="144"/>
      <c r="S38" s="144"/>
      <c r="T38" s="144"/>
      <c r="U38" s="144"/>
      <c r="V38" s="144"/>
      <c r="W38" s="144"/>
      <c r="X38" s="144"/>
      <c r="Y38" s="144"/>
      <c r="AI38" s="311"/>
      <c r="AJ38" s="311"/>
      <c r="AK38" s="311"/>
      <c r="AL38" s="311"/>
      <c r="AM38" s="311"/>
    </row>
    <row r="39" spans="1:39" x14ac:dyDescent="0.25">
      <c r="A39" s="312"/>
      <c r="B39" s="366" t="s">
        <v>1090</v>
      </c>
      <c r="C39" s="162">
        <f>'Inputs and eligible population'!H116</f>
        <v>6</v>
      </c>
      <c r="D39" s="139">
        <f>'Financial impact (cash)'!D16*'Inputs and eligible population'!$E$64*'Capacity (national prices)'!$C39</f>
        <v>360.65206598396031</v>
      </c>
      <c r="E39" s="139">
        <f>'Financial impact (cash)'!E16*'Inputs and eligible population'!$E$64*'Capacity (national prices)'!$C39</f>
        <v>353.20552165267645</v>
      </c>
      <c r="F39" s="139">
        <f>'Financial impact (cash)'!F16*'Inputs and eligible population'!$E$64*'Capacity (national prices)'!$C39</f>
        <v>360.18213801324339</v>
      </c>
      <c r="G39" s="139">
        <f>'Financial impact (cash)'!G16*'Inputs and eligible population'!$E$64*'Capacity (national prices)'!$C39</f>
        <v>363.58405050604847</v>
      </c>
      <c r="H39" s="139">
        <f>'Financial impact (cash)'!H16*'Inputs and eligible population'!$E$64*'Capacity (national prices)'!$C39</f>
        <v>367.01808003460098</v>
      </c>
      <c r="I39" s="139">
        <f>'Financial impact (cash)'!I16*'Inputs and eligible population'!$E$64*'Capacity (national prices)'!$C39</f>
        <v>370.48452967452295</v>
      </c>
      <c r="J39" s="312"/>
      <c r="K39" s="664"/>
      <c r="L39" s="664"/>
      <c r="M39" s="664"/>
      <c r="N39" s="664"/>
      <c r="O39" s="664"/>
      <c r="P39" s="664"/>
      <c r="Q39" s="144"/>
      <c r="R39" s="144"/>
      <c r="S39" s="144"/>
      <c r="T39" s="144"/>
      <c r="U39" s="144"/>
      <c r="V39" s="144"/>
      <c r="W39" s="144"/>
      <c r="X39" s="144"/>
      <c r="Y39" s="144"/>
      <c r="AI39" s="311"/>
      <c r="AJ39" s="311"/>
      <c r="AK39" s="311"/>
      <c r="AL39" s="311"/>
      <c r="AM39" s="311"/>
    </row>
    <row r="40" spans="1:39" x14ac:dyDescent="0.25">
      <c r="A40" s="312"/>
      <c r="B40" s="366" t="s">
        <v>1089</v>
      </c>
      <c r="C40" s="162">
        <f>'Inputs and eligible population'!H116</f>
        <v>6</v>
      </c>
      <c r="D40" s="139">
        <f>'Financial impact (cash)'!D16*'Inputs and eligible population'!$E$65*'Capacity (national prices)'!$C40</f>
        <v>2489.2815825280086</v>
      </c>
      <c r="E40" s="139">
        <f>'Financial impact (cash)'!E16*'Inputs and eligible population'!$E$65*'Capacity (national prices)'!$C40</f>
        <v>2437.8842735821408</v>
      </c>
      <c r="F40" s="139">
        <f>'Financial impact (cash)'!F16*'Inputs and eligible population'!$E$65*'Capacity (national prices)'!$C40</f>
        <v>2486.0380601612951</v>
      </c>
      <c r="G40" s="139">
        <f>'Financial impact (cash)'!G16*'Inputs and eligible population'!$E$65*'Capacity (national prices)'!$C40</f>
        <v>2509.5186357975604</v>
      </c>
      <c r="H40" s="139">
        <f>'Financial impact (cash)'!H16*'Inputs and eligible population'!$E$65*'Capacity (national prices)'!$C40</f>
        <v>2533.2208886488265</v>
      </c>
      <c r="I40" s="139">
        <f>'Financial impact (cash)'!I16*'Inputs and eligible population'!$E$65*'Capacity (national prices)'!$C40</f>
        <v>2557.1469105943161</v>
      </c>
      <c r="J40" s="312"/>
      <c r="K40" s="664"/>
      <c r="L40" s="664"/>
      <c r="M40" s="664"/>
      <c r="N40" s="664"/>
      <c r="O40" s="664"/>
      <c r="P40" s="664"/>
      <c r="Q40" s="144"/>
      <c r="R40" s="144"/>
      <c r="S40" s="144"/>
      <c r="T40" s="144"/>
      <c r="U40" s="144"/>
      <c r="V40" s="144"/>
      <c r="W40" s="144"/>
      <c r="X40" s="144"/>
      <c r="Y40" s="144"/>
      <c r="AI40" s="311"/>
      <c r="AJ40" s="311"/>
      <c r="AK40" s="311"/>
      <c r="AL40" s="311"/>
      <c r="AM40" s="311"/>
    </row>
    <row r="41" spans="1:39" x14ac:dyDescent="0.25">
      <c r="A41" s="312"/>
      <c r="B41" s="308" t="s">
        <v>1038</v>
      </c>
      <c r="C41" s="338"/>
      <c r="D41" s="205">
        <f>SUM(D39:D40)</f>
        <v>2849.9336485119688</v>
      </c>
      <c r="E41" s="205">
        <f t="shared" ref="E41:I41" si="16">SUM(E39:E40)</f>
        <v>2791.0897952348173</v>
      </c>
      <c r="F41" s="205">
        <f t="shared" si="16"/>
        <v>2846.2201981745384</v>
      </c>
      <c r="G41" s="205">
        <f t="shared" si="16"/>
        <v>2873.1026863036086</v>
      </c>
      <c r="H41" s="205">
        <f t="shared" si="16"/>
        <v>2900.2389686834276</v>
      </c>
      <c r="I41" s="205">
        <f t="shared" si="16"/>
        <v>2927.631440268839</v>
      </c>
      <c r="J41" s="312"/>
      <c r="K41" s="644"/>
      <c r="L41" s="644"/>
      <c r="M41" s="644"/>
      <c r="N41" s="644"/>
      <c r="O41" s="644"/>
      <c r="P41" s="644"/>
      <c r="Q41" s="144"/>
      <c r="R41" s="144"/>
      <c r="S41" s="144"/>
      <c r="T41" s="144"/>
      <c r="U41" s="144"/>
      <c r="V41" s="144"/>
      <c r="W41" s="144"/>
      <c r="X41" s="144"/>
      <c r="Y41" s="144"/>
      <c r="AI41" s="311"/>
      <c r="AJ41" s="311"/>
      <c r="AK41" s="311"/>
      <c r="AL41" s="311"/>
      <c r="AM41" s="311"/>
    </row>
    <row r="42" spans="1:39" x14ac:dyDescent="0.25">
      <c r="A42" s="312"/>
      <c r="B42" s="324"/>
      <c r="C42" s="283"/>
      <c r="D42" s="310" t="s">
        <v>1045</v>
      </c>
      <c r="E42" s="205">
        <f>E41-$D$41</f>
        <v>-58.843853277151538</v>
      </c>
      <c r="F42" s="205">
        <f t="shared" ref="F42:I42" si="17">F41-$D$41</f>
        <v>-3.7134503374304586</v>
      </c>
      <c r="G42" s="205">
        <f t="shared" si="17"/>
        <v>23.169037791639767</v>
      </c>
      <c r="H42" s="205">
        <f t="shared" si="17"/>
        <v>50.305320171458789</v>
      </c>
      <c r="I42" s="205">
        <f t="shared" si="17"/>
        <v>77.697791756870174</v>
      </c>
      <c r="J42" s="312"/>
      <c r="K42" s="641"/>
      <c r="L42" s="644"/>
      <c r="M42" s="644"/>
      <c r="N42" s="644"/>
      <c r="O42" s="644"/>
      <c r="P42" s="644"/>
      <c r="Q42" s="144"/>
      <c r="R42" s="144"/>
      <c r="S42" s="144"/>
      <c r="T42" s="144"/>
      <c r="U42" s="144"/>
      <c r="V42" s="144"/>
      <c r="W42" s="144"/>
      <c r="X42" s="144"/>
      <c r="Y42" s="144"/>
      <c r="AI42" s="311"/>
      <c r="AJ42" s="311"/>
      <c r="AK42" s="311"/>
      <c r="AL42" s="311"/>
      <c r="AM42" s="311"/>
    </row>
    <row r="43" spans="1:39" x14ac:dyDescent="0.25">
      <c r="A43" s="312"/>
      <c r="B43" s="312"/>
      <c r="C43" s="312"/>
      <c r="D43" s="642"/>
      <c r="E43" s="643"/>
      <c r="F43" s="643"/>
      <c r="G43" s="643"/>
      <c r="H43" s="643"/>
      <c r="I43" s="643"/>
      <c r="J43" s="312"/>
      <c r="K43" s="641"/>
      <c r="L43" s="644"/>
      <c r="M43" s="644"/>
      <c r="N43" s="644"/>
      <c r="O43" s="644"/>
      <c r="P43" s="644"/>
      <c r="Q43" s="144"/>
      <c r="R43" s="144"/>
      <c r="S43" s="144"/>
      <c r="T43" s="144"/>
      <c r="U43" s="144"/>
      <c r="V43" s="144"/>
      <c r="W43" s="144"/>
      <c r="X43" s="144"/>
      <c r="Y43" s="144"/>
      <c r="AI43" s="311"/>
      <c r="AJ43" s="311"/>
      <c r="AK43" s="311"/>
      <c r="AL43" s="311"/>
      <c r="AM43" s="311"/>
    </row>
    <row r="44" spans="1:39" x14ac:dyDescent="0.25">
      <c r="A44" s="312"/>
      <c r="B44" s="414" t="s">
        <v>1021</v>
      </c>
      <c r="C44" s="320"/>
      <c r="D44" s="320"/>
      <c r="E44" s="321"/>
      <c r="F44" s="322"/>
      <c r="G44" s="323"/>
      <c r="H44" s="323"/>
      <c r="I44" s="640"/>
      <c r="J44" s="312"/>
      <c r="K44" s="641"/>
      <c r="L44" s="644"/>
      <c r="M44" s="644"/>
      <c r="N44" s="644"/>
      <c r="O44" s="644"/>
      <c r="P44" s="644"/>
      <c r="Q44" s="144"/>
      <c r="R44" s="144"/>
      <c r="S44" s="144"/>
      <c r="T44" s="144"/>
      <c r="U44" s="144"/>
      <c r="V44" s="144"/>
      <c r="W44" s="144"/>
      <c r="X44" s="144"/>
      <c r="Y44" s="144"/>
      <c r="AI44" s="311"/>
      <c r="AJ44" s="311"/>
      <c r="AK44" s="311"/>
      <c r="AL44" s="311"/>
      <c r="AM44" s="311"/>
    </row>
    <row r="45" spans="1:39" x14ac:dyDescent="0.25">
      <c r="A45" s="312"/>
      <c r="B45" s="414" t="s">
        <v>1043</v>
      </c>
      <c r="C45" s="415"/>
      <c r="D45" s="415"/>
      <c r="E45" s="415"/>
      <c r="F45" s="415"/>
      <c r="G45" s="415"/>
      <c r="H45" s="415"/>
      <c r="I45" s="237"/>
      <c r="J45" s="312"/>
      <c r="K45" s="641"/>
      <c r="L45" s="644"/>
      <c r="M45" s="644"/>
      <c r="N45" s="644"/>
      <c r="O45" s="644"/>
      <c r="P45" s="644"/>
      <c r="Q45" s="144"/>
      <c r="R45" s="144"/>
      <c r="S45" s="144"/>
      <c r="T45" s="144"/>
      <c r="U45" s="144"/>
      <c r="V45" s="144"/>
      <c r="W45" s="144"/>
      <c r="X45" s="144"/>
      <c r="Y45" s="144"/>
      <c r="AI45" s="311"/>
      <c r="AJ45" s="311"/>
      <c r="AK45" s="311"/>
      <c r="AL45" s="311"/>
      <c r="AM45" s="311"/>
    </row>
    <row r="46" spans="1:39" ht="45" x14ac:dyDescent="0.25">
      <c r="A46" s="312"/>
      <c r="B46" s="307" t="s">
        <v>902</v>
      </c>
      <c r="C46" s="181" t="s">
        <v>1046</v>
      </c>
      <c r="D46" s="444" t="s">
        <v>997</v>
      </c>
      <c r="E46" s="282" t="s">
        <v>703</v>
      </c>
      <c r="F46" s="282" t="s">
        <v>704</v>
      </c>
      <c r="G46" s="180" t="s">
        <v>998</v>
      </c>
      <c r="H46" s="180" t="s">
        <v>999</v>
      </c>
      <c r="I46" s="282" t="s">
        <v>1000</v>
      </c>
      <c r="J46" s="312"/>
      <c r="K46" s="444" t="s">
        <v>997</v>
      </c>
      <c r="L46" s="555" t="s">
        <v>703</v>
      </c>
      <c r="M46" s="555" t="s">
        <v>704</v>
      </c>
      <c r="N46" s="445" t="s">
        <v>998</v>
      </c>
      <c r="O46" s="445" t="s">
        <v>999</v>
      </c>
      <c r="P46" s="555" t="s">
        <v>1000</v>
      </c>
      <c r="Q46" s="144"/>
      <c r="R46" s="144"/>
      <c r="S46" s="144"/>
      <c r="T46" s="144"/>
      <c r="U46" s="144"/>
      <c r="V46" s="144"/>
      <c r="W46" s="144"/>
      <c r="X46" s="144"/>
      <c r="Y46" s="144"/>
      <c r="AI46" s="311"/>
      <c r="AJ46" s="311"/>
      <c r="AK46" s="311"/>
      <c r="AL46" s="311"/>
      <c r="AM46" s="311"/>
    </row>
    <row r="47" spans="1:39" x14ac:dyDescent="0.25">
      <c r="A47" s="312"/>
      <c r="B47" s="366" t="s">
        <v>1090</v>
      </c>
      <c r="C47" s="162">
        <f>'Inputs and eligible population'!H117/60</f>
        <v>0.5</v>
      </c>
      <c r="D47" s="139">
        <f>D39*$C47</f>
        <v>180.32603299198016</v>
      </c>
      <c r="E47" s="139">
        <f t="shared" ref="E47:I47" si="18">E39*$C47</f>
        <v>176.60276082633823</v>
      </c>
      <c r="F47" s="139">
        <f t="shared" si="18"/>
        <v>180.09106900662169</v>
      </c>
      <c r="G47" s="139">
        <f t="shared" si="18"/>
        <v>181.79202525302424</v>
      </c>
      <c r="H47" s="139">
        <f t="shared" si="18"/>
        <v>183.50904001730049</v>
      </c>
      <c r="I47" s="139">
        <f t="shared" si="18"/>
        <v>185.24226483726147</v>
      </c>
      <c r="J47" s="312"/>
      <c r="K47" s="316">
        <f>(D47*'Unit costs'!$N$58)/1000</f>
        <v>36.425858664379994</v>
      </c>
      <c r="L47" s="316">
        <f>(E47*'Unit costs'!$N$58)/1000</f>
        <v>35.673757686920318</v>
      </c>
      <c r="M47" s="316">
        <f>(F47*'Unit costs'!$N$58)/1000</f>
        <v>36.378395939337587</v>
      </c>
      <c r="N47" s="316">
        <f>(G47*'Unit costs'!$N$58)/1000</f>
        <v>36.721989101110893</v>
      </c>
      <c r="O47" s="316">
        <f>(H47*'Unit costs'!$N$58)/1000</f>
        <v>37.068826083494699</v>
      </c>
      <c r="P47" s="316">
        <f>(I47*'Unit costs'!$N$58)/1000</f>
        <v>37.418937497126819</v>
      </c>
      <c r="Q47" s="144"/>
      <c r="R47" s="144"/>
      <c r="S47" s="144"/>
      <c r="T47" s="144"/>
      <c r="U47" s="144"/>
      <c r="V47" s="144"/>
      <c r="W47" s="144"/>
      <c r="X47" s="144"/>
      <c r="Y47" s="144"/>
      <c r="AI47" s="311"/>
      <c r="AJ47" s="311"/>
      <c r="AK47" s="311"/>
      <c r="AL47" s="311"/>
      <c r="AM47" s="311"/>
    </row>
    <row r="48" spans="1:39" x14ac:dyDescent="0.25">
      <c r="A48" s="312"/>
      <c r="B48" s="366" t="s">
        <v>1089</v>
      </c>
      <c r="C48" s="183">
        <f>'Inputs and eligible population'!H117/60</f>
        <v>0.5</v>
      </c>
      <c r="D48" s="139">
        <f>D40*$C$48</f>
        <v>1244.6407912640043</v>
      </c>
      <c r="E48" s="139">
        <f t="shared" ref="E48:I48" si="19">E40*$C$48</f>
        <v>1218.9421367910704</v>
      </c>
      <c r="F48" s="139">
        <f t="shared" si="19"/>
        <v>1243.0190300806476</v>
      </c>
      <c r="G48" s="139">
        <f t="shared" si="19"/>
        <v>1254.7593178987802</v>
      </c>
      <c r="H48" s="139">
        <f t="shared" si="19"/>
        <v>1266.6104443244133</v>
      </c>
      <c r="I48" s="139">
        <f t="shared" si="19"/>
        <v>1278.573455297158</v>
      </c>
      <c r="J48" s="312"/>
      <c r="K48" s="316">
        <f>(D48*'Unit costs'!$N$59)/1000</f>
        <v>174.2497107769606</v>
      </c>
      <c r="L48" s="316">
        <f>(E48*'Unit costs'!$N$59)/1000</f>
        <v>170.65189915074987</v>
      </c>
      <c r="M48" s="316">
        <f>(F48*'Unit costs'!$N$59)/1000</f>
        <v>174.02266421129065</v>
      </c>
      <c r="N48" s="316">
        <f>(G48*'Unit costs'!$N$59)/1000</f>
        <v>175.66630450582923</v>
      </c>
      <c r="O48" s="316">
        <f>(H48*'Unit costs'!$N$59)/1000</f>
        <v>177.32546220541786</v>
      </c>
      <c r="P48" s="316">
        <f>(I48*'Unit costs'!$N$59)/1000</f>
        <v>179.00028374160212</v>
      </c>
      <c r="Q48" s="144"/>
      <c r="R48" s="144"/>
      <c r="S48" s="144"/>
      <c r="T48" s="144"/>
      <c r="U48" s="144"/>
      <c r="V48" s="144"/>
      <c r="W48" s="144"/>
      <c r="X48" s="144"/>
      <c r="Y48" s="144"/>
      <c r="AI48" s="311"/>
      <c r="AJ48" s="311"/>
      <c r="AK48" s="311"/>
      <c r="AL48" s="311"/>
      <c r="AM48" s="311"/>
    </row>
    <row r="49" spans="1:39" x14ac:dyDescent="0.25">
      <c r="A49" s="312"/>
      <c r="B49" s="308" t="s">
        <v>1038</v>
      </c>
      <c r="C49" s="338"/>
      <c r="D49" s="205">
        <f>SUM(D47:D48)</f>
        <v>1424.9668242559844</v>
      </c>
      <c r="E49" s="205">
        <f t="shared" ref="E49:I49" si="20">SUM(E47:E48)</f>
        <v>1395.5448976174087</v>
      </c>
      <c r="F49" s="205">
        <f t="shared" si="20"/>
        <v>1423.1100990872692</v>
      </c>
      <c r="G49" s="205">
        <f t="shared" si="20"/>
        <v>1436.5513431518043</v>
      </c>
      <c r="H49" s="205">
        <f t="shared" si="20"/>
        <v>1450.1194843417138</v>
      </c>
      <c r="I49" s="205">
        <f t="shared" si="20"/>
        <v>1463.8157201344195</v>
      </c>
      <c r="J49" s="312"/>
      <c r="K49" s="317">
        <f>SUM(K47:K48)</f>
        <v>210.6755694413406</v>
      </c>
      <c r="L49" s="317">
        <f t="shared" ref="L49:P49" si="21">SUM(L47:L48)</f>
        <v>206.32565683767018</v>
      </c>
      <c r="M49" s="317">
        <f t="shared" si="21"/>
        <v>210.40106015062824</v>
      </c>
      <c r="N49" s="317">
        <f t="shared" si="21"/>
        <v>212.38829360694012</v>
      </c>
      <c r="O49" s="317">
        <f t="shared" si="21"/>
        <v>214.39428828891255</v>
      </c>
      <c r="P49" s="317">
        <f t="shared" si="21"/>
        <v>216.41922123872894</v>
      </c>
      <c r="Q49" s="144"/>
      <c r="R49" s="144"/>
      <c r="S49" s="144"/>
      <c r="T49" s="144"/>
      <c r="U49" s="144"/>
      <c r="V49" s="144"/>
      <c r="W49" s="144"/>
      <c r="X49" s="144"/>
      <c r="Y49" s="144"/>
      <c r="AI49" s="311"/>
      <c r="AJ49" s="311"/>
      <c r="AK49" s="311"/>
      <c r="AL49" s="311"/>
      <c r="AM49" s="311"/>
    </row>
    <row r="50" spans="1:39" x14ac:dyDescent="0.25">
      <c r="A50" s="312"/>
      <c r="B50" s="324"/>
      <c r="C50" s="283"/>
      <c r="D50" s="310" t="s">
        <v>1047</v>
      </c>
      <c r="E50" s="205">
        <f>E49-$D$49</f>
        <v>-29.421926638575769</v>
      </c>
      <c r="F50" s="205">
        <f t="shared" ref="F50:I50" si="22">F49-$D$49</f>
        <v>-1.8567251687152293</v>
      </c>
      <c r="G50" s="205">
        <f t="shared" si="22"/>
        <v>11.584518895819883</v>
      </c>
      <c r="H50" s="205">
        <f t="shared" si="22"/>
        <v>25.152660085729394</v>
      </c>
      <c r="I50" s="205">
        <f t="shared" si="22"/>
        <v>38.848895878435087</v>
      </c>
      <c r="J50" s="312"/>
      <c r="K50" s="556"/>
      <c r="L50" s="317">
        <f>L49-$K$49</f>
        <v>-4.3499126036704183</v>
      </c>
      <c r="M50" s="317">
        <f t="shared" ref="M50:P50" si="23">M49-$K$49</f>
        <v>-0.27450929071235919</v>
      </c>
      <c r="N50" s="317">
        <f t="shared" si="23"/>
        <v>1.7127241655995249</v>
      </c>
      <c r="O50" s="317">
        <f t="shared" si="23"/>
        <v>3.7187188475719495</v>
      </c>
      <c r="P50" s="317">
        <f t="shared" si="23"/>
        <v>5.7436517973883383</v>
      </c>
      <c r="Q50" s="144"/>
      <c r="R50" s="144"/>
      <c r="S50" s="144"/>
      <c r="T50" s="144"/>
      <c r="U50" s="144"/>
      <c r="V50" s="144"/>
      <c r="W50" s="144"/>
      <c r="X50" s="144"/>
      <c r="Y50" s="144"/>
      <c r="AI50" s="311"/>
      <c r="AJ50" s="311"/>
      <c r="AK50" s="311"/>
      <c r="AL50" s="311"/>
      <c r="AM50" s="311"/>
    </row>
    <row r="51" spans="1:39" x14ac:dyDescent="0.25">
      <c r="A51" s="312"/>
      <c r="B51" s="312"/>
      <c r="C51" s="312"/>
      <c r="D51" s="642"/>
      <c r="E51" s="643"/>
      <c r="F51" s="643"/>
      <c r="G51" s="643"/>
      <c r="H51" s="643"/>
      <c r="I51" s="643"/>
      <c r="J51" s="312"/>
      <c r="K51" s="641"/>
      <c r="L51" s="644"/>
      <c r="M51" s="644"/>
      <c r="N51" s="644"/>
      <c r="O51" s="644"/>
      <c r="P51" s="644"/>
      <c r="Q51" s="144"/>
      <c r="R51" s="144"/>
      <c r="S51" s="144"/>
      <c r="T51" s="144"/>
      <c r="U51" s="144"/>
      <c r="V51" s="144"/>
      <c r="W51" s="144"/>
      <c r="X51" s="144"/>
      <c r="Y51" s="144"/>
      <c r="AI51" s="311"/>
      <c r="AJ51" s="311"/>
      <c r="AK51" s="311"/>
      <c r="AL51" s="311"/>
      <c r="AM51" s="311"/>
    </row>
    <row r="52" spans="1:39" x14ac:dyDescent="0.25">
      <c r="A52" s="312"/>
      <c r="B52" s="339"/>
      <c r="C52" s="238"/>
      <c r="D52" s="238"/>
      <c r="E52" s="238"/>
      <c r="F52" s="238"/>
      <c r="G52" s="238"/>
      <c r="H52" s="238"/>
      <c r="I52" s="238"/>
      <c r="J52" s="238"/>
      <c r="K52" s="238"/>
      <c r="L52" s="238"/>
      <c r="M52" s="238"/>
      <c r="N52" s="238"/>
      <c r="O52" s="238"/>
      <c r="P52" s="238"/>
      <c r="Q52" s="144"/>
      <c r="R52" s="144"/>
      <c r="S52" s="144"/>
      <c r="T52" s="144"/>
      <c r="U52" s="144"/>
      <c r="V52" s="144"/>
      <c r="W52" s="144"/>
      <c r="X52" s="144"/>
      <c r="Y52" s="144"/>
      <c r="AI52" s="311"/>
      <c r="AJ52" s="311"/>
      <c r="AK52" s="311"/>
      <c r="AL52" s="311"/>
      <c r="AM52" s="311"/>
    </row>
    <row r="53" spans="1:39" x14ac:dyDescent="0.25">
      <c r="A53" s="313"/>
      <c r="B53" s="340" t="s">
        <v>1194</v>
      </c>
      <c r="C53" s="325"/>
      <c r="D53" s="325"/>
      <c r="E53" s="326"/>
      <c r="F53" s="327"/>
      <c r="G53" s="327"/>
      <c r="H53" s="327"/>
      <c r="I53" s="412"/>
      <c r="J53" s="313"/>
      <c r="K53" s="313"/>
      <c r="L53" s="313"/>
      <c r="M53" s="313"/>
      <c r="N53" s="313"/>
      <c r="O53" s="313"/>
      <c r="P53" s="240"/>
      <c r="Q53" s="144"/>
      <c r="R53" s="144"/>
      <c r="S53" s="144"/>
      <c r="T53" s="144"/>
      <c r="U53" s="144"/>
      <c r="V53" s="144"/>
      <c r="W53" s="144"/>
      <c r="X53" s="144"/>
      <c r="Y53" s="144"/>
      <c r="AI53" s="311"/>
      <c r="AJ53" s="311"/>
      <c r="AK53" s="311"/>
      <c r="AL53" s="311"/>
      <c r="AM53" s="311"/>
    </row>
    <row r="54" spans="1:39" ht="45" x14ac:dyDescent="0.25">
      <c r="A54" s="313"/>
      <c r="B54" s="305" t="s">
        <v>902</v>
      </c>
      <c r="C54" s="181" t="s">
        <v>1190</v>
      </c>
      <c r="D54" s="444" t="s">
        <v>997</v>
      </c>
      <c r="E54" s="282" t="s">
        <v>703</v>
      </c>
      <c r="F54" s="282" t="s">
        <v>704</v>
      </c>
      <c r="G54" s="180" t="s">
        <v>998</v>
      </c>
      <c r="H54" s="180" t="s">
        <v>999</v>
      </c>
      <c r="I54" s="282" t="s">
        <v>1000</v>
      </c>
      <c r="J54" s="313"/>
      <c r="K54" s="444" t="s">
        <v>997</v>
      </c>
      <c r="L54" s="282" t="s">
        <v>703</v>
      </c>
      <c r="M54" s="282" t="s">
        <v>704</v>
      </c>
      <c r="N54" s="180" t="s">
        <v>998</v>
      </c>
      <c r="O54" s="180" t="s">
        <v>999</v>
      </c>
      <c r="P54" s="282" t="s">
        <v>1000</v>
      </c>
      <c r="Q54" s="675"/>
      <c r="R54" s="144"/>
      <c r="S54" s="144"/>
      <c r="T54" s="144"/>
      <c r="U54" s="144"/>
      <c r="V54" s="144"/>
      <c r="W54" s="144"/>
      <c r="X54" s="144"/>
      <c r="Y54" s="144"/>
      <c r="AI54" s="311"/>
      <c r="AJ54" s="311"/>
      <c r="AK54" s="311"/>
      <c r="AL54" s="311"/>
      <c r="AM54" s="311"/>
    </row>
    <row r="55" spans="1:39" x14ac:dyDescent="0.25">
      <c r="A55" s="313"/>
      <c r="B55" s="366" t="s">
        <v>1061</v>
      </c>
      <c r="C55" s="162">
        <v>1</v>
      </c>
      <c r="D55" s="139">
        <f>'Financial impact (cash)'!D13*$C55</f>
        <v>0</v>
      </c>
      <c r="E55" s="139">
        <f>'Financial impact (cash)'!E13*$C55</f>
        <v>14.387060800179469</v>
      </c>
      <c r="F55" s="139">
        <f>'Financial impact (cash)'!F13*$C55</f>
        <v>9.8225693171315953</v>
      </c>
      <c r="G55" s="139">
        <f>'Financial impact (cash)'!G13*$C55</f>
        <v>10.010646476234093</v>
      </c>
      <c r="H55" s="139">
        <f>'Financial impact (cash)'!H13*$C55</f>
        <v>10.201437293083785</v>
      </c>
      <c r="I55" s="139">
        <f>'Financial impact (cash)'!I13*$C55</f>
        <v>10.394976612321841</v>
      </c>
      <c r="J55" s="313"/>
      <c r="K55" s="316">
        <f>(D55*'Unit costs'!$N$26)/1000</f>
        <v>0</v>
      </c>
      <c r="L55" s="316">
        <f>(E55*'Unit costs'!$N$26)/1000</f>
        <v>591.32258594817631</v>
      </c>
      <c r="M55" s="316">
        <f>(F55*'Unit costs'!$N$26)/1000</f>
        <v>403.71742150342567</v>
      </c>
      <c r="N55" s="316">
        <f>(G55*'Unit costs'!$N$26)/1000</f>
        <v>411.44758081969746</v>
      </c>
      <c r="O55" s="316">
        <f>(H55*'Unit costs'!$N$26)/1000</f>
        <v>419.28927418303664</v>
      </c>
      <c r="P55" s="316">
        <f>(I55*'Unit costs'!$N$26)/1000</f>
        <v>427.24393374303997</v>
      </c>
      <c r="U55" s="144"/>
    </row>
    <row r="56" spans="1:39" x14ac:dyDescent="0.25">
      <c r="A56" s="313"/>
      <c r="B56" s="308"/>
      <c r="C56" s="229"/>
      <c r="D56" s="205">
        <f t="shared" ref="D56:I56" si="24">SUM(D55:D55)</f>
        <v>0</v>
      </c>
      <c r="E56" s="205">
        <f t="shared" si="24"/>
        <v>14.387060800179469</v>
      </c>
      <c r="F56" s="205">
        <f t="shared" si="24"/>
        <v>9.8225693171315953</v>
      </c>
      <c r="G56" s="205">
        <f t="shared" si="24"/>
        <v>10.010646476234093</v>
      </c>
      <c r="H56" s="205">
        <f t="shared" si="24"/>
        <v>10.201437293083785</v>
      </c>
      <c r="I56" s="205">
        <f t="shared" si="24"/>
        <v>10.394976612321841</v>
      </c>
      <c r="J56" s="313"/>
      <c r="K56" s="317">
        <f t="shared" ref="K56:P56" si="25">SUM(K55:K55)</f>
        <v>0</v>
      </c>
      <c r="L56" s="317">
        <f t="shared" si="25"/>
        <v>591.32258594817631</v>
      </c>
      <c r="M56" s="317">
        <f t="shared" si="25"/>
        <v>403.71742150342567</v>
      </c>
      <c r="N56" s="317">
        <f t="shared" si="25"/>
        <v>411.44758081969746</v>
      </c>
      <c r="O56" s="317">
        <f t="shared" si="25"/>
        <v>419.28927418303664</v>
      </c>
      <c r="P56" s="317">
        <f t="shared" si="25"/>
        <v>427.24393374303997</v>
      </c>
      <c r="Q56" s="144"/>
      <c r="R56" s="144"/>
      <c r="S56" s="144"/>
      <c r="T56" s="144"/>
      <c r="U56" s="144"/>
      <c r="V56" s="144"/>
      <c r="W56" s="144"/>
      <c r="X56" s="144"/>
      <c r="Y56" s="144"/>
      <c r="AI56" s="311"/>
      <c r="AJ56" s="311"/>
      <c r="AK56" s="311"/>
      <c r="AL56" s="311"/>
      <c r="AM56" s="311"/>
    </row>
    <row r="57" spans="1:39" x14ac:dyDescent="0.25">
      <c r="A57" s="313"/>
      <c r="B57" s="324"/>
      <c r="C57" s="283"/>
      <c r="D57" s="310" t="s">
        <v>1068</v>
      </c>
      <c r="E57" s="205">
        <f>E56-$D$56</f>
        <v>14.387060800179469</v>
      </c>
      <c r="F57" s="205">
        <f t="shared" ref="F57:I57" si="26">F56-$D$56</f>
        <v>9.8225693171315953</v>
      </c>
      <c r="G57" s="205">
        <f t="shared" si="26"/>
        <v>10.010646476234093</v>
      </c>
      <c r="H57" s="205">
        <f t="shared" si="26"/>
        <v>10.201437293083785</v>
      </c>
      <c r="I57" s="205">
        <f t="shared" si="26"/>
        <v>10.394976612321841</v>
      </c>
      <c r="J57" s="313"/>
      <c r="K57" s="558"/>
      <c r="L57" s="317">
        <f>L56-$K$56</f>
        <v>591.32258594817631</v>
      </c>
      <c r="M57" s="317">
        <f t="shared" ref="M57:P57" si="27">M56-$K$56</f>
        <v>403.71742150342567</v>
      </c>
      <c r="N57" s="317">
        <f t="shared" si="27"/>
        <v>411.44758081969746</v>
      </c>
      <c r="O57" s="317">
        <f t="shared" si="27"/>
        <v>419.28927418303664</v>
      </c>
      <c r="P57" s="317">
        <f t="shared" si="27"/>
        <v>427.24393374303997</v>
      </c>
      <c r="Q57" s="144"/>
      <c r="R57" s="144"/>
      <c r="S57" s="144"/>
      <c r="T57" s="144"/>
      <c r="U57" s="144"/>
      <c r="V57" s="144"/>
      <c r="W57" s="144"/>
      <c r="X57" s="144"/>
      <c r="Y57" s="144"/>
      <c r="AI57" s="311"/>
      <c r="AJ57" s="311"/>
      <c r="AK57" s="311"/>
      <c r="AL57" s="311"/>
      <c r="AM57" s="311"/>
    </row>
    <row r="58" spans="1:39" x14ac:dyDescent="0.25">
      <c r="A58" s="313"/>
      <c r="B58" s="313"/>
      <c r="C58" s="313"/>
      <c r="D58" s="628"/>
      <c r="E58" s="629"/>
      <c r="F58" s="629"/>
      <c r="G58" s="629"/>
      <c r="H58" s="629"/>
      <c r="I58" s="629"/>
      <c r="J58" s="313"/>
      <c r="K58" s="313"/>
      <c r="L58" s="630"/>
      <c r="M58" s="630"/>
      <c r="N58" s="630"/>
      <c r="O58" s="630"/>
      <c r="P58" s="630"/>
      <c r="Q58" s="144"/>
      <c r="R58" s="144"/>
      <c r="S58" s="144"/>
      <c r="T58" s="144"/>
      <c r="U58" s="144"/>
      <c r="V58" s="144"/>
      <c r="W58" s="144"/>
      <c r="X58" s="144"/>
      <c r="Y58" s="144"/>
      <c r="AI58" s="311"/>
      <c r="AJ58" s="311"/>
      <c r="AK58" s="311"/>
      <c r="AL58" s="311"/>
      <c r="AM58" s="311"/>
    </row>
    <row r="59" spans="1:39" x14ac:dyDescent="0.25">
      <c r="B59"/>
    </row>
  </sheetData>
  <sheetProtection algorithmName="SHA-512" hashValue="ZsbC7dHHp1jNYQANKQRtjUdr68sS7XdN86pD4A+niufJ4tpKzNB6lRuQLX9M9tzKTn2pmjMu1j7v1ZVW97dK1A==" saltValue="ua/kQbsGaHXqAaOMxefB5w==" spinCount="100000" sheet="1" objects="1" scenarios="1"/>
  <mergeCells count="1">
    <mergeCell ref="B16:C16"/>
  </mergeCell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56"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132C8122-818A-4FC2-A98D-6912E3894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24C17-9003-4474-A67F-56162B9CF558}">
  <ds:schemaRefs>
    <ds:schemaRef ds:uri="c1f338ac-e338-414f-952c-f74dcc6d59e1"/>
    <ds:schemaRef ds:uri="0eb656aa-4e79-4e95-9076-bc119a23e0c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acaf4567-dc07-471f-892c-2bcb86ef35a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TA1003 Exagamglogene autotemcel for treating transfusion-dependent beta-thalassaemia in people 12 years and over: resource impact template 14/02/2025</cp:keywords>
  <dc:description/>
  <cp:lastModifiedBy/>
  <cp:revision/>
  <dcterms:created xsi:type="dcterms:W3CDTF">2022-07-27T12:38:28Z</dcterms:created>
  <dcterms:modified xsi:type="dcterms:W3CDTF">2025-02-14T14:52:03Z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