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141839AF-26A1-494F-A5D7-30F878C8D9C8}" xr6:coauthVersionLast="47" xr6:coauthVersionMax="47" xr10:uidLastSave="{00000000-0000-0000-0000-000000000000}"/>
  <bookViews>
    <workbookView xWindow="-120" yWindow="-120" windowWidth="29040" windowHeight="15840" tabRatio="944" activeTab="3" xr2:uid="{00000000-000D-0000-FFFF-FFFF00000000}"/>
  </bookViews>
  <sheets>
    <sheet name="Cover" sheetId="58" r:id="rId1"/>
    <sheet name="Contents" sheetId="59" r:id="rId2"/>
    <sheet name="Population selection" sheetId="32" state="hidden" r:id="rId3"/>
    <sheet name="Inputs and eligible population" sheetId="50" r:id="rId4"/>
    <sheet name="Unit costs" sheetId="60" r:id="rId5"/>
    <sheet name="Financial impact (cash)" sheetId="62" r:id="rId6"/>
    <sheet name="Summary" sheetId="61" r:id="rId7"/>
    <sheet name="Capacity (local prices)" sheetId="65" r:id="rId8"/>
    <sheet name="Capacity (national prices)" sheetId="66" r:id="rId9"/>
    <sheet name="payscales" sheetId="67" r:id="rId10"/>
  </sheets>
  <externalReferences>
    <externalReference r:id="rId11"/>
    <externalReference r:id="rId12"/>
  </externalReferences>
  <definedNames>
    <definedName name="_xlnm._FilterDatabase" localSheetId="2" hidden="1">'Population selection'!$A$157:$GL$532</definedName>
    <definedName name="BAND">payscales!$B$12:$B$47</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 localSheetId="9">'[1]Population selection'!$B$521:$B$531</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#REF!</definedName>
    <definedName name="ORGTYPE" localSheetId="8">#REF!</definedName>
    <definedName name="ORGTYPE" localSheetId="0">#REF!</definedName>
    <definedName name="ORGTYPE" localSheetId="5">#REF!</definedName>
    <definedName name="ORGTYPE" localSheetId="9">'[1]Population selection'!$L$5:$L$14</definedName>
    <definedName name="ORGTYPE" localSheetId="6">#REF!</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selection'!$B$549:$B$564</definedName>
    <definedName name="_xlnm.Print_Area" localSheetId="7">'Capacity (local prices)'!$B$1:$S$178</definedName>
    <definedName name="_xlnm.Print_Area" localSheetId="8">'Capacity (national prices)'!$B$1:$S$177</definedName>
    <definedName name="_xlnm.Print_Area" localSheetId="1">Contents!$A$1:$P$29</definedName>
    <definedName name="_xlnm.Print_Area" localSheetId="0">Cover!$A$1:$P$44</definedName>
    <definedName name="_xlnm.Print_Area" localSheetId="5">'Financial impact (cash)'!$B$1:$J$10</definedName>
    <definedName name="_xlnm.Print_Area" localSheetId="2">'Population selection'!$B$11:$J$17</definedName>
    <definedName name="_xlnm.Print_Area" localSheetId="6">Summary!$B$1:$K$78</definedName>
    <definedName name="_xlnm.Print_Area" localSheetId="4">'Unit costs'!$B$1:$AA$86</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0" l="1"/>
  <c r="I9" i="60"/>
  <c r="L9" i="60" s="1"/>
  <c r="M9" i="60"/>
  <c r="I12" i="60"/>
  <c r="I13" i="60"/>
  <c r="I14" i="60"/>
  <c r="I15" i="60"/>
  <c r="I16" i="60"/>
  <c r="I11" i="60"/>
  <c r="L11" i="60" s="1"/>
  <c r="H85" i="50"/>
  <c r="I72" i="60"/>
  <c r="L26" i="60"/>
  <c r="H26" i="60"/>
  <c r="H15" i="60"/>
  <c r="N17" i="60" l="1"/>
  <c r="N96" i="50" l="1"/>
  <c r="N91" i="50"/>
  <c r="N90" i="50"/>
  <c r="N86" i="50"/>
  <c r="H47" i="67"/>
  <c r="E47" i="67"/>
  <c r="G47" i="67" s="1"/>
  <c r="D47" i="67"/>
  <c r="C46" i="67"/>
  <c r="E46" i="67" s="1"/>
  <c r="H45" i="67"/>
  <c r="G45" i="67"/>
  <c r="I45" i="67" s="1"/>
  <c r="K45" i="67" s="1"/>
  <c r="F45" i="67"/>
  <c r="E45" i="67"/>
  <c r="D45" i="67"/>
  <c r="H44" i="67"/>
  <c r="G44" i="67"/>
  <c r="I44" i="67" s="1"/>
  <c r="F44" i="67"/>
  <c r="E44" i="67"/>
  <c r="D44" i="67"/>
  <c r="H43" i="67"/>
  <c r="C43" i="67"/>
  <c r="E43" i="67" s="1"/>
  <c r="J42" i="67"/>
  <c r="H42" i="67"/>
  <c r="E42" i="67"/>
  <c r="G42" i="67" s="1"/>
  <c r="D42" i="67"/>
  <c r="C41" i="67"/>
  <c r="E41" i="67" s="1"/>
  <c r="C40" i="67"/>
  <c r="E40" i="67" s="1"/>
  <c r="C39" i="67"/>
  <c r="E39" i="67" s="1"/>
  <c r="C38" i="67"/>
  <c r="E38" i="67" s="1"/>
  <c r="C37" i="67"/>
  <c r="E37" i="67" s="1"/>
  <c r="W36" i="67"/>
  <c r="J44" i="67" s="1"/>
  <c r="C36" i="67"/>
  <c r="E36" i="67" s="1"/>
  <c r="E35" i="67"/>
  <c r="G35" i="67" s="1"/>
  <c r="D35" i="67"/>
  <c r="C35" i="67"/>
  <c r="C34" i="67"/>
  <c r="E34" i="67" s="1"/>
  <c r="E33" i="67"/>
  <c r="G33" i="67" s="1"/>
  <c r="D33" i="67"/>
  <c r="C33" i="67"/>
  <c r="C32" i="67"/>
  <c r="E32" i="67" s="1"/>
  <c r="E31" i="67"/>
  <c r="G31" i="67" s="1"/>
  <c r="D31" i="67"/>
  <c r="C31" i="67"/>
  <c r="C30" i="67"/>
  <c r="E30" i="67" s="1"/>
  <c r="E29" i="67"/>
  <c r="G29" i="67" s="1"/>
  <c r="C29" i="67"/>
  <c r="D29" i="67" s="1"/>
  <c r="W28" i="67"/>
  <c r="C28" i="67"/>
  <c r="D28" i="67" s="1"/>
  <c r="E27" i="67"/>
  <c r="H27" i="67" s="1"/>
  <c r="C27" i="67"/>
  <c r="D27" i="67" s="1"/>
  <c r="E26" i="67"/>
  <c r="H26" i="67" s="1"/>
  <c r="C26" i="67"/>
  <c r="D26" i="67" s="1"/>
  <c r="E25" i="67"/>
  <c r="H25" i="67" s="1"/>
  <c r="C25" i="67"/>
  <c r="D25" i="67" s="1"/>
  <c r="C24" i="67"/>
  <c r="E24" i="67" s="1"/>
  <c r="C23" i="67"/>
  <c r="E23" i="67" s="1"/>
  <c r="C22" i="67"/>
  <c r="E22" i="67" s="1"/>
  <c r="C21" i="67"/>
  <c r="E21" i="67" s="1"/>
  <c r="C20" i="67"/>
  <c r="E20" i="67" s="1"/>
  <c r="W19" i="67"/>
  <c r="C19" i="67"/>
  <c r="D19" i="67" s="1"/>
  <c r="C18" i="67"/>
  <c r="D18" i="67" s="1"/>
  <c r="C17" i="67"/>
  <c r="E17" i="67" s="1"/>
  <c r="C16" i="67"/>
  <c r="D16" i="67" s="1"/>
  <c r="C15" i="67"/>
  <c r="D15" i="67" s="1"/>
  <c r="C14" i="67"/>
  <c r="E14" i="67" s="1"/>
  <c r="C13" i="67"/>
  <c r="D13" i="67" s="1"/>
  <c r="C12" i="67"/>
  <c r="D12" i="67" s="1"/>
  <c r="N10" i="60"/>
  <c r="G36" i="67" l="1"/>
  <c r="H36" i="67"/>
  <c r="G32" i="67"/>
  <c r="H32" i="67"/>
  <c r="G30" i="67"/>
  <c r="H30" i="67"/>
  <c r="G34" i="67"/>
  <c r="H34" i="67"/>
  <c r="D30" i="67"/>
  <c r="D32" i="67"/>
  <c r="D34" i="67"/>
  <c r="D36" i="67"/>
  <c r="E28" i="67"/>
  <c r="H28" i="67" s="1"/>
  <c r="H29" i="67"/>
  <c r="H31" i="67"/>
  <c r="H33" i="67"/>
  <c r="H35" i="67"/>
  <c r="G37" i="67"/>
  <c r="F37" i="67"/>
  <c r="H37" i="67"/>
  <c r="H20" i="67"/>
  <c r="G20" i="67"/>
  <c r="F20" i="67"/>
  <c r="I20" i="67" s="1"/>
  <c r="K20" i="67" s="1"/>
  <c r="G38" i="67"/>
  <c r="F38" i="67"/>
  <c r="H38" i="67"/>
  <c r="G43" i="67"/>
  <c r="F43" i="67"/>
  <c r="I43" i="67" s="1"/>
  <c r="K43" i="67" s="1"/>
  <c r="H14" i="67"/>
  <c r="G14" i="67"/>
  <c r="F14" i="67"/>
  <c r="H21" i="67"/>
  <c r="G21" i="67"/>
  <c r="F21" i="67"/>
  <c r="G39" i="67"/>
  <c r="F39" i="67"/>
  <c r="I39" i="67" s="1"/>
  <c r="K39" i="67" s="1"/>
  <c r="H39" i="67"/>
  <c r="H23" i="67"/>
  <c r="G23" i="67"/>
  <c r="F23" i="67"/>
  <c r="G41" i="67"/>
  <c r="F41" i="67"/>
  <c r="I41" i="67" s="1"/>
  <c r="K41" i="67" s="1"/>
  <c r="H41" i="67"/>
  <c r="H24" i="67"/>
  <c r="G24" i="67"/>
  <c r="F24" i="67"/>
  <c r="G46" i="67"/>
  <c r="F46" i="67"/>
  <c r="I46" i="67" s="1"/>
  <c r="K46" i="67" s="1"/>
  <c r="H46" i="67"/>
  <c r="H22" i="67"/>
  <c r="G22" i="67"/>
  <c r="F22" i="67"/>
  <c r="I22" i="67" s="1"/>
  <c r="K22" i="67" s="1"/>
  <c r="G40" i="67"/>
  <c r="F40" i="67"/>
  <c r="I40" i="67"/>
  <c r="K40" i="67" s="1"/>
  <c r="H40" i="67"/>
  <c r="H17" i="67"/>
  <c r="G17" i="67"/>
  <c r="F17" i="67"/>
  <c r="K44" i="67"/>
  <c r="D14" i="67"/>
  <c r="D17" i="67"/>
  <c r="E12" i="67"/>
  <c r="E13" i="67"/>
  <c r="E15" i="67"/>
  <c r="E16" i="67"/>
  <c r="E18" i="67"/>
  <c r="E19" i="67"/>
  <c r="D20" i="67"/>
  <c r="D21" i="67"/>
  <c r="D22" i="67"/>
  <c r="D23" i="67"/>
  <c r="D24" i="67"/>
  <c r="J43" i="67"/>
  <c r="F25" i="67"/>
  <c r="F26" i="67"/>
  <c r="F27" i="67"/>
  <c r="F28" i="67"/>
  <c r="D37" i="67"/>
  <c r="D38" i="67"/>
  <c r="D39" i="67"/>
  <c r="D40" i="67"/>
  <c r="D41" i="67"/>
  <c r="D43" i="67"/>
  <c r="D46" i="67"/>
  <c r="G25" i="67"/>
  <c r="G26" i="67"/>
  <c r="G27" i="67"/>
  <c r="F29" i="67"/>
  <c r="I29" i="67" s="1"/>
  <c r="K29" i="67" s="1"/>
  <c r="F30" i="67"/>
  <c r="I30" i="67" s="1"/>
  <c r="K30" i="67" s="1"/>
  <c r="F31" i="67"/>
  <c r="I31" i="67" s="1"/>
  <c r="K31" i="67" s="1"/>
  <c r="F32" i="67"/>
  <c r="I32" i="67" s="1"/>
  <c r="K32" i="67" s="1"/>
  <c r="F33" i="67"/>
  <c r="I33" i="67" s="1"/>
  <c r="K33" i="67" s="1"/>
  <c r="F34" i="67"/>
  <c r="I34" i="67" s="1"/>
  <c r="K34" i="67" s="1"/>
  <c r="F35" i="67"/>
  <c r="I35" i="67" s="1"/>
  <c r="K35" i="67" s="1"/>
  <c r="F36" i="67"/>
  <c r="I36" i="67" s="1"/>
  <c r="K36" i="67" s="1"/>
  <c r="F42" i="67"/>
  <c r="I42" i="67" s="1"/>
  <c r="K42" i="67" s="1"/>
  <c r="F47" i="67"/>
  <c r="I47" i="67" s="1"/>
  <c r="K47" i="67" s="1"/>
  <c r="I23" i="67" l="1"/>
  <c r="K23" i="67" s="1"/>
  <c r="I24" i="67"/>
  <c r="K24" i="67" s="1"/>
  <c r="I14" i="67"/>
  <c r="K14" i="67" s="1"/>
  <c r="I28" i="67"/>
  <c r="K28" i="67" s="1"/>
  <c r="N94" i="50" s="1"/>
  <c r="I27" i="67"/>
  <c r="K27" i="67" s="1"/>
  <c r="I26" i="67"/>
  <c r="K26" i="67" s="1"/>
  <c r="I17" i="67"/>
  <c r="K17" i="67" s="1"/>
  <c r="I37" i="67"/>
  <c r="K37" i="67" s="1"/>
  <c r="I21" i="67"/>
  <c r="K21" i="67" s="1"/>
  <c r="G28" i="67"/>
  <c r="I38" i="67"/>
  <c r="K38" i="67" s="1"/>
  <c r="I25" i="67"/>
  <c r="K25" i="67" s="1"/>
  <c r="H18" i="67"/>
  <c r="G18" i="67"/>
  <c r="F18" i="67"/>
  <c r="I18" i="67" s="1"/>
  <c r="K18" i="67" s="1"/>
  <c r="I19" i="67"/>
  <c r="K19" i="67" s="1"/>
  <c r="F19" i="67"/>
  <c r="H19" i="67"/>
  <c r="G19" i="67"/>
  <c r="H15" i="67"/>
  <c r="G15" i="67"/>
  <c r="F15" i="67"/>
  <c r="I15" i="67" s="1"/>
  <c r="K15" i="67" s="1"/>
  <c r="F16" i="67"/>
  <c r="I16" i="67" s="1"/>
  <c r="K16" i="67" s="1"/>
  <c r="H16" i="67"/>
  <c r="G16" i="67"/>
  <c r="F13" i="67"/>
  <c r="H13" i="67"/>
  <c r="G13" i="67"/>
  <c r="H12" i="67"/>
  <c r="G12" i="67"/>
  <c r="I12" i="67" s="1"/>
  <c r="K12" i="67" s="1"/>
  <c r="F12" i="67"/>
  <c r="I13" i="67" l="1"/>
  <c r="K13" i="67" s="1"/>
  <c r="N98" i="50"/>
  <c r="N88" i="50"/>
  <c r="N87" i="50"/>
  <c r="N93" i="50"/>
  <c r="N92" i="50"/>
  <c r="N89" i="50"/>
  <c r="F85" i="50"/>
  <c r="G85" i="50"/>
  <c r="C124" i="66" l="1"/>
  <c r="C123" i="66"/>
  <c r="C125" i="65"/>
  <c r="C124" i="65"/>
  <c r="K48" i="66" l="1"/>
  <c r="K49" i="66"/>
  <c r="C48" i="66"/>
  <c r="C49" i="66"/>
  <c r="C47" i="66"/>
  <c r="C58" i="66"/>
  <c r="C57" i="66"/>
  <c r="C56" i="66"/>
  <c r="C55" i="66"/>
  <c r="C59" i="65" l="1"/>
  <c r="C58" i="65"/>
  <c r="C57" i="65"/>
  <c r="C56" i="65"/>
  <c r="C49" i="65"/>
  <c r="C50" i="65"/>
  <c r="C48" i="65"/>
  <c r="I61" i="60" l="1"/>
  <c r="J61" i="60"/>
  <c r="K61" i="60"/>
  <c r="L61" i="60"/>
  <c r="I62" i="60"/>
  <c r="J62" i="60"/>
  <c r="K62" i="60"/>
  <c r="L62" i="60"/>
  <c r="I63" i="60"/>
  <c r="J63" i="60"/>
  <c r="K63" i="60"/>
  <c r="L63" i="60"/>
  <c r="I64" i="60"/>
  <c r="J64" i="60"/>
  <c r="K64" i="60"/>
  <c r="L64" i="60"/>
  <c r="I65" i="60"/>
  <c r="J65" i="60"/>
  <c r="K65" i="60"/>
  <c r="L65" i="60"/>
  <c r="I66" i="60"/>
  <c r="J66" i="60"/>
  <c r="K66" i="60"/>
  <c r="L66" i="60"/>
  <c r="I67" i="60"/>
  <c r="J67" i="60"/>
  <c r="K67" i="60"/>
  <c r="L67" i="60"/>
  <c r="I68" i="60"/>
  <c r="J68" i="60"/>
  <c r="K68" i="60"/>
  <c r="L68" i="60"/>
  <c r="I69" i="60"/>
  <c r="J69" i="60"/>
  <c r="K69" i="60"/>
  <c r="L69" i="60"/>
  <c r="I70" i="60"/>
  <c r="J70" i="60"/>
  <c r="K70" i="60"/>
  <c r="L70" i="60"/>
  <c r="I71" i="60"/>
  <c r="J71" i="60"/>
  <c r="K71" i="60"/>
  <c r="L71" i="60"/>
  <c r="J72" i="60"/>
  <c r="K72" i="60"/>
  <c r="L72" i="60"/>
  <c r="I73" i="60"/>
  <c r="J73" i="60"/>
  <c r="K73" i="60"/>
  <c r="L73" i="60"/>
  <c r="I74" i="60"/>
  <c r="J74" i="60"/>
  <c r="K74" i="60"/>
  <c r="L74" i="60"/>
  <c r="I75" i="60"/>
  <c r="J75" i="60"/>
  <c r="K75" i="60"/>
  <c r="L75" i="60"/>
  <c r="I76" i="60"/>
  <c r="J76" i="60"/>
  <c r="K76" i="60"/>
  <c r="L76" i="60"/>
  <c r="I77" i="60"/>
  <c r="J77" i="60"/>
  <c r="K77" i="60"/>
  <c r="L77" i="60"/>
  <c r="I78" i="60"/>
  <c r="J78" i="60"/>
  <c r="K78" i="60"/>
  <c r="L78" i="60"/>
  <c r="I79" i="60"/>
  <c r="J79" i="60"/>
  <c r="K79" i="60"/>
  <c r="L79" i="60"/>
  <c r="I80" i="60"/>
  <c r="J80" i="60"/>
  <c r="K80" i="60"/>
  <c r="L80" i="60"/>
  <c r="I81" i="60"/>
  <c r="J81" i="60"/>
  <c r="K81" i="60"/>
  <c r="L81" i="60"/>
  <c r="I82" i="60"/>
  <c r="J82" i="60"/>
  <c r="K82" i="60"/>
  <c r="L82" i="60"/>
  <c r="I83" i="60"/>
  <c r="J83" i="60"/>
  <c r="K83" i="60"/>
  <c r="L83" i="60"/>
  <c r="I84" i="60"/>
  <c r="J84" i="60"/>
  <c r="K84" i="60"/>
  <c r="L84" i="60"/>
  <c r="N61" i="60"/>
  <c r="O61" i="60" s="1"/>
  <c r="N62" i="60"/>
  <c r="O62" i="60" s="1"/>
  <c r="N63" i="60"/>
  <c r="O63" i="60" s="1"/>
  <c r="N64" i="60"/>
  <c r="O64" i="60" s="1"/>
  <c r="N65" i="60"/>
  <c r="O65" i="60" s="1"/>
  <c r="N66" i="60"/>
  <c r="O66" i="60" s="1"/>
  <c r="N67" i="60"/>
  <c r="O67" i="60" s="1"/>
  <c r="N68" i="60"/>
  <c r="O68" i="60" s="1"/>
  <c r="N69" i="60"/>
  <c r="O69" i="60" s="1"/>
  <c r="N70" i="60"/>
  <c r="O70" i="60" s="1"/>
  <c r="N71" i="60"/>
  <c r="O71" i="60" s="1"/>
  <c r="N72" i="60"/>
  <c r="O72" i="60" s="1"/>
  <c r="N73" i="60"/>
  <c r="O73" i="60" s="1"/>
  <c r="N74" i="60"/>
  <c r="O74" i="60" s="1"/>
  <c r="N75" i="60"/>
  <c r="O75" i="60" s="1"/>
  <c r="N76" i="60"/>
  <c r="O76" i="60" s="1"/>
  <c r="N77" i="60"/>
  <c r="O77" i="60" s="1"/>
  <c r="N78" i="60"/>
  <c r="O78" i="60" s="1"/>
  <c r="N79" i="60"/>
  <c r="O79" i="60" s="1"/>
  <c r="N80" i="60"/>
  <c r="O80" i="60" s="1"/>
  <c r="N81" i="60"/>
  <c r="O81" i="60" s="1"/>
  <c r="N82" i="60"/>
  <c r="O82" i="60" s="1"/>
  <c r="N83" i="60"/>
  <c r="O83" i="60" s="1"/>
  <c r="N84" i="60"/>
  <c r="O84" i="60" s="1"/>
  <c r="P84" i="60" l="1"/>
  <c r="R84" i="60"/>
  <c r="R82" i="60"/>
  <c r="R80" i="60"/>
  <c r="R78" i="60"/>
  <c r="R76" i="60"/>
  <c r="R74" i="60"/>
  <c r="R72" i="60"/>
  <c r="R70" i="60"/>
  <c r="R68" i="60"/>
  <c r="R66" i="60"/>
  <c r="R64" i="60"/>
  <c r="R62" i="60"/>
  <c r="Q84" i="60"/>
  <c r="Q82" i="60"/>
  <c r="Q80" i="60"/>
  <c r="Q78" i="60"/>
  <c r="Q76" i="60"/>
  <c r="Q74" i="60"/>
  <c r="Q72" i="60"/>
  <c r="Q70" i="60"/>
  <c r="Q68" i="60"/>
  <c r="Q66" i="60"/>
  <c r="Q64" i="60"/>
  <c r="Q62" i="60"/>
  <c r="P82" i="60"/>
  <c r="P80" i="60"/>
  <c r="P78" i="60"/>
  <c r="P76" i="60"/>
  <c r="P74" i="60"/>
  <c r="P72" i="60"/>
  <c r="P70" i="60"/>
  <c r="P68" i="60"/>
  <c r="P66" i="60"/>
  <c r="P64" i="60"/>
  <c r="P62" i="60"/>
  <c r="R83" i="60"/>
  <c r="R81" i="60"/>
  <c r="R79" i="60"/>
  <c r="R77" i="60"/>
  <c r="R75" i="60"/>
  <c r="R73" i="60"/>
  <c r="R71" i="60"/>
  <c r="R69" i="60"/>
  <c r="R67" i="60"/>
  <c r="R65" i="60"/>
  <c r="R63" i="60"/>
  <c r="R61" i="60"/>
  <c r="Q83" i="60"/>
  <c r="Q81" i="60"/>
  <c r="Q79" i="60"/>
  <c r="Q77" i="60"/>
  <c r="Q75" i="60"/>
  <c r="Q73" i="60"/>
  <c r="Q71" i="60"/>
  <c r="Q69" i="60"/>
  <c r="Q67" i="60"/>
  <c r="Q65" i="60"/>
  <c r="Q63" i="60"/>
  <c r="Q61" i="60"/>
  <c r="P83" i="60"/>
  <c r="P81" i="60"/>
  <c r="P79" i="60"/>
  <c r="P77" i="60"/>
  <c r="P75" i="60"/>
  <c r="P73" i="60"/>
  <c r="P71" i="60"/>
  <c r="P69" i="60"/>
  <c r="P67" i="60"/>
  <c r="P65" i="60"/>
  <c r="P63" i="60"/>
  <c r="P61" i="60"/>
  <c r="B14" i="61"/>
  <c r="B15" i="61"/>
  <c r="B16" i="61"/>
  <c r="B13" i="61"/>
  <c r="B7" i="61"/>
  <c r="M26" i="60" l="1"/>
  <c r="O26" i="60"/>
  <c r="O22" i="60"/>
  <c r="M22" i="60"/>
  <c r="L22" i="60"/>
  <c r="H22" i="60"/>
  <c r="M12" i="60"/>
  <c r="M13" i="60"/>
  <c r="M14" i="60"/>
  <c r="M15" i="60"/>
  <c r="M16" i="60"/>
  <c r="M11" i="60"/>
  <c r="L12" i="60"/>
  <c r="L13" i="60"/>
  <c r="L14" i="60"/>
  <c r="L15" i="60"/>
  <c r="L16" i="60"/>
  <c r="O12" i="60"/>
  <c r="O13" i="60"/>
  <c r="O14" i="60"/>
  <c r="O15" i="60"/>
  <c r="O16" i="60"/>
  <c r="O11" i="60"/>
  <c r="H11" i="60"/>
  <c r="H12" i="60"/>
  <c r="H13" i="60"/>
  <c r="H14" i="60"/>
  <c r="H16" i="60"/>
  <c r="O9" i="60"/>
  <c r="P22" i="60" l="1"/>
  <c r="P23" i="60" s="1"/>
  <c r="C22" i="62" s="1"/>
  <c r="P15" i="60"/>
  <c r="P14" i="60"/>
  <c r="P12" i="60"/>
  <c r="P13" i="60"/>
  <c r="P16" i="60"/>
  <c r="P11" i="60"/>
  <c r="P17" i="60" l="1"/>
  <c r="B40" i="65"/>
  <c r="B41" i="65"/>
  <c r="B42" i="65"/>
  <c r="B39" i="65"/>
  <c r="G47" i="50" l="1"/>
  <c r="H47" i="50" l="1"/>
  <c r="I47" i="50" s="1"/>
  <c r="J47" i="50" s="1"/>
  <c r="K47" i="50" s="1"/>
  <c r="G48" i="50" l="1"/>
  <c r="H48" i="50" l="1"/>
  <c r="I48" i="50" l="1"/>
  <c r="K38" i="66"/>
  <c r="J48" i="50" l="1"/>
  <c r="K48" i="50" l="1"/>
  <c r="C44" i="50"/>
  <c r="L60" i="60"/>
  <c r="K47" i="66" l="1"/>
  <c r="K134" i="66" l="1"/>
  <c r="K41" i="66"/>
  <c r="C144" i="66"/>
  <c r="C143" i="66"/>
  <c r="C142" i="66"/>
  <c r="C141" i="66"/>
  <c r="C134" i="66"/>
  <c r="C133" i="66"/>
  <c r="C132" i="66"/>
  <c r="C131" i="66"/>
  <c r="C122" i="66"/>
  <c r="C116" i="66"/>
  <c r="C115" i="66"/>
  <c r="C114" i="66"/>
  <c r="C108" i="66"/>
  <c r="C107" i="66"/>
  <c r="C106" i="66"/>
  <c r="C100" i="66"/>
  <c r="C99" i="66"/>
  <c r="C98" i="66"/>
  <c r="C92" i="66"/>
  <c r="C91" i="66"/>
  <c r="C90" i="66"/>
  <c r="C83" i="66"/>
  <c r="C82" i="66"/>
  <c r="C81" i="66"/>
  <c r="C75" i="66"/>
  <c r="C74" i="66"/>
  <c r="C73" i="66"/>
  <c r="C67" i="66"/>
  <c r="C66" i="66"/>
  <c r="C65" i="66"/>
  <c r="C41" i="66"/>
  <c r="C40" i="66"/>
  <c r="C39" i="66"/>
  <c r="C38" i="66"/>
  <c r="C32" i="66"/>
  <c r="C31" i="66"/>
  <c r="C30" i="66"/>
  <c r="B22" i="66"/>
  <c r="B20" i="66"/>
  <c r="B19" i="66"/>
  <c r="B18" i="66"/>
  <c r="B17" i="66"/>
  <c r="B16" i="66"/>
  <c r="B15" i="66"/>
  <c r="B14" i="66"/>
  <c r="B13" i="66"/>
  <c r="B12" i="66"/>
  <c r="B11" i="66"/>
  <c r="B10" i="66"/>
  <c r="C145" i="65"/>
  <c r="C144" i="65"/>
  <c r="C143" i="65"/>
  <c r="C142" i="65"/>
  <c r="C135" i="65"/>
  <c r="C42" i="65"/>
  <c r="B22" i="62"/>
  <c r="B23" i="62"/>
  <c r="B24" i="62"/>
  <c r="K143" i="65" l="1"/>
  <c r="K144" i="65"/>
  <c r="K145" i="65"/>
  <c r="K142" i="65"/>
  <c r="P26" i="60"/>
  <c r="P27" i="60" s="1"/>
  <c r="C23" i="62" s="1"/>
  <c r="F74" i="50" l="1"/>
  <c r="G74" i="50"/>
  <c r="H74" i="50"/>
  <c r="I74" i="50"/>
  <c r="J74" i="50"/>
  <c r="E74" i="50"/>
  <c r="I60" i="60" l="1"/>
  <c r="J60" i="60"/>
  <c r="K60" i="60"/>
  <c r="N60" i="60"/>
  <c r="P60" i="60" l="1"/>
  <c r="R60" i="60"/>
  <c r="O60" i="60"/>
  <c r="Q60" i="60"/>
  <c r="C50" i="50" l="1"/>
  <c r="C68" i="65" l="1"/>
  <c r="C67" i="65"/>
  <c r="C66" i="65"/>
  <c r="C134" i="65" l="1"/>
  <c r="C133" i="65"/>
  <c r="C132" i="65"/>
  <c r="C84" i="65"/>
  <c r="C83" i="65"/>
  <c r="C82" i="65"/>
  <c r="C76" i="65"/>
  <c r="C75" i="65"/>
  <c r="C74" i="65"/>
  <c r="C39" i="65"/>
  <c r="H9" i="60"/>
  <c r="P9" i="60" s="1"/>
  <c r="C40" i="65" l="1"/>
  <c r="C41" i="65"/>
  <c r="P10" i="60" l="1"/>
  <c r="P18" i="60" s="1"/>
  <c r="C21" i="62" s="1"/>
  <c r="B1" i="60"/>
  <c r="G13" i="50" l="1"/>
  <c r="K132" i="66" l="1"/>
  <c r="K133" i="66"/>
  <c r="K131" i="66"/>
  <c r="K39" i="66"/>
  <c r="K40" i="66"/>
  <c r="K31" i="66"/>
  <c r="K32" i="66"/>
  <c r="K30" i="66"/>
  <c r="B1" i="66" l="1"/>
  <c r="C123" i="65"/>
  <c r="C117" i="65"/>
  <c r="C116" i="65"/>
  <c r="C115" i="65"/>
  <c r="C109" i="65"/>
  <c r="C108" i="65"/>
  <c r="C107" i="65"/>
  <c r="C101" i="65"/>
  <c r="C100" i="65"/>
  <c r="C99" i="65"/>
  <c r="C93" i="65"/>
  <c r="C92" i="65"/>
  <c r="C91" i="65"/>
  <c r="C32" i="65"/>
  <c r="C33" i="65"/>
  <c r="C31" i="65"/>
  <c r="B1" i="65"/>
  <c r="B21" i="62"/>
  <c r="H9" i="61"/>
  <c r="G9" i="61"/>
  <c r="F9" i="61"/>
  <c r="E9" i="61"/>
  <c r="D9" i="61"/>
  <c r="B23" i="65"/>
  <c r="B21" i="65"/>
  <c r="B20" i="65"/>
  <c r="B19" i="65"/>
  <c r="B18" i="65"/>
  <c r="B17" i="65"/>
  <c r="B16" i="65"/>
  <c r="B15" i="65"/>
  <c r="B14" i="65"/>
  <c r="B13" i="65"/>
  <c r="B12" i="65"/>
  <c r="G44" i="50"/>
  <c r="B1" i="62"/>
  <c r="B1" i="61"/>
  <c r="F19" i="50" l="1"/>
  <c r="L50"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N84" i="50" l="1"/>
  <c r="K42" i="65" l="1"/>
  <c r="K135" i="65"/>
  <c r="K67" i="65"/>
  <c r="K66" i="65"/>
  <c r="K68" i="65"/>
  <c r="K33" i="65"/>
  <c r="K31" i="65"/>
  <c r="K32" i="65"/>
  <c r="K41" i="65"/>
  <c r="K40" i="65"/>
  <c r="L40" i="65" s="1"/>
  <c r="K39" i="65"/>
  <c r="K134" i="65"/>
  <c r="K133" i="65"/>
  <c r="K132" i="65"/>
  <c r="K74" i="65"/>
  <c r="K76" i="65"/>
  <c r="K75" i="65"/>
  <c r="K84" i="65"/>
  <c r="K83" i="65"/>
  <c r="K82" i="65"/>
  <c r="C49" i="50"/>
  <c r="O40" i="65" l="1"/>
  <c r="Q40" i="65"/>
  <c r="M40" i="65"/>
  <c r="N40" i="65"/>
  <c r="P40" i="65"/>
  <c r="F17" i="50"/>
  <c r="C17" i="50"/>
  <c r="F15" i="50"/>
  <c r="F20" i="50" l="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96" i="32"/>
  <c r="F105"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23" i="32"/>
  <c r="E15" i="32" s="1"/>
  <c r="J23" i="32"/>
  <c r="L23" i="32"/>
  <c r="H23" i="32"/>
  <c r="K23" i="32"/>
  <c r="I23" i="32"/>
  <c r="E14" i="32" l="1"/>
  <c r="F23" i="32"/>
  <c r="C16" i="32"/>
  <c r="E16" i="32" l="1"/>
  <c r="D16" i="32"/>
  <c r="F14" i="32" l="1"/>
  <c r="G12" i="50" l="1"/>
  <c r="G14" i="50" s="1"/>
  <c r="F15" i="32"/>
  <c r="F16" i="32" s="1"/>
  <c r="F25" i="50" l="1"/>
  <c r="F27" i="50" s="1"/>
  <c r="F49" i="50"/>
  <c r="G49" i="50" s="1"/>
  <c r="F29" i="50" l="1"/>
  <c r="F28" i="50"/>
  <c r="K49" i="50"/>
  <c r="J49" i="50"/>
  <c r="I49" i="50"/>
  <c r="H49" i="50"/>
  <c r="F30" i="50" l="1"/>
  <c r="F32" i="50" s="1"/>
  <c r="G26" i="50"/>
  <c r="G27" i="50" s="1"/>
  <c r="G29" i="50" s="1"/>
  <c r="F34" i="50" l="1"/>
  <c r="F35" i="50" s="1"/>
  <c r="F36" i="50" s="1"/>
  <c r="F38" i="50" s="1"/>
  <c r="G28" i="50"/>
  <c r="G30" i="50"/>
  <c r="G32" i="50" l="1"/>
  <c r="G34" i="50" s="1"/>
  <c r="F50" i="50"/>
  <c r="L73" i="50" l="1"/>
  <c r="L70" i="50"/>
  <c r="D8" i="62"/>
  <c r="L71" i="50"/>
  <c r="K50" i="50"/>
  <c r="Q72" i="50" s="1"/>
  <c r="H50" i="50"/>
  <c r="F7" i="65" s="1"/>
  <c r="D7" i="65"/>
  <c r="D101" i="65" s="1"/>
  <c r="I50" i="50"/>
  <c r="G8" i="62" s="1"/>
  <c r="F7" i="61" s="1"/>
  <c r="D7" i="66"/>
  <c r="D100" i="66" s="1"/>
  <c r="L72" i="50"/>
  <c r="J50" i="50"/>
  <c r="P72" i="50" s="1"/>
  <c r="D9" i="62"/>
  <c r="G50" i="50"/>
  <c r="E8" i="62" s="1"/>
  <c r="D7" i="61" s="1"/>
  <c r="G35" i="50"/>
  <c r="E17" i="62"/>
  <c r="P70" i="50"/>
  <c r="H7" i="65"/>
  <c r="H7" i="66"/>
  <c r="H9" i="62" l="1"/>
  <c r="G7" i="66"/>
  <c r="D107" i="65"/>
  <c r="D93" i="65"/>
  <c r="D108" i="65"/>
  <c r="L108" i="65" s="1"/>
  <c r="D116" i="65"/>
  <c r="L116" i="65" s="1"/>
  <c r="E9" i="62"/>
  <c r="N72" i="50"/>
  <c r="E16" i="62"/>
  <c r="E59" i="65" s="1"/>
  <c r="E84" i="65" s="1"/>
  <c r="F9" i="62"/>
  <c r="M70" i="50"/>
  <c r="F7" i="66"/>
  <c r="I9" i="62"/>
  <c r="E7" i="65"/>
  <c r="M71" i="50"/>
  <c r="E8" i="61"/>
  <c r="I7" i="66"/>
  <c r="I116" i="66" s="1"/>
  <c r="D8" i="61"/>
  <c r="Q71" i="50"/>
  <c r="H8" i="61"/>
  <c r="I7" i="65"/>
  <c r="I116" i="65" s="1"/>
  <c r="Q116" i="65" s="1"/>
  <c r="F8" i="61"/>
  <c r="E7" i="66"/>
  <c r="E99" i="66" s="1"/>
  <c r="Q70" i="50"/>
  <c r="D109" i="65"/>
  <c r="L109" i="65" s="1"/>
  <c r="D115" i="65"/>
  <c r="D91" i="65"/>
  <c r="D94" i="65" s="1"/>
  <c r="M72" i="50"/>
  <c r="D92" i="65"/>
  <c r="D100" i="65"/>
  <c r="L74" i="50"/>
  <c r="N70" i="50"/>
  <c r="N74" i="50" s="1"/>
  <c r="N71" i="50"/>
  <c r="E135" i="65"/>
  <c r="E134" i="66"/>
  <c r="I8" i="62"/>
  <c r="H7" i="61" s="1"/>
  <c r="Q73" i="50"/>
  <c r="H8" i="62"/>
  <c r="P73" i="50"/>
  <c r="P74" i="50" s="1"/>
  <c r="G8" i="61"/>
  <c r="G7" i="65"/>
  <c r="P71" i="50"/>
  <c r="O73" i="50"/>
  <c r="O70" i="50"/>
  <c r="G9" i="62"/>
  <c r="D99" i="65"/>
  <c r="D102" i="65" s="1"/>
  <c r="M73" i="50"/>
  <c r="G15" i="62"/>
  <c r="G40" i="65" s="1"/>
  <c r="G14" i="62"/>
  <c r="N73" i="50"/>
  <c r="O71" i="50"/>
  <c r="G16" i="62"/>
  <c r="G58" i="66" s="1"/>
  <c r="D117" i="65"/>
  <c r="L117" i="65" s="1"/>
  <c r="O72" i="50"/>
  <c r="G17" i="62"/>
  <c r="D98" i="66"/>
  <c r="D101" i="66" s="1"/>
  <c r="D99" i="66"/>
  <c r="D90" i="66"/>
  <c r="D93" i="66" s="1"/>
  <c r="D115" i="66"/>
  <c r="D114" i="66"/>
  <c r="D117" i="66" s="1"/>
  <c r="D116" i="66"/>
  <c r="D108" i="66"/>
  <c r="D91" i="66"/>
  <c r="D92" i="66"/>
  <c r="E15" i="62"/>
  <c r="D106" i="66"/>
  <c r="D109" i="66" s="1"/>
  <c r="D107" i="66"/>
  <c r="F8" i="62"/>
  <c r="F16" i="62" s="1"/>
  <c r="E14" i="62"/>
  <c r="G36" i="50"/>
  <c r="G38" i="50" s="1"/>
  <c r="D15" i="62"/>
  <c r="D14" i="62"/>
  <c r="D131" i="66" s="1"/>
  <c r="D16" i="62"/>
  <c r="D17" i="62"/>
  <c r="G57" i="65"/>
  <c r="G56" i="65"/>
  <c r="G56" i="66"/>
  <c r="F47" i="61" s="1"/>
  <c r="G55" i="66"/>
  <c r="F46" i="61" s="1"/>
  <c r="E58" i="65"/>
  <c r="E83" i="65" s="1"/>
  <c r="E57" i="66"/>
  <c r="M135" i="65"/>
  <c r="E40" i="65"/>
  <c r="E143" i="65"/>
  <c r="M143" i="65" s="1"/>
  <c r="E42" i="65"/>
  <c r="M42" i="65" s="1"/>
  <c r="E145" i="65"/>
  <c r="M145" i="65" s="1"/>
  <c r="G39" i="65"/>
  <c r="O39" i="65" s="1"/>
  <c r="G142" i="65"/>
  <c r="O142" i="65" s="1"/>
  <c r="E144" i="65"/>
  <c r="M144" i="65" s="1"/>
  <c r="F115" i="66"/>
  <c r="F99" i="66"/>
  <c r="F116" i="66"/>
  <c r="F100" i="66"/>
  <c r="F107" i="66"/>
  <c r="F91" i="66"/>
  <c r="F108" i="66"/>
  <c r="F92" i="66"/>
  <c r="F114" i="66"/>
  <c r="F117" i="66" s="1"/>
  <c r="F106" i="66"/>
  <c r="F109" i="66" s="1"/>
  <c r="F98" i="66"/>
  <c r="F101" i="66" s="1"/>
  <c r="F90" i="66"/>
  <c r="F93" i="66" s="1"/>
  <c r="H116" i="66"/>
  <c r="H100" i="66"/>
  <c r="H107" i="66"/>
  <c r="H91" i="66"/>
  <c r="H108" i="66"/>
  <c r="H92" i="66"/>
  <c r="H115" i="66"/>
  <c r="H99" i="66"/>
  <c r="H90" i="66"/>
  <c r="H93" i="66" s="1"/>
  <c r="H114" i="66"/>
  <c r="H117" i="66" s="1"/>
  <c r="H106" i="66"/>
  <c r="H109" i="66" s="1"/>
  <c r="H98" i="66"/>
  <c r="H101" i="66" s="1"/>
  <c r="I92" i="66"/>
  <c r="G115" i="66"/>
  <c r="G99" i="66"/>
  <c r="G116" i="66"/>
  <c r="G100" i="66"/>
  <c r="G107" i="66"/>
  <c r="G91" i="66"/>
  <c r="G108" i="66"/>
  <c r="G92" i="66"/>
  <c r="G98" i="66"/>
  <c r="G101" i="66" s="1"/>
  <c r="G114" i="66"/>
  <c r="G117" i="66" s="1"/>
  <c r="G90" i="66"/>
  <c r="G93" i="66" s="1"/>
  <c r="G106" i="66"/>
  <c r="G109" i="66" s="1"/>
  <c r="G110" i="66" s="1"/>
  <c r="D24" i="62"/>
  <c r="D32" i="66"/>
  <c r="L32" i="66" s="1"/>
  <c r="D23" i="62"/>
  <c r="G99" i="65"/>
  <c r="G102" i="65" s="1"/>
  <c r="G107" i="65"/>
  <c r="G115" i="65"/>
  <c r="G91" i="65"/>
  <c r="G94" i="65" s="1"/>
  <c r="G116" i="65"/>
  <c r="O116" i="65" s="1"/>
  <c r="G108" i="65"/>
  <c r="O108" i="65" s="1"/>
  <c r="G92" i="65"/>
  <c r="G100" i="65"/>
  <c r="G93" i="65"/>
  <c r="G117" i="65"/>
  <c r="O117" i="65" s="1"/>
  <c r="G101" i="65"/>
  <c r="G109" i="65"/>
  <c r="O109" i="65" s="1"/>
  <c r="E107" i="65"/>
  <c r="E115" i="65"/>
  <c r="E91" i="65"/>
  <c r="E94" i="65" s="1"/>
  <c r="E93" i="65"/>
  <c r="E109" i="65"/>
  <c r="M109" i="65" s="1"/>
  <c r="E108" i="65"/>
  <c r="M108" i="65" s="1"/>
  <c r="E116" i="65"/>
  <c r="M116" i="65" s="1"/>
  <c r="E101" i="65"/>
  <c r="E99" i="65"/>
  <c r="E102" i="65" s="1"/>
  <c r="E92" i="65"/>
  <c r="E117" i="65"/>
  <c r="M117" i="65" s="1"/>
  <c r="E100" i="65"/>
  <c r="F91" i="65"/>
  <c r="F94" i="65" s="1"/>
  <c r="F115" i="65"/>
  <c r="F107" i="65"/>
  <c r="F99" i="65"/>
  <c r="F102" i="65" s="1"/>
  <c r="F108" i="65"/>
  <c r="N108" i="65" s="1"/>
  <c r="F92" i="65"/>
  <c r="F93" i="65"/>
  <c r="F116" i="65"/>
  <c r="N116" i="65" s="1"/>
  <c r="F100" i="65"/>
  <c r="F117" i="65"/>
  <c r="N117" i="65" s="1"/>
  <c r="F109" i="65"/>
  <c r="N109" i="65" s="1"/>
  <c r="F101" i="65"/>
  <c r="L115" i="65"/>
  <c r="L118" i="65" s="1"/>
  <c r="D118" i="65"/>
  <c r="I115" i="65"/>
  <c r="I107" i="65"/>
  <c r="I117" i="65"/>
  <c r="Q117" i="65" s="1"/>
  <c r="I100" i="65"/>
  <c r="I93" i="65"/>
  <c r="I101" i="65"/>
  <c r="D110" i="65"/>
  <c r="L107" i="65"/>
  <c r="L110" i="65" s="1"/>
  <c r="D33" i="65"/>
  <c r="L33" i="65" s="1"/>
  <c r="H99" i="65"/>
  <c r="H102" i="65" s="1"/>
  <c r="H91" i="65"/>
  <c r="H94" i="65" s="1"/>
  <c r="H107" i="65"/>
  <c r="H115" i="65"/>
  <c r="H108" i="65"/>
  <c r="P108" i="65" s="1"/>
  <c r="H92" i="65"/>
  <c r="H101" i="65"/>
  <c r="H116" i="65"/>
  <c r="P116" i="65" s="1"/>
  <c r="H109" i="65"/>
  <c r="P109" i="65" s="1"/>
  <c r="H100" i="65"/>
  <c r="H117" i="65"/>
  <c r="P117" i="65" s="1"/>
  <c r="H93" i="65"/>
  <c r="G143" i="65" l="1"/>
  <c r="O143" i="65" s="1"/>
  <c r="G58" i="65"/>
  <c r="D31" i="65"/>
  <c r="M74" i="50"/>
  <c r="D30" i="66"/>
  <c r="D33" i="66" s="1"/>
  <c r="I108" i="66"/>
  <c r="E41" i="65"/>
  <c r="M41" i="65" s="1"/>
  <c r="E133" i="66"/>
  <c r="M133" i="66" s="1"/>
  <c r="E134" i="65"/>
  <c r="M134" i="65" s="1"/>
  <c r="I107" i="66"/>
  <c r="I106" i="66"/>
  <c r="I109" i="66" s="1"/>
  <c r="I110" i="66" s="1"/>
  <c r="I99" i="66"/>
  <c r="I114" i="66"/>
  <c r="I117" i="66" s="1"/>
  <c r="I118" i="66" s="1"/>
  <c r="I115" i="66"/>
  <c r="I91" i="66"/>
  <c r="I90" i="66"/>
  <c r="I93" i="66" s="1"/>
  <c r="I94" i="66" s="1"/>
  <c r="I100" i="66"/>
  <c r="E58" i="66"/>
  <c r="E156" i="66"/>
  <c r="M156" i="66" s="1"/>
  <c r="E90" i="66"/>
  <c r="E93" i="66" s="1"/>
  <c r="E94" i="66" s="1"/>
  <c r="I98" i="66"/>
  <c r="I101" i="66" s="1"/>
  <c r="I102" i="66" s="1"/>
  <c r="E98" i="66"/>
  <c r="E101" i="66" s="1"/>
  <c r="E102" i="66" s="1"/>
  <c r="E164" i="66"/>
  <c r="M164" i="66" s="1"/>
  <c r="O74" i="50"/>
  <c r="E115" i="66"/>
  <c r="E92" i="66"/>
  <c r="Q74" i="50"/>
  <c r="E163" i="65"/>
  <c r="M163" i="65" s="1"/>
  <c r="I92" i="65"/>
  <c r="I99" i="65"/>
  <c r="I102" i="65" s="1"/>
  <c r="E106" i="66"/>
  <c r="E109" i="66" s="1"/>
  <c r="E110" i="66" s="1"/>
  <c r="E91" i="66"/>
  <c r="E159" i="65"/>
  <c r="M159" i="65" s="1"/>
  <c r="E142" i="65"/>
  <c r="M142" i="65" s="1"/>
  <c r="E57" i="65"/>
  <c r="E160" i="65"/>
  <c r="M160" i="65" s="1"/>
  <c r="I109" i="65"/>
  <c r="Q109" i="65" s="1"/>
  <c r="E114" i="66"/>
  <c r="E117" i="66" s="1"/>
  <c r="E118" i="66" s="1"/>
  <c r="E108" i="66"/>
  <c r="E152" i="65"/>
  <c r="M152" i="65" s="1"/>
  <c r="E159" i="66"/>
  <c r="M159" i="66" s="1"/>
  <c r="I91" i="65"/>
  <c r="I94" i="65" s="1"/>
  <c r="I95" i="65" s="1"/>
  <c r="E107" i="66"/>
  <c r="E151" i="65"/>
  <c r="M151" i="65" s="1"/>
  <c r="E150" i="66"/>
  <c r="M150" i="66" s="1"/>
  <c r="I108" i="65"/>
  <c r="Q108" i="65" s="1"/>
  <c r="E100" i="66"/>
  <c r="E170" i="65"/>
  <c r="M170" i="65" s="1"/>
  <c r="E155" i="66"/>
  <c r="M155" i="66" s="1"/>
  <c r="E116" i="66"/>
  <c r="E175" i="65"/>
  <c r="M175" i="65" s="1"/>
  <c r="E154" i="65"/>
  <c r="M154" i="65" s="1"/>
  <c r="E151" i="66"/>
  <c r="M151" i="66" s="1"/>
  <c r="E167" i="65"/>
  <c r="M167" i="65" s="1"/>
  <c r="E157" i="65"/>
  <c r="M157" i="65" s="1"/>
  <c r="E160" i="66"/>
  <c r="M160" i="66" s="1"/>
  <c r="E161" i="66"/>
  <c r="M161" i="66" s="1"/>
  <c r="F133" i="66"/>
  <c r="N133" i="66" s="1"/>
  <c r="F134" i="65"/>
  <c r="F49" i="61"/>
  <c r="G124" i="66"/>
  <c r="I16" i="62"/>
  <c r="I15" i="62"/>
  <c r="H14" i="61" s="1"/>
  <c r="I14" i="62"/>
  <c r="I31" i="65" s="1"/>
  <c r="I17" i="62"/>
  <c r="I24" i="62" s="1"/>
  <c r="E7" i="61"/>
  <c r="G173" i="65"/>
  <c r="O173" i="65" s="1"/>
  <c r="G163" i="66"/>
  <c r="O163" i="66" s="1"/>
  <c r="E172" i="65"/>
  <c r="M172" i="65" s="1"/>
  <c r="E166" i="65"/>
  <c r="M166" i="65" s="1"/>
  <c r="E154" i="66"/>
  <c r="M154" i="66" s="1"/>
  <c r="D49" i="61"/>
  <c r="E124" i="66"/>
  <c r="E83" i="66"/>
  <c r="D135" i="65"/>
  <c r="D134" i="66"/>
  <c r="F15" i="62"/>
  <c r="G162" i="65"/>
  <c r="O162" i="65" s="1"/>
  <c r="G167" i="66"/>
  <c r="O167" i="66" s="1"/>
  <c r="E168" i="65"/>
  <c r="M168" i="65" s="1"/>
  <c r="E162" i="65"/>
  <c r="M162" i="65" s="1"/>
  <c r="E153" i="66"/>
  <c r="M153" i="66" s="1"/>
  <c r="G41" i="65"/>
  <c r="O41" i="65" s="1"/>
  <c r="D133" i="66"/>
  <c r="L133" i="66" s="1"/>
  <c r="D134" i="65"/>
  <c r="L134" i="65" s="1"/>
  <c r="E133" i="65"/>
  <c r="M133" i="65" s="1"/>
  <c r="E132" i="66"/>
  <c r="M132" i="66" s="1"/>
  <c r="G132" i="65"/>
  <c r="O132" i="65" s="1"/>
  <c r="G131" i="66"/>
  <c r="G59" i="65"/>
  <c r="G76" i="65" s="1"/>
  <c r="G134" i="65"/>
  <c r="O134" i="65" s="1"/>
  <c r="G133" i="66"/>
  <c r="O133" i="66" s="1"/>
  <c r="F17" i="62"/>
  <c r="F24" i="62" s="1"/>
  <c r="G155" i="65"/>
  <c r="O155" i="65" s="1"/>
  <c r="G161" i="66"/>
  <c r="O161" i="66" s="1"/>
  <c r="E165" i="65"/>
  <c r="M165" i="65" s="1"/>
  <c r="E164" i="65"/>
  <c r="M164" i="65" s="1"/>
  <c r="E158" i="65"/>
  <c r="M158" i="65" s="1"/>
  <c r="E157" i="66"/>
  <c r="M157" i="66" s="1"/>
  <c r="G144" i="65"/>
  <c r="O144" i="65" s="1"/>
  <c r="G57" i="66"/>
  <c r="G74" i="66" s="1"/>
  <c r="G133" i="65"/>
  <c r="O133" i="65" s="1"/>
  <c r="G132" i="66"/>
  <c r="O132" i="66" s="1"/>
  <c r="F14" i="62"/>
  <c r="F57" i="65" s="1"/>
  <c r="D32" i="65"/>
  <c r="L32" i="65" s="1"/>
  <c r="D132" i="66"/>
  <c r="L132" i="66" s="1"/>
  <c r="G134" i="66"/>
  <c r="G135" i="65"/>
  <c r="O135" i="65" s="1"/>
  <c r="G172" i="65"/>
  <c r="O172" i="65" s="1"/>
  <c r="E171" i="65"/>
  <c r="M171" i="65" s="1"/>
  <c r="E156" i="65"/>
  <c r="M156" i="65" s="1"/>
  <c r="E173" i="65"/>
  <c r="M173" i="65" s="1"/>
  <c r="E171" i="66"/>
  <c r="M171" i="66" s="1"/>
  <c r="D48" i="61"/>
  <c r="E123" i="66"/>
  <c r="E39" i="65"/>
  <c r="M39" i="65" s="1"/>
  <c r="E131" i="66"/>
  <c r="E132" i="65"/>
  <c r="M132" i="65" s="1"/>
  <c r="H14" i="62"/>
  <c r="H38" i="66" s="1"/>
  <c r="H15" i="62"/>
  <c r="H22" i="62" s="1"/>
  <c r="H17" i="62"/>
  <c r="G7" i="61"/>
  <c r="H16" i="62"/>
  <c r="H110" i="66"/>
  <c r="G118" i="66"/>
  <c r="H118" i="66"/>
  <c r="F118" i="66"/>
  <c r="G94" i="66"/>
  <c r="H94" i="66"/>
  <c r="F94" i="66"/>
  <c r="F110" i="66"/>
  <c r="G102" i="66"/>
  <c r="F102" i="66"/>
  <c r="H102" i="66"/>
  <c r="G157" i="66"/>
  <c r="O157" i="66" s="1"/>
  <c r="G168" i="65"/>
  <c r="O168" i="65" s="1"/>
  <c r="G169" i="65"/>
  <c r="O169" i="65" s="1"/>
  <c r="G158" i="65"/>
  <c r="O158" i="65" s="1"/>
  <c r="G151" i="66"/>
  <c r="O151" i="66" s="1"/>
  <c r="G172" i="66"/>
  <c r="O172" i="66" s="1"/>
  <c r="G165" i="66"/>
  <c r="O165" i="66" s="1"/>
  <c r="G164" i="65"/>
  <c r="O164" i="65" s="1"/>
  <c r="G165" i="65"/>
  <c r="O165" i="65" s="1"/>
  <c r="G154" i="65"/>
  <c r="O154" i="65" s="1"/>
  <c r="G152" i="66"/>
  <c r="O152" i="66" s="1"/>
  <c r="G174" i="66"/>
  <c r="O174" i="66" s="1"/>
  <c r="G169" i="66"/>
  <c r="O169" i="66" s="1"/>
  <c r="G42" i="65"/>
  <c r="O42" i="65" s="1"/>
  <c r="O43" i="65" s="1"/>
  <c r="G160" i="65"/>
  <c r="O160" i="65" s="1"/>
  <c r="G161" i="65"/>
  <c r="O161" i="65" s="1"/>
  <c r="G175" i="65"/>
  <c r="O175" i="65" s="1"/>
  <c r="G164" i="66"/>
  <c r="O164" i="66" s="1"/>
  <c r="G150" i="66"/>
  <c r="G173" i="66"/>
  <c r="O173" i="66" s="1"/>
  <c r="G145" i="65"/>
  <c r="O145" i="65" s="1"/>
  <c r="G156" i="65"/>
  <c r="O156" i="65" s="1"/>
  <c r="G157" i="65"/>
  <c r="O157" i="65" s="1"/>
  <c r="G171" i="65"/>
  <c r="O171" i="65" s="1"/>
  <c r="G156" i="66"/>
  <c r="O156" i="66" s="1"/>
  <c r="G154" i="66"/>
  <c r="O154" i="66" s="1"/>
  <c r="G162" i="66"/>
  <c r="O162" i="66" s="1"/>
  <c r="G152" i="65"/>
  <c r="O152" i="65" s="1"/>
  <c r="G153" i="65"/>
  <c r="O153" i="65" s="1"/>
  <c r="G167" i="65"/>
  <c r="O167" i="65" s="1"/>
  <c r="G168" i="66"/>
  <c r="O168" i="66" s="1"/>
  <c r="G158" i="66"/>
  <c r="O158" i="66" s="1"/>
  <c r="G166" i="66"/>
  <c r="O166" i="66" s="1"/>
  <c r="G170" i="65"/>
  <c r="O170" i="65" s="1"/>
  <c r="G174" i="65"/>
  <c r="O174" i="65" s="1"/>
  <c r="G163" i="65"/>
  <c r="O163" i="65" s="1"/>
  <c r="G155" i="66"/>
  <c r="O155" i="66" s="1"/>
  <c r="G171" i="66"/>
  <c r="O171" i="66" s="1"/>
  <c r="G153" i="66"/>
  <c r="O153" i="66" s="1"/>
  <c r="G170" i="66"/>
  <c r="O170" i="66" s="1"/>
  <c r="E174" i="65"/>
  <c r="M174" i="65" s="1"/>
  <c r="E153" i="65"/>
  <c r="M153" i="65" s="1"/>
  <c r="E166" i="66"/>
  <c r="M166" i="66" s="1"/>
  <c r="E174" i="66"/>
  <c r="M174" i="66" s="1"/>
  <c r="G151" i="65"/>
  <c r="O151" i="65" s="1"/>
  <c r="G166" i="65"/>
  <c r="O166" i="65" s="1"/>
  <c r="G159" i="65"/>
  <c r="O159" i="65" s="1"/>
  <c r="G160" i="66"/>
  <c r="O160" i="66" s="1"/>
  <c r="G159" i="66"/>
  <c r="O159" i="66" s="1"/>
  <c r="D31" i="66"/>
  <c r="L31" i="66" s="1"/>
  <c r="E168" i="66"/>
  <c r="M168" i="66" s="1"/>
  <c r="E162" i="66"/>
  <c r="M162" i="66" s="1"/>
  <c r="E165" i="66"/>
  <c r="M165" i="66" s="1"/>
  <c r="E172" i="66"/>
  <c r="M172" i="66" s="1"/>
  <c r="E56" i="66"/>
  <c r="D47" i="61" s="1"/>
  <c r="E155" i="65"/>
  <c r="M155" i="65" s="1"/>
  <c r="E169" i="65"/>
  <c r="M169" i="65" s="1"/>
  <c r="E161" i="65"/>
  <c r="M161" i="65" s="1"/>
  <c r="E167" i="66"/>
  <c r="M167" i="66" s="1"/>
  <c r="E163" i="66"/>
  <c r="M163" i="66" s="1"/>
  <c r="E169" i="66"/>
  <c r="M169" i="66" s="1"/>
  <c r="E152" i="66"/>
  <c r="M152" i="66" s="1"/>
  <c r="E55" i="66"/>
  <c r="E81" i="66" s="1"/>
  <c r="E158" i="66"/>
  <c r="M158" i="66" s="1"/>
  <c r="E170" i="66"/>
  <c r="M170" i="66" s="1"/>
  <c r="E173" i="66"/>
  <c r="M173" i="66" s="1"/>
  <c r="E56" i="65"/>
  <c r="E82" i="65" s="1"/>
  <c r="D41" i="66"/>
  <c r="L41" i="66" s="1"/>
  <c r="D145" i="65"/>
  <c r="L145" i="65" s="1"/>
  <c r="D42" i="65"/>
  <c r="L42" i="65" s="1"/>
  <c r="L134" i="66"/>
  <c r="D144" i="66"/>
  <c r="C16" i="61"/>
  <c r="D41" i="65"/>
  <c r="L41" i="65" s="1"/>
  <c r="D143" i="66"/>
  <c r="C15" i="61"/>
  <c r="D58" i="66"/>
  <c r="D124" i="66" s="1"/>
  <c r="D59" i="65"/>
  <c r="D40" i="66"/>
  <c r="L40" i="66" s="1"/>
  <c r="D144" i="65"/>
  <c r="L144" i="65" s="1"/>
  <c r="D57" i="65"/>
  <c r="D49" i="65" s="1"/>
  <c r="D18" i="62"/>
  <c r="D21" i="62"/>
  <c r="D156" i="66"/>
  <c r="L156" i="66" s="1"/>
  <c r="D153" i="66"/>
  <c r="L153" i="66" s="1"/>
  <c r="D150" i="66"/>
  <c r="D162" i="65"/>
  <c r="L162" i="65" s="1"/>
  <c r="D153" i="65"/>
  <c r="L153" i="65" s="1"/>
  <c r="D172" i="65"/>
  <c r="L172" i="65" s="1"/>
  <c r="D39" i="65"/>
  <c r="L39" i="65" s="1"/>
  <c r="D171" i="66"/>
  <c r="L171" i="66" s="1"/>
  <c r="D152" i="66"/>
  <c r="L152" i="66" s="1"/>
  <c r="D168" i="66"/>
  <c r="L168" i="66" s="1"/>
  <c r="D170" i="66"/>
  <c r="L170" i="66" s="1"/>
  <c r="D166" i="65"/>
  <c r="L166" i="65" s="1"/>
  <c r="D161" i="65"/>
  <c r="L161" i="65" s="1"/>
  <c r="D171" i="65"/>
  <c r="L171" i="65" s="1"/>
  <c r="D141" i="66"/>
  <c r="D167" i="66"/>
  <c r="L167" i="66" s="1"/>
  <c r="D157" i="66"/>
  <c r="L157" i="66" s="1"/>
  <c r="D164" i="66"/>
  <c r="L164" i="66" s="1"/>
  <c r="D170" i="65"/>
  <c r="L170" i="65" s="1"/>
  <c r="D173" i="65"/>
  <c r="L173" i="65" s="1"/>
  <c r="D155" i="65"/>
  <c r="L155" i="65" s="1"/>
  <c r="D163" i="66"/>
  <c r="L163" i="66" s="1"/>
  <c r="D174" i="66"/>
  <c r="L174" i="66" s="1"/>
  <c r="D161" i="66"/>
  <c r="L161" i="66" s="1"/>
  <c r="L135" i="65"/>
  <c r="D174" i="65"/>
  <c r="L174" i="65" s="1"/>
  <c r="D152" i="65"/>
  <c r="L152" i="65" s="1"/>
  <c r="D159" i="65"/>
  <c r="L159" i="65" s="1"/>
  <c r="D159" i="66"/>
  <c r="L159" i="66" s="1"/>
  <c r="D172" i="66"/>
  <c r="L172" i="66" s="1"/>
  <c r="D162" i="66"/>
  <c r="L162" i="66" s="1"/>
  <c r="D142" i="65"/>
  <c r="L142" i="65" s="1"/>
  <c r="D157" i="65"/>
  <c r="L157" i="65" s="1"/>
  <c r="D156" i="65"/>
  <c r="L156" i="65" s="1"/>
  <c r="D163" i="65"/>
  <c r="L163" i="65" s="1"/>
  <c r="D155" i="66"/>
  <c r="L155" i="66" s="1"/>
  <c r="D173" i="66"/>
  <c r="L173" i="66" s="1"/>
  <c r="D158" i="66"/>
  <c r="L158" i="66" s="1"/>
  <c r="D132" i="65"/>
  <c r="L132" i="65" s="1"/>
  <c r="D165" i="65"/>
  <c r="L165" i="65" s="1"/>
  <c r="D160" i="65"/>
  <c r="L160" i="65" s="1"/>
  <c r="D167" i="65"/>
  <c r="L167" i="65" s="1"/>
  <c r="C13" i="61"/>
  <c r="D56" i="66"/>
  <c r="D48" i="66" s="1"/>
  <c r="L48" i="66" s="1"/>
  <c r="D151" i="66"/>
  <c r="L151" i="66" s="1"/>
  <c r="D169" i="66"/>
  <c r="L169" i="66" s="1"/>
  <c r="D154" i="66"/>
  <c r="L154" i="66" s="1"/>
  <c r="D154" i="65"/>
  <c r="L154" i="65" s="1"/>
  <c r="D169" i="65"/>
  <c r="L169" i="65" s="1"/>
  <c r="D164" i="65"/>
  <c r="L164" i="65" s="1"/>
  <c r="D175" i="65"/>
  <c r="L175" i="65" s="1"/>
  <c r="D55" i="66"/>
  <c r="D122" i="66" s="1"/>
  <c r="D56" i="65"/>
  <c r="D123" i="65" s="1"/>
  <c r="L123" i="65" s="1"/>
  <c r="D160" i="66"/>
  <c r="L160" i="66" s="1"/>
  <c r="D165" i="66"/>
  <c r="L165" i="66" s="1"/>
  <c r="D166" i="66"/>
  <c r="L166" i="66" s="1"/>
  <c r="D158" i="65"/>
  <c r="L158" i="65" s="1"/>
  <c r="D151" i="65"/>
  <c r="D168" i="65"/>
  <c r="L168" i="65" s="1"/>
  <c r="D38" i="66"/>
  <c r="L38" i="66" s="1"/>
  <c r="D133" i="65"/>
  <c r="L133" i="65" s="1"/>
  <c r="D40" i="65"/>
  <c r="D57" i="66"/>
  <c r="D123" i="66" s="1"/>
  <c r="D143" i="65"/>
  <c r="L143" i="65" s="1"/>
  <c r="D58" i="65"/>
  <c r="C14" i="61"/>
  <c r="D39" i="66"/>
  <c r="L39" i="66" s="1"/>
  <c r="D142" i="66"/>
  <c r="D22" i="62"/>
  <c r="G82" i="65"/>
  <c r="G75" i="66"/>
  <c r="G83" i="66"/>
  <c r="G67" i="66"/>
  <c r="G122" i="66"/>
  <c r="G81" i="66"/>
  <c r="G65" i="66"/>
  <c r="G73" i="66"/>
  <c r="G123" i="65"/>
  <c r="G66" i="65"/>
  <c r="G74" i="65"/>
  <c r="F59" i="65"/>
  <c r="F58" i="66"/>
  <c r="G124" i="65"/>
  <c r="O124" i="65" s="1"/>
  <c r="G67" i="65"/>
  <c r="G83" i="65"/>
  <c r="G75" i="65"/>
  <c r="E75" i="66"/>
  <c r="E67" i="66"/>
  <c r="E68" i="65"/>
  <c r="E125" i="65"/>
  <c r="M125" i="65" s="1"/>
  <c r="E76" i="65"/>
  <c r="E82" i="66"/>
  <c r="E74" i="66"/>
  <c r="E66" i="66"/>
  <c r="E124" i="65"/>
  <c r="M124" i="65" s="1"/>
  <c r="E67" i="65"/>
  <c r="E75" i="65"/>
  <c r="E73" i="66"/>
  <c r="O150" i="66"/>
  <c r="F41" i="65"/>
  <c r="N41" i="65" s="1"/>
  <c r="F144" i="65"/>
  <c r="N144" i="65" s="1"/>
  <c r="N134" i="65"/>
  <c r="G15" i="61"/>
  <c r="H40" i="66"/>
  <c r="P40" i="66" s="1"/>
  <c r="H143" i="66"/>
  <c r="E142" i="66"/>
  <c r="E39" i="66"/>
  <c r="D14" i="61"/>
  <c r="D15" i="61"/>
  <c r="E143" i="66"/>
  <c r="E40" i="66"/>
  <c r="M40" i="66" s="1"/>
  <c r="G41" i="66"/>
  <c r="O41" i="66" s="1"/>
  <c r="O134" i="66"/>
  <c r="F16" i="61"/>
  <c r="G144" i="66"/>
  <c r="E141" i="66"/>
  <c r="D13" i="61"/>
  <c r="E38" i="66"/>
  <c r="E18" i="62"/>
  <c r="F15" i="61"/>
  <c r="G40" i="66"/>
  <c r="O40" i="66" s="1"/>
  <c r="G143" i="66"/>
  <c r="I143" i="66"/>
  <c r="H15" i="61"/>
  <c r="I40" i="66"/>
  <c r="Q40" i="66" s="1"/>
  <c r="G47" i="66"/>
  <c r="F13" i="61"/>
  <c r="G38" i="66"/>
  <c r="G141" i="66"/>
  <c r="I41" i="66"/>
  <c r="Q41" i="66" s="1"/>
  <c r="F40" i="66"/>
  <c r="N40" i="66" s="1"/>
  <c r="F143" i="66"/>
  <c r="E15" i="61"/>
  <c r="M134" i="66"/>
  <c r="E41" i="66"/>
  <c r="M41" i="66" s="1"/>
  <c r="D16" i="61"/>
  <c r="E144" i="66"/>
  <c r="G48" i="66"/>
  <c r="G142" i="66"/>
  <c r="G39" i="66"/>
  <c r="F14" i="61"/>
  <c r="G32" i="66"/>
  <c r="O32" i="66" s="1"/>
  <c r="G23" i="62"/>
  <c r="E32" i="66"/>
  <c r="M32" i="66" s="1"/>
  <c r="E23" i="62"/>
  <c r="G24" i="62"/>
  <c r="E24" i="62"/>
  <c r="H32" i="66"/>
  <c r="P32" i="66" s="1"/>
  <c r="H23" i="62"/>
  <c r="I32" i="66"/>
  <c r="Q32" i="66" s="1"/>
  <c r="I23" i="62"/>
  <c r="F32" i="66"/>
  <c r="N32" i="66" s="1"/>
  <c r="F23" i="62"/>
  <c r="E30" i="66"/>
  <c r="E33" i="66" s="1"/>
  <c r="E34" i="66" s="1"/>
  <c r="G18" i="62"/>
  <c r="G30" i="66"/>
  <c r="G33" i="66" s="1"/>
  <c r="G34" i="66" s="1"/>
  <c r="E31" i="66"/>
  <c r="M31" i="66" s="1"/>
  <c r="E22" i="62"/>
  <c r="G31" i="66"/>
  <c r="O31" i="66" s="1"/>
  <c r="G22" i="62"/>
  <c r="E32" i="65"/>
  <c r="M32" i="65" s="1"/>
  <c r="H64" i="61"/>
  <c r="I103" i="65"/>
  <c r="E65" i="61"/>
  <c r="G33" i="65"/>
  <c r="O33" i="65" s="1"/>
  <c r="H33" i="65"/>
  <c r="P33" i="65" s="1"/>
  <c r="E110" i="65"/>
  <c r="M107" i="65"/>
  <c r="M110" i="65" s="1"/>
  <c r="M111" i="65" s="1"/>
  <c r="G103" i="65"/>
  <c r="F33" i="65"/>
  <c r="N33" i="65" s="1"/>
  <c r="I118" i="65"/>
  <c r="Q115" i="65"/>
  <c r="Q118" i="65" s="1"/>
  <c r="Q119" i="65" s="1"/>
  <c r="G31" i="65"/>
  <c r="G21" i="62"/>
  <c r="F10" i="61"/>
  <c r="E103" i="65"/>
  <c r="H110" i="65"/>
  <c r="P107" i="65"/>
  <c r="P110" i="65" s="1"/>
  <c r="P111" i="65" s="1"/>
  <c r="H95" i="65"/>
  <c r="D64" i="61"/>
  <c r="F64" i="61"/>
  <c r="H103" i="65"/>
  <c r="E21" i="62"/>
  <c r="E31" i="65"/>
  <c r="D10" i="61"/>
  <c r="F65" i="61"/>
  <c r="G95" i="65"/>
  <c r="L31" i="65"/>
  <c r="L34" i="65" s="1"/>
  <c r="D34" i="65"/>
  <c r="F103" i="65"/>
  <c r="E33" i="65"/>
  <c r="M33" i="65" s="1"/>
  <c r="H118" i="65"/>
  <c r="P115" i="65"/>
  <c r="P118" i="65" s="1"/>
  <c r="P119" i="65" s="1"/>
  <c r="D65" i="61"/>
  <c r="H65" i="61"/>
  <c r="F110" i="65"/>
  <c r="N107" i="65"/>
  <c r="N110" i="65" s="1"/>
  <c r="N111" i="65" s="1"/>
  <c r="F95" i="65"/>
  <c r="E95" i="65"/>
  <c r="G118" i="65"/>
  <c r="O115" i="65"/>
  <c r="O118" i="65" s="1"/>
  <c r="O119" i="65" s="1"/>
  <c r="G64" i="61"/>
  <c r="I33" i="65"/>
  <c r="Q33" i="65" s="1"/>
  <c r="I110" i="65"/>
  <c r="Q107" i="65"/>
  <c r="Q110" i="65" s="1"/>
  <c r="Q111" i="65" s="1"/>
  <c r="E64" i="61"/>
  <c r="N115" i="65"/>
  <c r="N118" i="65" s="1"/>
  <c r="N119" i="65" s="1"/>
  <c r="F118" i="65"/>
  <c r="E118" i="65"/>
  <c r="M115" i="65"/>
  <c r="M118" i="65" s="1"/>
  <c r="M119" i="65" s="1"/>
  <c r="L30" i="66"/>
  <c r="L33" i="66" s="1"/>
  <c r="G65" i="61"/>
  <c r="G32" i="65"/>
  <c r="O32" i="65" s="1"/>
  <c r="G110" i="65"/>
  <c r="O107" i="65"/>
  <c r="O110" i="65" s="1"/>
  <c r="O111" i="65" s="1"/>
  <c r="F164" i="65" l="1"/>
  <c r="N164" i="65" s="1"/>
  <c r="F39" i="65"/>
  <c r="N39" i="65" s="1"/>
  <c r="M43" i="65"/>
  <c r="H31" i="66"/>
  <c r="P31" i="66" s="1"/>
  <c r="I141" i="66"/>
  <c r="E10" i="61"/>
  <c r="E16" i="61"/>
  <c r="F165" i="65"/>
  <c r="N165" i="65" s="1"/>
  <c r="G82" i="66"/>
  <c r="E48" i="66"/>
  <c r="F41" i="66"/>
  <c r="N41" i="66" s="1"/>
  <c r="F162" i="65"/>
  <c r="N162" i="65" s="1"/>
  <c r="F145" i="65"/>
  <c r="N145" i="65" s="1"/>
  <c r="F57" i="66"/>
  <c r="F123" i="66" s="1"/>
  <c r="F22" i="62"/>
  <c r="F39" i="66"/>
  <c r="N39" i="66" s="1"/>
  <c r="F144" i="66"/>
  <c r="F42" i="65"/>
  <c r="N42" i="65" s="1"/>
  <c r="F58" i="65"/>
  <c r="F32" i="65"/>
  <c r="N32" i="65" s="1"/>
  <c r="F31" i="66"/>
  <c r="N31" i="66" s="1"/>
  <c r="E14" i="61"/>
  <c r="F143" i="65"/>
  <c r="N143" i="65" s="1"/>
  <c r="F142" i="66"/>
  <c r="F40" i="65"/>
  <c r="F151" i="66"/>
  <c r="N151" i="66" s="1"/>
  <c r="F162" i="66"/>
  <c r="N162" i="66" s="1"/>
  <c r="F160" i="66"/>
  <c r="N160" i="66" s="1"/>
  <c r="G66" i="66"/>
  <c r="F18" i="62"/>
  <c r="H16" i="61"/>
  <c r="I144" i="66"/>
  <c r="E122" i="66"/>
  <c r="G84" i="65"/>
  <c r="G68" i="65"/>
  <c r="G125" i="65"/>
  <c r="O125" i="65" s="1"/>
  <c r="I38" i="66"/>
  <c r="F161" i="65"/>
  <c r="N161" i="65" s="1"/>
  <c r="F150" i="66"/>
  <c r="N150" i="66" s="1"/>
  <c r="I39" i="66"/>
  <c r="Q39" i="66" s="1"/>
  <c r="H39" i="66"/>
  <c r="P39" i="66" s="1"/>
  <c r="H13" i="61"/>
  <c r="F156" i="65"/>
  <c r="N156" i="65" s="1"/>
  <c r="F157" i="65"/>
  <c r="N157" i="65" s="1"/>
  <c r="F175" i="65"/>
  <c r="N175" i="65" s="1"/>
  <c r="F142" i="65"/>
  <c r="N142" i="65" s="1"/>
  <c r="F154" i="66"/>
  <c r="N154" i="66" s="1"/>
  <c r="F170" i="66"/>
  <c r="N170" i="66" s="1"/>
  <c r="F168" i="66"/>
  <c r="N168" i="66" s="1"/>
  <c r="F166" i="66"/>
  <c r="N166" i="66" s="1"/>
  <c r="G10" i="61"/>
  <c r="I32" i="65"/>
  <c r="Q32" i="65" s="1"/>
  <c r="I22" i="62"/>
  <c r="I30" i="66"/>
  <c r="I33" i="66" s="1"/>
  <c r="I34" i="66" s="1"/>
  <c r="I142" i="66"/>
  <c r="I145" i="66" s="1"/>
  <c r="H142" i="66"/>
  <c r="H145" i="66" s="1"/>
  <c r="F38" i="66"/>
  <c r="F152" i="65"/>
  <c r="N152" i="65" s="1"/>
  <c r="F153" i="65"/>
  <c r="N153" i="65" s="1"/>
  <c r="F171" i="65"/>
  <c r="N171" i="65" s="1"/>
  <c r="F155" i="66"/>
  <c r="N155" i="66" s="1"/>
  <c r="F158" i="66"/>
  <c r="N158" i="66" s="1"/>
  <c r="F174" i="66"/>
  <c r="N174" i="66" s="1"/>
  <c r="F172" i="66"/>
  <c r="N172" i="66" s="1"/>
  <c r="D176" i="65"/>
  <c r="F164" i="66"/>
  <c r="N164" i="66" s="1"/>
  <c r="H31" i="65"/>
  <c r="I31" i="66"/>
  <c r="Q31" i="66" s="1"/>
  <c r="I18" i="62"/>
  <c r="F141" i="66"/>
  <c r="F168" i="65"/>
  <c r="N168" i="65" s="1"/>
  <c r="F170" i="65"/>
  <c r="N170" i="65" s="1"/>
  <c r="F167" i="65"/>
  <c r="N167" i="65" s="1"/>
  <c r="F159" i="66"/>
  <c r="N159" i="66" s="1"/>
  <c r="F153" i="66"/>
  <c r="N153" i="66" s="1"/>
  <c r="F169" i="66"/>
  <c r="N169" i="66" s="1"/>
  <c r="F21" i="62"/>
  <c r="F55" i="66"/>
  <c r="E46" i="61" s="1"/>
  <c r="G14" i="61"/>
  <c r="H21" i="62"/>
  <c r="H32" i="65"/>
  <c r="P32" i="65" s="1"/>
  <c r="H10" i="61"/>
  <c r="H141" i="66"/>
  <c r="E13" i="61"/>
  <c r="F151" i="65"/>
  <c r="N151" i="65" s="1"/>
  <c r="F166" i="65"/>
  <c r="N166" i="65" s="1"/>
  <c r="F163" i="65"/>
  <c r="N163" i="65" s="1"/>
  <c r="F167" i="66"/>
  <c r="N167" i="66" s="1"/>
  <c r="F157" i="66"/>
  <c r="N157" i="66" s="1"/>
  <c r="F173" i="66"/>
  <c r="N173" i="66" s="1"/>
  <c r="F56" i="66"/>
  <c r="E47" i="61" s="1"/>
  <c r="F31" i="65"/>
  <c r="F34" i="65" s="1"/>
  <c r="F160" i="65"/>
  <c r="N160" i="65" s="1"/>
  <c r="H30" i="66"/>
  <c r="H33" i="66" s="1"/>
  <c r="H34" i="66" s="1"/>
  <c r="G13" i="61"/>
  <c r="F173" i="65"/>
  <c r="N173" i="65" s="1"/>
  <c r="F158" i="65"/>
  <c r="N158" i="65" s="1"/>
  <c r="F159" i="65"/>
  <c r="N159" i="65" s="1"/>
  <c r="F163" i="66"/>
  <c r="N163" i="66" s="1"/>
  <c r="F161" i="66"/>
  <c r="N161" i="66" s="1"/>
  <c r="F152" i="66"/>
  <c r="N152" i="66" s="1"/>
  <c r="F56" i="65"/>
  <c r="F123" i="65" s="1"/>
  <c r="F154" i="65"/>
  <c r="N154" i="65" s="1"/>
  <c r="F30" i="66"/>
  <c r="F33" i="66" s="1"/>
  <c r="F34" i="66" s="1"/>
  <c r="H18" i="62"/>
  <c r="F172" i="65"/>
  <c r="N172" i="65" s="1"/>
  <c r="F169" i="65"/>
  <c r="N169" i="65" s="1"/>
  <c r="F174" i="65"/>
  <c r="N174" i="65" s="1"/>
  <c r="F155" i="65"/>
  <c r="N155" i="65" s="1"/>
  <c r="F171" i="66"/>
  <c r="N171" i="66" s="1"/>
  <c r="F165" i="66"/>
  <c r="N165" i="66" s="1"/>
  <c r="F156" i="66"/>
  <c r="N156" i="66" s="1"/>
  <c r="I134" i="66"/>
  <c r="I145" i="65"/>
  <c r="Q145" i="65" s="1"/>
  <c r="I135" i="65"/>
  <c r="Q135" i="65" s="1"/>
  <c r="I42" i="65"/>
  <c r="Q42" i="65" s="1"/>
  <c r="H133" i="65"/>
  <c r="P133" i="65" s="1"/>
  <c r="H132" i="66"/>
  <c r="P132" i="66" s="1"/>
  <c r="H58" i="65"/>
  <c r="H40" i="65"/>
  <c r="H57" i="66"/>
  <c r="H143" i="65"/>
  <c r="P143" i="65" s="1"/>
  <c r="F131" i="66"/>
  <c r="F132" i="65"/>
  <c r="N132" i="65" s="1"/>
  <c r="I21" i="62"/>
  <c r="I25" i="62" s="1"/>
  <c r="I132" i="65"/>
  <c r="Q132" i="65" s="1"/>
  <c r="I142" i="65"/>
  <c r="I131" i="66"/>
  <c r="Q131" i="66" s="1"/>
  <c r="I55" i="66"/>
  <c r="I166" i="66"/>
  <c r="Q166" i="66" s="1"/>
  <c r="I168" i="66"/>
  <c r="Q168" i="66" s="1"/>
  <c r="I156" i="66"/>
  <c r="Q156" i="66" s="1"/>
  <c r="I172" i="65"/>
  <c r="Q172" i="65" s="1"/>
  <c r="I163" i="65"/>
  <c r="Q163" i="65" s="1"/>
  <c r="I173" i="65"/>
  <c r="Q173" i="65" s="1"/>
  <c r="I39" i="65"/>
  <c r="Q39" i="65" s="1"/>
  <c r="I56" i="66"/>
  <c r="I162" i="66"/>
  <c r="Q162" i="66" s="1"/>
  <c r="I165" i="66"/>
  <c r="Q165" i="66" s="1"/>
  <c r="I174" i="66"/>
  <c r="Q174" i="66" s="1"/>
  <c r="I151" i="65"/>
  <c r="I155" i="65"/>
  <c r="Q155" i="65" s="1"/>
  <c r="I159" i="65"/>
  <c r="Q159" i="65" s="1"/>
  <c r="I175" i="65"/>
  <c r="Q175" i="65" s="1"/>
  <c r="I151" i="66"/>
  <c r="Q151" i="66" s="1"/>
  <c r="I170" i="66"/>
  <c r="Q170" i="66" s="1"/>
  <c r="I158" i="66"/>
  <c r="Q158" i="66" s="1"/>
  <c r="I164" i="66"/>
  <c r="Q164" i="66" s="1"/>
  <c r="I152" i="66"/>
  <c r="Q152" i="66" s="1"/>
  <c r="I167" i="65"/>
  <c r="Q167" i="65" s="1"/>
  <c r="I154" i="65"/>
  <c r="Q154" i="65" s="1"/>
  <c r="I171" i="65"/>
  <c r="Q171" i="65" s="1"/>
  <c r="I167" i="66"/>
  <c r="Q167" i="66" s="1"/>
  <c r="I56" i="65"/>
  <c r="I168" i="65"/>
  <c r="Q168" i="65" s="1"/>
  <c r="I169" i="65"/>
  <c r="Q169" i="65" s="1"/>
  <c r="I154" i="66"/>
  <c r="Q154" i="66" s="1"/>
  <c r="I161" i="66"/>
  <c r="Q161" i="66" s="1"/>
  <c r="I172" i="66"/>
  <c r="Q172" i="66" s="1"/>
  <c r="I152" i="65"/>
  <c r="Q152" i="65" s="1"/>
  <c r="I158" i="65"/>
  <c r="Q158" i="65" s="1"/>
  <c r="I153" i="65"/>
  <c r="Q153" i="65" s="1"/>
  <c r="I170" i="65"/>
  <c r="Q170" i="65" s="1"/>
  <c r="I159" i="66"/>
  <c r="Q159" i="66" s="1"/>
  <c r="I150" i="66"/>
  <c r="I153" i="66"/>
  <c r="Q153" i="66" s="1"/>
  <c r="I169" i="66"/>
  <c r="Q169" i="66" s="1"/>
  <c r="I156" i="65"/>
  <c r="Q156" i="65" s="1"/>
  <c r="I162" i="65"/>
  <c r="Q162" i="65" s="1"/>
  <c r="I157" i="65"/>
  <c r="Q157" i="65" s="1"/>
  <c r="I57" i="65"/>
  <c r="I49" i="65" s="1"/>
  <c r="I165" i="65"/>
  <c r="Q165" i="65" s="1"/>
  <c r="I163" i="66"/>
  <c r="Q163" i="66" s="1"/>
  <c r="I155" i="66"/>
  <c r="Q155" i="66" s="1"/>
  <c r="I171" i="66"/>
  <c r="Q171" i="66" s="1"/>
  <c r="I173" i="66"/>
  <c r="Q173" i="66" s="1"/>
  <c r="I160" i="65"/>
  <c r="Q160" i="65" s="1"/>
  <c r="I166" i="65"/>
  <c r="Q166" i="65" s="1"/>
  <c r="I161" i="65"/>
  <c r="Q161" i="65" s="1"/>
  <c r="I160" i="66"/>
  <c r="Q160" i="66" s="1"/>
  <c r="I164" i="65"/>
  <c r="Q164" i="65" s="1"/>
  <c r="I157" i="66"/>
  <c r="Q157" i="66" s="1"/>
  <c r="I174" i="65"/>
  <c r="Q174" i="65" s="1"/>
  <c r="H134" i="66"/>
  <c r="P134" i="66" s="1"/>
  <c r="H135" i="65"/>
  <c r="P135" i="65" s="1"/>
  <c r="H42" i="65"/>
  <c r="P42" i="65" s="1"/>
  <c r="H145" i="65"/>
  <c r="P145" i="65" s="1"/>
  <c r="E123" i="65"/>
  <c r="E126" i="65" s="1"/>
  <c r="E20" i="65" s="1"/>
  <c r="H131" i="66"/>
  <c r="H132" i="65"/>
  <c r="P132" i="65" s="1"/>
  <c r="H56" i="66"/>
  <c r="H173" i="66"/>
  <c r="P173" i="66" s="1"/>
  <c r="H151" i="66"/>
  <c r="P151" i="66" s="1"/>
  <c r="H163" i="66"/>
  <c r="P163" i="66" s="1"/>
  <c r="H156" i="66"/>
  <c r="P156" i="66" s="1"/>
  <c r="H160" i="65"/>
  <c r="P160" i="65" s="1"/>
  <c r="H155" i="65"/>
  <c r="P155" i="65" s="1"/>
  <c r="H161" i="65"/>
  <c r="P161" i="65" s="1"/>
  <c r="H55" i="66"/>
  <c r="H169" i="66"/>
  <c r="P169" i="66" s="1"/>
  <c r="H158" i="66"/>
  <c r="P158" i="66" s="1"/>
  <c r="H155" i="66"/>
  <c r="P155" i="66" s="1"/>
  <c r="H164" i="65"/>
  <c r="P164" i="65" s="1"/>
  <c r="H163" i="65"/>
  <c r="P163" i="65" s="1"/>
  <c r="H165" i="65"/>
  <c r="P165" i="65" s="1"/>
  <c r="H174" i="66"/>
  <c r="P174" i="66" s="1"/>
  <c r="H165" i="66"/>
  <c r="P165" i="66" s="1"/>
  <c r="H154" i="66"/>
  <c r="P154" i="66" s="1"/>
  <c r="H172" i="66"/>
  <c r="P172" i="66" s="1"/>
  <c r="H168" i="65"/>
  <c r="P168" i="65" s="1"/>
  <c r="H154" i="65"/>
  <c r="P154" i="65" s="1"/>
  <c r="H173" i="65"/>
  <c r="P173" i="65" s="1"/>
  <c r="H160" i="66"/>
  <c r="P160" i="66" s="1"/>
  <c r="H151" i="65"/>
  <c r="H162" i="66"/>
  <c r="P162" i="66" s="1"/>
  <c r="H174" i="65"/>
  <c r="P174" i="65" s="1"/>
  <c r="H161" i="66"/>
  <c r="P161" i="66" s="1"/>
  <c r="H150" i="66"/>
  <c r="H168" i="66"/>
  <c r="P168" i="66" s="1"/>
  <c r="H39" i="65"/>
  <c r="P39" i="65" s="1"/>
  <c r="H172" i="65"/>
  <c r="P172" i="65" s="1"/>
  <c r="H158" i="65"/>
  <c r="P158" i="65" s="1"/>
  <c r="H153" i="65"/>
  <c r="P153" i="65" s="1"/>
  <c r="H171" i="66"/>
  <c r="P171" i="66" s="1"/>
  <c r="H167" i="66"/>
  <c r="P167" i="66" s="1"/>
  <c r="H157" i="66"/>
  <c r="P157" i="66" s="1"/>
  <c r="H159" i="66"/>
  <c r="P159" i="66" s="1"/>
  <c r="H152" i="66"/>
  <c r="P152" i="66" s="1"/>
  <c r="H142" i="65"/>
  <c r="P142" i="65" s="1"/>
  <c r="H159" i="65"/>
  <c r="P159" i="65" s="1"/>
  <c r="H162" i="65"/>
  <c r="P162" i="65" s="1"/>
  <c r="H157" i="65"/>
  <c r="P157" i="65" s="1"/>
  <c r="H152" i="65"/>
  <c r="P152" i="65" s="1"/>
  <c r="H170" i="65"/>
  <c r="P170" i="65" s="1"/>
  <c r="H57" i="65"/>
  <c r="H49" i="65" s="1"/>
  <c r="H175" i="65"/>
  <c r="P175" i="65" s="1"/>
  <c r="H153" i="66"/>
  <c r="P153" i="66" s="1"/>
  <c r="H170" i="66"/>
  <c r="P170" i="66" s="1"/>
  <c r="H164" i="66"/>
  <c r="P164" i="66" s="1"/>
  <c r="H167" i="65"/>
  <c r="P167" i="65" s="1"/>
  <c r="H166" i="65"/>
  <c r="P166" i="65" s="1"/>
  <c r="H169" i="65"/>
  <c r="P169" i="65" s="1"/>
  <c r="H56" i="65"/>
  <c r="H48" i="65" s="1"/>
  <c r="H166" i="66"/>
  <c r="P166" i="66" s="1"/>
  <c r="H171" i="65"/>
  <c r="P171" i="65" s="1"/>
  <c r="H156" i="65"/>
  <c r="P156" i="65" s="1"/>
  <c r="I132" i="66"/>
  <c r="Q132" i="66" s="1"/>
  <c r="I133" i="65"/>
  <c r="Q133" i="65" s="1"/>
  <c r="I143" i="65"/>
  <c r="Q143" i="65" s="1"/>
  <c r="I58" i="65"/>
  <c r="I40" i="65"/>
  <c r="I57" i="66"/>
  <c r="D43" i="65"/>
  <c r="D11" i="65" s="1"/>
  <c r="H144" i="66"/>
  <c r="I134" i="65"/>
  <c r="Q134" i="65" s="1"/>
  <c r="I133" i="66"/>
  <c r="Q133" i="66" s="1"/>
  <c r="I41" i="65"/>
  <c r="Q41" i="65" s="1"/>
  <c r="I144" i="65"/>
  <c r="Q144" i="65" s="1"/>
  <c r="I58" i="66"/>
  <c r="I59" i="65"/>
  <c r="E47" i="66"/>
  <c r="E65" i="66"/>
  <c r="F48" i="61"/>
  <c r="G123" i="66"/>
  <c r="F134" i="66"/>
  <c r="N134" i="66" s="1"/>
  <c r="F135" i="65"/>
  <c r="N135" i="65" s="1"/>
  <c r="F133" i="65"/>
  <c r="N133" i="65" s="1"/>
  <c r="N136" i="65" s="1"/>
  <c r="F132" i="66"/>
  <c r="N132" i="66" s="1"/>
  <c r="H41" i="66"/>
  <c r="P41" i="66" s="1"/>
  <c r="E48" i="61"/>
  <c r="H24" i="62"/>
  <c r="F48" i="66"/>
  <c r="N48" i="66" s="1"/>
  <c r="G16" i="61"/>
  <c r="L146" i="65"/>
  <c r="L22" i="65" s="1"/>
  <c r="H134" i="65"/>
  <c r="P134" i="65" s="1"/>
  <c r="H133" i="66"/>
  <c r="P133" i="66" s="1"/>
  <c r="H59" i="65"/>
  <c r="H58" i="66"/>
  <c r="H144" i="65"/>
  <c r="P144" i="65" s="1"/>
  <c r="H41" i="65"/>
  <c r="P41" i="65" s="1"/>
  <c r="E49" i="61"/>
  <c r="F124" i="66"/>
  <c r="D25" i="62"/>
  <c r="C23" i="61" s="1"/>
  <c r="O175" i="66"/>
  <c r="D46" i="61"/>
  <c r="D50" i="61" s="1"/>
  <c r="D136" i="65"/>
  <c r="D21" i="65" s="1"/>
  <c r="G175" i="66"/>
  <c r="G176" i="65"/>
  <c r="O176" i="65"/>
  <c r="C17" i="61"/>
  <c r="E176" i="65"/>
  <c r="E177" i="65" s="1"/>
  <c r="L136" i="65"/>
  <c r="L21" i="65" s="1"/>
  <c r="M175" i="66"/>
  <c r="D145" i="66"/>
  <c r="D21" i="66" s="1"/>
  <c r="L43" i="65"/>
  <c r="L11" i="65" s="1"/>
  <c r="E175" i="66"/>
  <c r="D135" i="66"/>
  <c r="D20" i="66" s="1"/>
  <c r="M176" i="65"/>
  <c r="D42" i="66"/>
  <c r="D73" i="66"/>
  <c r="D47" i="66"/>
  <c r="L47" i="66" s="1"/>
  <c r="D59" i="66"/>
  <c r="D65" i="66"/>
  <c r="D81" i="66"/>
  <c r="D124" i="65"/>
  <c r="L124" i="65" s="1"/>
  <c r="D67" i="65"/>
  <c r="L67" i="65" s="1"/>
  <c r="D75" i="65"/>
  <c r="L75" i="65" s="1"/>
  <c r="D83" i="65"/>
  <c r="L83" i="65" s="1"/>
  <c r="D50" i="65"/>
  <c r="D23" i="65"/>
  <c r="L151" i="65"/>
  <c r="L176" i="65" s="1"/>
  <c r="D60" i="65"/>
  <c r="D74" i="65"/>
  <c r="L74" i="65" s="1"/>
  <c r="D82" i="65"/>
  <c r="L82" i="65" s="1"/>
  <c r="D66" i="65"/>
  <c r="L66" i="65" s="1"/>
  <c r="D48" i="65"/>
  <c r="D175" i="66"/>
  <c r="D22" i="66" s="1"/>
  <c r="L150" i="66"/>
  <c r="L175" i="66" s="1"/>
  <c r="L22" i="66" s="1"/>
  <c r="D125" i="65"/>
  <c r="L125" i="65" s="1"/>
  <c r="D68" i="65"/>
  <c r="L68" i="65" s="1"/>
  <c r="D76" i="65"/>
  <c r="L76" i="65" s="1"/>
  <c r="D84" i="65"/>
  <c r="L84" i="65" s="1"/>
  <c r="D146" i="65"/>
  <c r="D22" i="65" s="1"/>
  <c r="D75" i="66"/>
  <c r="D67" i="66"/>
  <c r="D83" i="66"/>
  <c r="L131" i="66"/>
  <c r="L135" i="66" s="1"/>
  <c r="L20" i="66" s="1"/>
  <c r="D66" i="66"/>
  <c r="D49" i="66"/>
  <c r="L49" i="66" s="1"/>
  <c r="D74" i="66"/>
  <c r="D82" i="66"/>
  <c r="F49" i="66"/>
  <c r="N49" i="66" s="1"/>
  <c r="O48" i="66"/>
  <c r="M48" i="66"/>
  <c r="O123" i="65"/>
  <c r="O126" i="65" s="1"/>
  <c r="O20" i="65" s="1"/>
  <c r="G126" i="65"/>
  <c r="G20" i="65" s="1"/>
  <c r="F82" i="66"/>
  <c r="F75" i="66"/>
  <c r="F83" i="66"/>
  <c r="F67" i="66"/>
  <c r="F124" i="65"/>
  <c r="N124" i="65" s="1"/>
  <c r="F67" i="65"/>
  <c r="N67" i="65" s="1"/>
  <c r="F83" i="65"/>
  <c r="N83" i="65" s="1"/>
  <c r="F75" i="65"/>
  <c r="N75" i="65" s="1"/>
  <c r="F125" i="65"/>
  <c r="N125" i="65" s="1"/>
  <c r="F68" i="65"/>
  <c r="N68" i="65" s="1"/>
  <c r="F76" i="65"/>
  <c r="N76" i="65" s="1"/>
  <c r="F84" i="65"/>
  <c r="N84" i="65" s="1"/>
  <c r="M123" i="65"/>
  <c r="M126" i="65" s="1"/>
  <c r="E74" i="65"/>
  <c r="M74" i="65" s="1"/>
  <c r="M82" i="65"/>
  <c r="E66" i="65"/>
  <c r="M66" i="65" s="1"/>
  <c r="E60" i="65"/>
  <c r="E49" i="66"/>
  <c r="M75" i="65"/>
  <c r="M83" i="65"/>
  <c r="O84" i="65"/>
  <c r="M76" i="65"/>
  <c r="M84" i="65"/>
  <c r="H49" i="66"/>
  <c r="P49" i="66" s="1"/>
  <c r="O82" i="65"/>
  <c r="O75" i="65"/>
  <c r="G49" i="66"/>
  <c r="O49" i="66" s="1"/>
  <c r="N43" i="65"/>
  <c r="M68" i="65"/>
  <c r="E50" i="65"/>
  <c r="F49" i="65"/>
  <c r="M67" i="65"/>
  <c r="E49" i="65"/>
  <c r="O68" i="65"/>
  <c r="G50" i="65"/>
  <c r="E48" i="65"/>
  <c r="F50" i="65"/>
  <c r="G48" i="65"/>
  <c r="O67" i="65"/>
  <c r="G49" i="65"/>
  <c r="G145" i="66"/>
  <c r="O66" i="65"/>
  <c r="G146" i="65"/>
  <c r="G22" i="65" s="1"/>
  <c r="O146" i="65"/>
  <c r="O22" i="65" s="1"/>
  <c r="E145" i="66"/>
  <c r="G60" i="65"/>
  <c r="M146" i="65"/>
  <c r="O83" i="65"/>
  <c r="O76" i="65"/>
  <c r="H17" i="61"/>
  <c r="D17" i="61"/>
  <c r="G135" i="66"/>
  <c r="G42" i="66"/>
  <c r="F17" i="61"/>
  <c r="E59" i="66"/>
  <c r="I59" i="66"/>
  <c r="G59" i="66"/>
  <c r="E135" i="66"/>
  <c r="E146" i="65"/>
  <c r="E147" i="65" s="1"/>
  <c r="H42" i="66"/>
  <c r="E42" i="66"/>
  <c r="L42" i="66"/>
  <c r="L10" i="66" s="1"/>
  <c r="E25" i="62"/>
  <c r="G25" i="62"/>
  <c r="G136" i="65"/>
  <c r="E136" i="65"/>
  <c r="E43" i="65"/>
  <c r="E11" i="65" s="1"/>
  <c r="M39" i="66"/>
  <c r="F43" i="65"/>
  <c r="F11" i="65" s="1"/>
  <c r="Q134" i="66"/>
  <c r="O39" i="66"/>
  <c r="G43" i="65"/>
  <c r="G11" i="65" s="1"/>
  <c r="F66" i="61"/>
  <c r="H119" i="65"/>
  <c r="G66" i="61"/>
  <c r="P38" i="66"/>
  <c r="P42" i="66" s="1"/>
  <c r="D66" i="61"/>
  <c r="M136" i="65"/>
  <c r="E67" i="61"/>
  <c r="D67" i="61"/>
  <c r="I119" i="65"/>
  <c r="H66" i="61"/>
  <c r="I111" i="65"/>
  <c r="F111" i="65"/>
  <c r="M131" i="66"/>
  <c r="M135" i="66" s="1"/>
  <c r="H111" i="65"/>
  <c r="G34" i="65"/>
  <c r="O31" i="65"/>
  <c r="O34" i="65" s="1"/>
  <c r="N31" i="65"/>
  <c r="N34" i="65" s="1"/>
  <c r="I34" i="65"/>
  <c r="Q31" i="65"/>
  <c r="Q34" i="65" s="1"/>
  <c r="E119" i="65"/>
  <c r="F119" i="65"/>
  <c r="E111" i="65"/>
  <c r="O30" i="66"/>
  <c r="O33" i="66" s="1"/>
  <c r="H67" i="61"/>
  <c r="G67" i="61"/>
  <c r="E34" i="65"/>
  <c r="M31" i="65"/>
  <c r="M34" i="65" s="1"/>
  <c r="M35" i="65" s="1"/>
  <c r="M38" i="66"/>
  <c r="O38" i="66"/>
  <c r="G111" i="65"/>
  <c r="G119" i="65"/>
  <c r="F67" i="61"/>
  <c r="M30" i="66"/>
  <c r="M33" i="66" s="1"/>
  <c r="P131" i="66"/>
  <c r="O131" i="66"/>
  <c r="O135" i="66" s="1"/>
  <c r="O74" i="65"/>
  <c r="H34" i="65"/>
  <c r="P31" i="65"/>
  <c r="P34" i="65" s="1"/>
  <c r="O136" i="65"/>
  <c r="E66" i="61"/>
  <c r="N38" i="66"/>
  <c r="N42" i="66" s="1"/>
  <c r="F42" i="66" l="1"/>
  <c r="I135" i="66"/>
  <c r="N146" i="65"/>
  <c r="N22" i="65" s="1"/>
  <c r="H50" i="65"/>
  <c r="F25" i="62"/>
  <c r="I42" i="66"/>
  <c r="E17" i="61"/>
  <c r="F135" i="66"/>
  <c r="F136" i="66" s="1"/>
  <c r="E71" i="61" s="1"/>
  <c r="N30" i="66"/>
  <c r="N33" i="66" s="1"/>
  <c r="H25" i="62"/>
  <c r="H27" i="62" s="1"/>
  <c r="G17" i="61"/>
  <c r="F47" i="66"/>
  <c r="F60" i="65"/>
  <c r="F122" i="66"/>
  <c r="Q38" i="66"/>
  <c r="Q42" i="66" s="1"/>
  <c r="Q43" i="66" s="1"/>
  <c r="F81" i="66"/>
  <c r="F84" i="66" s="1"/>
  <c r="F74" i="65"/>
  <c r="N74" i="65" s="1"/>
  <c r="F66" i="66"/>
  <c r="F146" i="65"/>
  <c r="F147" i="65" s="1"/>
  <c r="F74" i="66"/>
  <c r="H60" i="65"/>
  <c r="H61" i="65" s="1"/>
  <c r="I60" i="65"/>
  <c r="N176" i="65"/>
  <c r="N23" i="65" s="1"/>
  <c r="N131" i="66"/>
  <c r="N135" i="66" s="1"/>
  <c r="N20" i="66" s="1"/>
  <c r="P136" i="65"/>
  <c r="F145" i="66"/>
  <c r="I49" i="66"/>
  <c r="Q49" i="66" s="1"/>
  <c r="F136" i="65"/>
  <c r="F137" i="65" s="1"/>
  <c r="F59" i="66"/>
  <c r="F82" i="65"/>
  <c r="N82" i="65" s="1"/>
  <c r="F65" i="66"/>
  <c r="F68" i="66" s="1"/>
  <c r="P30" i="66"/>
  <c r="P33" i="66" s="1"/>
  <c r="P34" i="66" s="1"/>
  <c r="Q30" i="66"/>
  <c r="Q33" i="66" s="1"/>
  <c r="F66" i="65"/>
  <c r="N66" i="65" s="1"/>
  <c r="F48" i="65"/>
  <c r="I50" i="65"/>
  <c r="I61" i="65"/>
  <c r="Q136" i="65"/>
  <c r="H136" i="65"/>
  <c r="H137" i="65" s="1"/>
  <c r="F73" i="66"/>
  <c r="F76" i="66" s="1"/>
  <c r="I48" i="65"/>
  <c r="D77" i="65"/>
  <c r="D14" i="65" s="1"/>
  <c r="O177" i="65"/>
  <c r="Q43" i="65"/>
  <c r="Q44" i="65" s="1"/>
  <c r="H43" i="65"/>
  <c r="H11" i="65" s="1"/>
  <c r="F176" i="65"/>
  <c r="F23" i="65" s="1"/>
  <c r="N175" i="66"/>
  <c r="F175" i="66"/>
  <c r="F176" i="66" s="1"/>
  <c r="E77" i="61" s="1"/>
  <c r="D51" i="65"/>
  <c r="D12" i="65" s="1"/>
  <c r="L23" i="65"/>
  <c r="G46" i="61"/>
  <c r="H122" i="66"/>
  <c r="H65" i="66"/>
  <c r="H73" i="66"/>
  <c r="H81" i="66"/>
  <c r="H84" i="66" s="1"/>
  <c r="H47" i="66"/>
  <c r="H50" i="66" s="1"/>
  <c r="G47" i="61"/>
  <c r="H48" i="66"/>
  <c r="P48" i="66" s="1"/>
  <c r="I146" i="65"/>
  <c r="I147" i="65" s="1"/>
  <c r="Q142" i="65"/>
  <c r="Q146" i="65" s="1"/>
  <c r="Q147" i="65" s="1"/>
  <c r="H59" i="66"/>
  <c r="H60" i="66" s="1"/>
  <c r="G56" i="61" s="1"/>
  <c r="H125" i="65"/>
  <c r="P125" i="65" s="1"/>
  <c r="H68" i="65"/>
  <c r="P68" i="65" s="1"/>
  <c r="H76" i="65"/>
  <c r="P76" i="65" s="1"/>
  <c r="H84" i="65"/>
  <c r="P84" i="65" s="1"/>
  <c r="P151" i="65"/>
  <c r="P176" i="65" s="1"/>
  <c r="H176" i="65"/>
  <c r="I136" i="65"/>
  <c r="I137" i="65" s="1"/>
  <c r="H135" i="66"/>
  <c r="H136" i="66" s="1"/>
  <c r="G71" i="61" s="1"/>
  <c r="G49" i="61"/>
  <c r="H124" i="66"/>
  <c r="H83" i="66"/>
  <c r="H75" i="66"/>
  <c r="H67" i="66"/>
  <c r="H67" i="65"/>
  <c r="P67" i="65" s="1"/>
  <c r="H75" i="65"/>
  <c r="P75" i="65" s="1"/>
  <c r="H83" i="65"/>
  <c r="P83" i="65" s="1"/>
  <c r="H124" i="65"/>
  <c r="P124" i="65" s="1"/>
  <c r="E146" i="66"/>
  <c r="D74" i="61" s="1"/>
  <c r="G146" i="66"/>
  <c r="F74" i="61" s="1"/>
  <c r="P146" i="65"/>
  <c r="P147" i="65" s="1"/>
  <c r="Q150" i="66"/>
  <c r="Q175" i="66" s="1"/>
  <c r="I175" i="66"/>
  <c r="I176" i="65"/>
  <c r="I177" i="65" s="1"/>
  <c r="Q151" i="65"/>
  <c r="Q176" i="65" s="1"/>
  <c r="Q177" i="65" s="1"/>
  <c r="H146" i="66"/>
  <c r="G74" i="61" s="1"/>
  <c r="I84" i="65"/>
  <c r="Q84" i="65" s="1"/>
  <c r="I125" i="65"/>
  <c r="Q125" i="65" s="1"/>
  <c r="I76" i="65"/>
  <c r="Q76" i="65" s="1"/>
  <c r="I68" i="65"/>
  <c r="Q68" i="65" s="1"/>
  <c r="H48" i="61"/>
  <c r="I123" i="66"/>
  <c r="I74" i="66"/>
  <c r="I66" i="66"/>
  <c r="I82" i="66"/>
  <c r="P43" i="65"/>
  <c r="P44" i="65" s="1"/>
  <c r="P135" i="66"/>
  <c r="P20" i="66" s="1"/>
  <c r="I146" i="66"/>
  <c r="H74" i="61" s="1"/>
  <c r="H49" i="61"/>
  <c r="I83" i="66"/>
  <c r="I124" i="66"/>
  <c r="I67" i="66"/>
  <c r="I75" i="66"/>
  <c r="H123" i="65"/>
  <c r="H66" i="65"/>
  <c r="P66" i="65" s="1"/>
  <c r="H74" i="65"/>
  <c r="P74" i="65" s="1"/>
  <c r="H82" i="65"/>
  <c r="P82" i="65" s="1"/>
  <c r="I43" i="65"/>
  <c r="I44" i="65" s="1"/>
  <c r="O44" i="65"/>
  <c r="F146" i="66"/>
  <c r="E74" i="61" s="1"/>
  <c r="I83" i="65"/>
  <c r="Q83" i="65" s="1"/>
  <c r="I75" i="65"/>
  <c r="Q75" i="65" s="1"/>
  <c r="I124" i="65"/>
  <c r="Q124" i="65" s="1"/>
  <c r="I67" i="65"/>
  <c r="Q67" i="65" s="1"/>
  <c r="P150" i="66"/>
  <c r="P175" i="66" s="1"/>
  <c r="H175" i="66"/>
  <c r="H176" i="66" s="1"/>
  <c r="G77" i="61" s="1"/>
  <c r="I66" i="65"/>
  <c r="Q66" i="65" s="1"/>
  <c r="Q69" i="65" s="1"/>
  <c r="I123" i="65"/>
  <c r="I82" i="65"/>
  <c r="Q82" i="65" s="1"/>
  <c r="I74" i="65"/>
  <c r="Q74" i="65" s="1"/>
  <c r="Q77" i="65" s="1"/>
  <c r="Q14" i="65" s="1"/>
  <c r="M22" i="65"/>
  <c r="M147" i="65"/>
  <c r="H146" i="65"/>
  <c r="H147" i="65" s="1"/>
  <c r="N44" i="65"/>
  <c r="H47" i="61"/>
  <c r="I48" i="66"/>
  <c r="Q48" i="66" s="1"/>
  <c r="H46" i="61"/>
  <c r="H50" i="61" s="1"/>
  <c r="I65" i="66"/>
  <c r="I73" i="66"/>
  <c r="I47" i="66"/>
  <c r="I122" i="66"/>
  <c r="I81" i="66"/>
  <c r="G48" i="61"/>
  <c r="H123" i="66"/>
  <c r="H66" i="66"/>
  <c r="H82" i="66"/>
  <c r="H74" i="66"/>
  <c r="I27" i="62"/>
  <c r="L69" i="65"/>
  <c r="L13" i="65" s="1"/>
  <c r="L77" i="65"/>
  <c r="L14" i="65" s="1"/>
  <c r="L85" i="65"/>
  <c r="L15" i="65" s="1"/>
  <c r="L50" i="66"/>
  <c r="L11" i="66" s="1"/>
  <c r="L23" i="66" s="1"/>
  <c r="C32" i="61" s="1"/>
  <c r="D69" i="65"/>
  <c r="D13" i="65" s="1"/>
  <c r="D85" i="65"/>
  <c r="D15" i="65" s="1"/>
  <c r="F61" i="65"/>
  <c r="I136" i="66"/>
  <c r="H71" i="61" s="1"/>
  <c r="G61" i="65"/>
  <c r="D68" i="66"/>
  <c r="D12" i="66" s="1"/>
  <c r="D76" i="66"/>
  <c r="D13" i="66" s="1"/>
  <c r="D10" i="65"/>
  <c r="D10" i="66"/>
  <c r="E136" i="66"/>
  <c r="D71" i="61" s="1"/>
  <c r="M44" i="65"/>
  <c r="G136" i="66"/>
  <c r="F71" i="61" s="1"/>
  <c r="D84" i="66"/>
  <c r="D14" i="66" s="1"/>
  <c r="D125" i="66"/>
  <c r="D19" i="66" s="1"/>
  <c r="D50" i="66"/>
  <c r="D11" i="66" s="1"/>
  <c r="L126" i="65"/>
  <c r="D126" i="65"/>
  <c r="D20" i="65" s="1"/>
  <c r="F50" i="66"/>
  <c r="E50" i="66"/>
  <c r="M49" i="66"/>
  <c r="M20" i="65"/>
  <c r="N123" i="65"/>
  <c r="N126" i="65" s="1"/>
  <c r="F126" i="65"/>
  <c r="F20" i="65" s="1"/>
  <c r="F125" i="66"/>
  <c r="F19" i="66" s="1"/>
  <c r="G125" i="66"/>
  <c r="E125" i="66"/>
  <c r="E51" i="65"/>
  <c r="G50" i="66"/>
  <c r="F51" i="65"/>
  <c r="E43" i="66"/>
  <c r="D54" i="61" s="1"/>
  <c r="E10" i="65"/>
  <c r="G43" i="66"/>
  <c r="F54" i="61" s="1"/>
  <c r="G10" i="65"/>
  <c r="I43" i="66"/>
  <c r="H54" i="61" s="1"/>
  <c r="I10" i="65"/>
  <c r="F43" i="66"/>
  <c r="E54" i="61" s="1"/>
  <c r="F10" i="65"/>
  <c r="H43" i="66"/>
  <c r="G54" i="61" s="1"/>
  <c r="H10" i="65"/>
  <c r="G51" i="65"/>
  <c r="H51" i="65"/>
  <c r="H12" i="65" s="1"/>
  <c r="I22" i="65"/>
  <c r="N69" i="65"/>
  <c r="N13" i="65" s="1"/>
  <c r="G21" i="66"/>
  <c r="O147" i="65"/>
  <c r="E61" i="65"/>
  <c r="O69" i="65"/>
  <c r="O70" i="65" s="1"/>
  <c r="F50" i="61"/>
  <c r="G147" i="65"/>
  <c r="F22" i="65"/>
  <c r="I21" i="66"/>
  <c r="E21" i="66"/>
  <c r="E22" i="65"/>
  <c r="H21" i="66"/>
  <c r="H22" i="65"/>
  <c r="M69" i="65"/>
  <c r="M13" i="65" s="1"/>
  <c r="N147" i="65"/>
  <c r="E50" i="61"/>
  <c r="G84" i="66"/>
  <c r="E76" i="66"/>
  <c r="H68" i="66"/>
  <c r="G60" i="66"/>
  <c r="F56" i="61" s="1"/>
  <c r="E84" i="66"/>
  <c r="E60" i="66"/>
  <c r="D56" i="61" s="1"/>
  <c r="G68" i="66"/>
  <c r="E68" i="66"/>
  <c r="F21" i="66"/>
  <c r="F60" i="66"/>
  <c r="E56" i="61" s="1"/>
  <c r="G76" i="66"/>
  <c r="I60" i="66"/>
  <c r="H56" i="61" s="1"/>
  <c r="F85" i="65"/>
  <c r="F15" i="65" s="1"/>
  <c r="N85" i="65"/>
  <c r="O42" i="66"/>
  <c r="O43" i="66" s="1"/>
  <c r="M176" i="66"/>
  <c r="M136" i="66"/>
  <c r="Q135" i="66"/>
  <c r="Q20" i="66" s="1"/>
  <c r="Q176" i="66"/>
  <c r="E85" i="65"/>
  <c r="E15" i="65" s="1"/>
  <c r="M42" i="66"/>
  <c r="M43" i="66" s="1"/>
  <c r="M85" i="65"/>
  <c r="M15" i="65" s="1"/>
  <c r="G85" i="65"/>
  <c r="G15" i="65" s="1"/>
  <c r="O85" i="65"/>
  <c r="O86" i="65" s="1"/>
  <c r="O77" i="65"/>
  <c r="F20" i="66"/>
  <c r="G20" i="66"/>
  <c r="F10" i="66"/>
  <c r="E22" i="66"/>
  <c r="E176" i="66"/>
  <c r="D77" i="61" s="1"/>
  <c r="E20" i="66"/>
  <c r="I10" i="66"/>
  <c r="E10" i="66"/>
  <c r="H20" i="66"/>
  <c r="G10" i="66"/>
  <c r="I20" i="66"/>
  <c r="I176" i="66"/>
  <c r="H77" i="61" s="1"/>
  <c r="I22" i="66"/>
  <c r="H10" i="66"/>
  <c r="G22" i="66"/>
  <c r="G176" i="66"/>
  <c r="F77" i="61" s="1"/>
  <c r="M77" i="65"/>
  <c r="M14" i="65" s="1"/>
  <c r="N77" i="65"/>
  <c r="N14" i="65" s="1"/>
  <c r="G77" i="65"/>
  <c r="G14" i="65" s="1"/>
  <c r="E69" i="65"/>
  <c r="F69" i="65"/>
  <c r="Q85" i="65"/>
  <c r="I85" i="65"/>
  <c r="I15" i="65" s="1"/>
  <c r="G69" i="65"/>
  <c r="F77" i="65"/>
  <c r="F78" i="65" s="1"/>
  <c r="E77" i="65"/>
  <c r="E14" i="65" s="1"/>
  <c r="I69" i="65"/>
  <c r="I13" i="65" s="1"/>
  <c r="M177" i="65"/>
  <c r="P35" i="65"/>
  <c r="N35" i="65"/>
  <c r="Q35" i="65"/>
  <c r="O35" i="65"/>
  <c r="M22" i="66"/>
  <c r="O11" i="65"/>
  <c r="M34" i="66"/>
  <c r="E23" i="65"/>
  <c r="E44" i="65"/>
  <c r="P23" i="65"/>
  <c r="P177" i="65"/>
  <c r="Q21" i="65"/>
  <c r="Q137" i="65"/>
  <c r="P10" i="66"/>
  <c r="P43" i="66"/>
  <c r="O21" i="65"/>
  <c r="O137" i="65"/>
  <c r="I35" i="65"/>
  <c r="H53" i="61" s="1"/>
  <c r="N11" i="65"/>
  <c r="Q34" i="66"/>
  <c r="P176" i="66"/>
  <c r="P22" i="66"/>
  <c r="M11" i="65"/>
  <c r="F27" i="62"/>
  <c r="E23" i="61"/>
  <c r="F44" i="65"/>
  <c r="E137" i="65"/>
  <c r="E21" i="65"/>
  <c r="F177" i="65"/>
  <c r="Q22" i="66"/>
  <c r="P21" i="65"/>
  <c r="P137" i="65"/>
  <c r="O22" i="66"/>
  <c r="O176" i="66"/>
  <c r="G35" i="65"/>
  <c r="F53" i="61" s="1"/>
  <c r="M20" i="66"/>
  <c r="N21" i="65"/>
  <c r="N137" i="65"/>
  <c r="M21" i="65"/>
  <c r="M137" i="65"/>
  <c r="N22" i="66"/>
  <c r="N176" i="66"/>
  <c r="D23" i="61"/>
  <c r="E27" i="62"/>
  <c r="E28" i="62" s="1"/>
  <c r="F35" i="65"/>
  <c r="E53" i="61" s="1"/>
  <c r="N10" i="66"/>
  <c r="N43" i="66"/>
  <c r="O20" i="66"/>
  <c r="O136" i="66"/>
  <c r="N34" i="66"/>
  <c r="G23" i="65"/>
  <c r="G177" i="65"/>
  <c r="G27" i="62"/>
  <c r="F23" i="61"/>
  <c r="G137" i="65"/>
  <c r="G21" i="65"/>
  <c r="H177" i="65"/>
  <c r="H23" i="65"/>
  <c r="H35" i="65"/>
  <c r="G53" i="61" s="1"/>
  <c r="E35" i="65"/>
  <c r="D53" i="61" s="1"/>
  <c r="H23" i="61"/>
  <c r="H24" i="61" s="1"/>
  <c r="O34" i="66"/>
  <c r="G44" i="65"/>
  <c r="O23" i="65"/>
  <c r="G23" i="61" l="1"/>
  <c r="G25" i="61" s="1"/>
  <c r="N177" i="65"/>
  <c r="F22" i="66"/>
  <c r="Q70" i="65"/>
  <c r="P85" i="65"/>
  <c r="P15" i="65" s="1"/>
  <c r="H21" i="65"/>
  <c r="N136" i="66"/>
  <c r="I84" i="66"/>
  <c r="I14" i="66" s="1"/>
  <c r="G70" i="65"/>
  <c r="I76" i="66"/>
  <c r="I77" i="66" s="1"/>
  <c r="H60" i="61" s="1"/>
  <c r="P69" i="65"/>
  <c r="P70" i="65" s="1"/>
  <c r="H69" i="66"/>
  <c r="G59" i="61" s="1"/>
  <c r="E127" i="65"/>
  <c r="G127" i="65"/>
  <c r="H77" i="65"/>
  <c r="H14" i="65" s="1"/>
  <c r="I11" i="65"/>
  <c r="I51" i="65"/>
  <c r="I52" i="65" s="1"/>
  <c r="Q22" i="65"/>
  <c r="F21" i="65"/>
  <c r="Q11" i="65"/>
  <c r="O78" i="65"/>
  <c r="H22" i="66"/>
  <c r="Q23" i="65"/>
  <c r="I23" i="65"/>
  <c r="I21" i="65"/>
  <c r="N86" i="65"/>
  <c r="E69" i="66"/>
  <c r="D59" i="61" s="1"/>
  <c r="F52" i="65"/>
  <c r="P11" i="65"/>
  <c r="H44" i="65"/>
  <c r="G69" i="66"/>
  <c r="F59" i="61" s="1"/>
  <c r="E52" i="65"/>
  <c r="H125" i="66"/>
  <c r="H19" i="66" s="1"/>
  <c r="I68" i="66"/>
  <c r="I69" i="66" s="1"/>
  <c r="H59" i="61" s="1"/>
  <c r="F69" i="66"/>
  <c r="E59" i="61" s="1"/>
  <c r="P77" i="65"/>
  <c r="P78" i="65" s="1"/>
  <c r="I125" i="66"/>
  <c r="I126" i="66" s="1"/>
  <c r="H68" i="61" s="1"/>
  <c r="I50" i="66"/>
  <c r="I51" i="66" s="1"/>
  <c r="H55" i="61" s="1"/>
  <c r="H76" i="66"/>
  <c r="H77" i="66" s="1"/>
  <c r="G60" i="61" s="1"/>
  <c r="G50" i="61"/>
  <c r="H126" i="65"/>
  <c r="P123" i="65"/>
  <c r="P126" i="65" s="1"/>
  <c r="P20" i="65" s="1"/>
  <c r="G77" i="66"/>
  <c r="F60" i="61" s="1"/>
  <c r="Q123" i="65"/>
  <c r="Q126" i="65" s="1"/>
  <c r="Q20" i="65" s="1"/>
  <c r="I126" i="65"/>
  <c r="F70" i="65"/>
  <c r="E70" i="65"/>
  <c r="H85" i="65"/>
  <c r="H15" i="65" s="1"/>
  <c r="F77" i="66"/>
  <c r="E60" i="61" s="1"/>
  <c r="P136" i="66"/>
  <c r="H69" i="65"/>
  <c r="H70" i="65" s="1"/>
  <c r="P22" i="65"/>
  <c r="I77" i="65"/>
  <c r="I78" i="65" s="1"/>
  <c r="E77" i="66"/>
  <c r="D60" i="61" s="1"/>
  <c r="L20" i="65"/>
  <c r="L24" i="65" s="1"/>
  <c r="O127" i="65"/>
  <c r="M127" i="65"/>
  <c r="P13" i="65"/>
  <c r="H85" i="66"/>
  <c r="G61" i="61" s="1"/>
  <c r="F85" i="66"/>
  <c r="E61" i="61" s="1"/>
  <c r="G85" i="66"/>
  <c r="F61" i="61" s="1"/>
  <c r="E85" i="66"/>
  <c r="D61" i="61" s="1"/>
  <c r="I85" i="66"/>
  <c r="H61" i="61" s="1"/>
  <c r="E12" i="65"/>
  <c r="G12" i="65"/>
  <c r="G52" i="65"/>
  <c r="N127" i="65"/>
  <c r="N20" i="65"/>
  <c r="F127" i="65"/>
  <c r="F126" i="66"/>
  <c r="E68" i="61" s="1"/>
  <c r="E19" i="66"/>
  <c r="E126" i="66"/>
  <c r="D68" i="61" s="1"/>
  <c r="I19" i="66"/>
  <c r="G19" i="66"/>
  <c r="G126" i="66"/>
  <c r="F68" i="61" s="1"/>
  <c r="O13" i="65"/>
  <c r="N70" i="65"/>
  <c r="H52" i="65"/>
  <c r="F12" i="65"/>
  <c r="G14" i="66"/>
  <c r="P86" i="65"/>
  <c r="F13" i="66"/>
  <c r="H14" i="66"/>
  <c r="E12" i="66"/>
  <c r="E14" i="66"/>
  <c r="M70" i="65"/>
  <c r="F14" i="66"/>
  <c r="G12" i="66"/>
  <c r="I13" i="66"/>
  <c r="H12" i="66"/>
  <c r="F12" i="66"/>
  <c r="G13" i="66"/>
  <c r="E13" i="66"/>
  <c r="F51" i="66"/>
  <c r="E55" i="61" s="1"/>
  <c r="N47" i="66"/>
  <c r="N50" i="66" s="1"/>
  <c r="G51" i="66"/>
  <c r="F55" i="61" s="1"/>
  <c r="O47" i="66"/>
  <c r="O50" i="66" s="1"/>
  <c r="Q47" i="66"/>
  <c r="Q50" i="66" s="1"/>
  <c r="H51" i="66"/>
  <c r="G55" i="61" s="1"/>
  <c r="P47" i="66"/>
  <c r="P50" i="66" s="1"/>
  <c r="E51" i="66"/>
  <c r="D55" i="61" s="1"/>
  <c r="M47" i="66"/>
  <c r="M50" i="66" s="1"/>
  <c r="O10" i="66"/>
  <c r="Q136" i="66"/>
  <c r="G86" i="65"/>
  <c r="N15" i="65"/>
  <c r="F86" i="65"/>
  <c r="E86" i="65"/>
  <c r="C38" i="61"/>
  <c r="O15" i="65"/>
  <c r="O14" i="65"/>
  <c r="M10" i="66"/>
  <c r="M86" i="65"/>
  <c r="N78" i="65"/>
  <c r="H78" i="65"/>
  <c r="Q10" i="66"/>
  <c r="G78" i="65"/>
  <c r="P14" i="65"/>
  <c r="Q78" i="65"/>
  <c r="E78" i="65"/>
  <c r="E13" i="65"/>
  <c r="F14" i="65"/>
  <c r="I86" i="65"/>
  <c r="M78" i="65"/>
  <c r="F13" i="65"/>
  <c r="H13" i="65"/>
  <c r="I70" i="65"/>
  <c r="Q86" i="65"/>
  <c r="Q15" i="65"/>
  <c r="G13" i="65"/>
  <c r="M23" i="65"/>
  <c r="M24" i="65" s="1"/>
  <c r="Q13" i="65"/>
  <c r="G28" i="62"/>
  <c r="I28" i="62"/>
  <c r="F28" i="62"/>
  <c r="D24" i="61"/>
  <c r="D25" i="61"/>
  <c r="F25" i="61"/>
  <c r="F24" i="61"/>
  <c r="H28" i="62"/>
  <c r="E25" i="61"/>
  <c r="E24" i="61"/>
  <c r="G24" i="61" l="1"/>
  <c r="H25" i="61"/>
  <c r="I12" i="65"/>
  <c r="Q127" i="65"/>
  <c r="I14" i="65"/>
  <c r="P127" i="65"/>
  <c r="H126" i="66"/>
  <c r="G68" i="61" s="1"/>
  <c r="I12" i="66"/>
  <c r="H13" i="66"/>
  <c r="H86" i="65"/>
  <c r="I20" i="65"/>
  <c r="I127" i="65"/>
  <c r="H20" i="65"/>
  <c r="H127" i="65"/>
  <c r="P24" i="65"/>
  <c r="N24" i="65"/>
  <c r="I11" i="66"/>
  <c r="G11" i="66"/>
  <c r="F11" i="66"/>
  <c r="E11" i="66"/>
  <c r="H11" i="66"/>
  <c r="Q51" i="66"/>
  <c r="Q11" i="66"/>
  <c r="Q23" i="66" s="1"/>
  <c r="H32" i="61" s="1"/>
  <c r="H33" i="61" s="1"/>
  <c r="O11" i="66"/>
  <c r="O23" i="66" s="1"/>
  <c r="F32" i="61" s="1"/>
  <c r="F38" i="61" s="1"/>
  <c r="F39" i="61" s="1"/>
  <c r="O51" i="66"/>
  <c r="P11" i="66"/>
  <c r="P23" i="66" s="1"/>
  <c r="G32" i="61" s="1"/>
  <c r="G38" i="61" s="1"/>
  <c r="P51" i="66"/>
  <c r="M51" i="66"/>
  <c r="M11" i="66"/>
  <c r="M23" i="66" s="1"/>
  <c r="D32" i="61" s="1"/>
  <c r="D38" i="61" s="1"/>
  <c r="N51" i="66"/>
  <c r="N11" i="66"/>
  <c r="N23" i="66" s="1"/>
  <c r="E32" i="61" s="1"/>
  <c r="E38" i="61" s="1"/>
  <c r="E39" i="61" s="1"/>
  <c r="O24" i="65"/>
  <c r="Q24" i="65"/>
  <c r="D33" i="61" l="1"/>
  <c r="H38" i="61"/>
  <c r="H39" i="61" s="1"/>
  <c r="G33" i="61"/>
  <c r="E33" i="61"/>
  <c r="E40" i="61"/>
  <c r="F33" i="61"/>
  <c r="F34" i="61"/>
  <c r="F40" i="61"/>
  <c r="D40" i="61"/>
  <c r="D34" i="61"/>
  <c r="E34" i="61"/>
  <c r="D39" i="61"/>
  <c r="G34" i="61"/>
  <c r="G40" i="61"/>
  <c r="H34" i="61"/>
  <c r="H40" i="61" l="1"/>
  <c r="G3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37F01528-BB97-4AC8-ACEC-AFD1F3B4E3A5}">
      <text>
        <r>
          <rPr>
            <b/>
            <sz val="9"/>
            <color indexed="81"/>
            <rFont val="Tahoma"/>
            <family val="2"/>
          </rPr>
          <t>Author:</t>
        </r>
        <r>
          <rPr>
            <sz val="9"/>
            <color indexed="81"/>
            <rFont val="Tahoma"/>
            <family val="2"/>
          </rPr>
          <t xml:space="preserve">
0,1 and 2 years completed as a consultant
</t>
        </r>
      </text>
    </comment>
    <comment ref="B46" authorId="0" shapeId="0" xr:uid="{5733B604-451A-4C76-BC4F-79A5A91BAC70}">
      <text>
        <r>
          <rPr>
            <b/>
            <sz val="9"/>
            <color indexed="81"/>
            <rFont val="Tahoma"/>
            <family val="2"/>
          </rPr>
          <t>Author:</t>
        </r>
        <r>
          <rPr>
            <sz val="9"/>
            <color indexed="81"/>
            <rFont val="Tahoma"/>
            <family val="2"/>
          </rPr>
          <t xml:space="preserve">
4 to 13 years completed as a consultant (average pay)
</t>
        </r>
      </text>
    </comment>
    <comment ref="B47" authorId="0" shapeId="0" xr:uid="{7FC3EFA1-AA73-4B05-A4B2-96FAA6DD88E0}">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<sst xmlns="http://schemas.openxmlformats.org/spreadsheetml/2006/main" count="2608" uniqueCount="1107">
  <si>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</si>
  <si>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</si>
  <si>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</si>
  <si>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</si>
  <si>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</si>
  <si>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</si>
  <si>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</si>
  <si>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</si>
  <si>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</si>
  <si>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</si>
  <si>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</si>
  <si>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</si>
  <si>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</si>
  <si>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</si>
  <si>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</si>
  <si>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</si>
  <si>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</si>
  <si>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</si>
  <si>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</si>
  <si>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</si>
  <si>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</si>
  <si>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</si>
  <si>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</si>
  <si>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</si>
  <si>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</si>
  <si>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</si>
  <si>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</si>
  <si>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</si>
  <si>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</si>
  <si>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</si>
  <si>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</si>
  <si>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</si>
  <si>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</si>
  <si>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</si>
  <si>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</si>
  <si>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</si>
  <si>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</si>
  <si>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</si>
  <si>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</si>
  <si>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</si>
  <si>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</si>
  <si>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</si>
  <si>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</si>
  <si>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</si>
  <si>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Eligible population calculation</t>
  </si>
  <si>
    <t>Current practice -
year 0</t>
  </si>
  <si>
    <t>Future practice - year 5 (with population growth/disease change)</t>
  </si>
  <si>
    <t>References and data sources</t>
  </si>
  <si>
    <t>See notes below</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</si>
  <si>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</si>
  <si>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</si>
  <si>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</si>
  <si>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</si>
  <si>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</si>
  <si>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</si>
  <si>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</si>
  <si>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</si>
  <si>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</si>
  <si>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</si>
  <si>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day(s)</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</si>
  <si>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</si>
  <si>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</si>
  <si>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</si>
  <si>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</si>
  <si>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</si>
  <si>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</si>
  <si>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</si>
  <si>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</si>
  <si>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</si>
  <si>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</si>
  <si>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</si>
  <si>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</si>
  <si>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</si>
  <si>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</si>
  <si>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</si>
  <si>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</si>
  <si>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</si>
  <si>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</si>
  <si>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</si>
  <si>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</si>
  <si>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</si>
  <si>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</si>
  <si>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</si>
  <si>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</si>
  <si>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</si>
  <si>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</si>
  <si>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</si>
  <si>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</si>
  <si>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</si>
  <si>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</si>
  <si>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</si>
  <si>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</si>
  <si>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</si>
  <si>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</si>
  <si>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</si>
  <si>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</si>
  <si>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</si>
  <si>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Consultant mid</t>
  </si>
  <si>
    <t>Specialty x</t>
  </si>
  <si>
    <t>Appointments with x specialty</t>
  </si>
  <si>
    <t>pathology / diagnostics / radiology</t>
  </si>
  <si>
    <t>Band 6 Mid</t>
  </si>
  <si>
    <t>Adverse events</t>
  </si>
  <si>
    <t>Adverse events, various (rate of cases)</t>
  </si>
  <si>
    <t>Notes</t>
  </si>
  <si>
    <t>Adverse events rates driven by inputs in blue cells on unit costs worksheet</t>
  </si>
  <si>
    <t>Population data notes</t>
  </si>
  <si>
    <t>-</t>
  </si>
  <si>
    <t>Unit costs</t>
  </si>
  <si>
    <t>Review the data in each blue cell below.  Enter a local value or leave NICE standard assumptions.</t>
  </si>
  <si>
    <t>Drug cost workings</t>
  </si>
  <si>
    <t>Regimen</t>
  </si>
  <si>
    <t>Drug name</t>
  </si>
  <si>
    <t>Pack type</t>
  </si>
  <si>
    <t>Quantity</t>
  </si>
  <si>
    <t>Strength (mg)</t>
  </si>
  <si>
    <t>Total contents (mg)</t>
  </si>
  <si>
    <t xml:space="preserve">Cost </t>
  </si>
  <si>
    <t>Cycles</t>
  </si>
  <si>
    <t>Admin method</t>
  </si>
  <si>
    <t>VAT rate</t>
  </si>
  <si>
    <t>Annual cost</t>
  </si>
  <si>
    <t>All components</t>
  </si>
  <si>
    <t>Administrations</t>
  </si>
  <si>
    <t>Treatment option</t>
  </si>
  <si>
    <t>HRG code</t>
  </si>
  <si>
    <t>HRG description</t>
  </si>
  <si>
    <t>Tariff</t>
  </si>
  <si>
    <t xml:space="preserve">National  </t>
  </si>
  <si>
    <t xml:space="preserve">prices </t>
  </si>
  <si>
    <t>used</t>
  </si>
  <si>
    <t>all options</t>
  </si>
  <si>
    <t>Local</t>
  </si>
  <si>
    <t xml:space="preserve">can be </t>
  </si>
  <si>
    <t>Appointments with x specialist</t>
  </si>
  <si>
    <t xml:space="preserve">used as </t>
  </si>
  <si>
    <t xml:space="preserve">as an </t>
  </si>
  <si>
    <t>alternative.</t>
  </si>
  <si>
    <t>The</t>
  </si>
  <si>
    <t xml:space="preserve">selection </t>
  </si>
  <si>
    <t>between</t>
  </si>
  <si>
    <t xml:space="preserve">using </t>
  </si>
  <si>
    <t>local or</t>
  </si>
  <si>
    <t>national</t>
  </si>
  <si>
    <t>is made</t>
  </si>
  <si>
    <t>national prices</t>
  </si>
  <si>
    <t>local prices</t>
  </si>
  <si>
    <t>Event</t>
  </si>
  <si>
    <t>Unit cost (£) 
national prices</t>
  </si>
  <si>
    <t>Unit cost (£) local prices</t>
  </si>
  <si>
    <t>Amend data in blue cells locally where necessary.</t>
  </si>
  <si>
    <t>Estimated number of administrations</t>
  </si>
  <si>
    <t>Current practice</t>
  </si>
  <si>
    <t>Cash items</t>
  </si>
  <si>
    <t>£'000</t>
  </si>
  <si>
    <t>Drug resource impact per year</t>
  </si>
  <si>
    <t>Increase in cost to current practice</t>
  </si>
  <si>
    <t>Year on year increase in cost</t>
  </si>
  <si>
    <t>Basis upon which the resource impact of capacity items are calculated is</t>
  </si>
  <si>
    <t>Non-cash</t>
  </si>
  <si>
    <t>All capacity items</t>
  </si>
  <si>
    <t>Cash items and financial impact of capacity items</t>
  </si>
  <si>
    <t>Capacity impact, activity</t>
  </si>
  <si>
    <t>Capacity impact on activity</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</si>
  <si>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</si>
  <si>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</si>
  <si>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</si>
  <si>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</si>
  <si>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</si>
  <si>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</si>
  <si>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</si>
  <si>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</si>
  <si>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</si>
  <si>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</si>
  <si>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</si>
  <si>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</si>
  <si>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x service</t>
  </si>
  <si>
    <t>Appointments with x specialty - change</t>
  </si>
  <si>
    <t>Capacity impact on pathology/ radiology /diagnostics</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</si>
  <si>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</si>
  <si>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</si>
  <si>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</si>
  <si>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</si>
  <si>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</si>
  <si>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</si>
  <si>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</si>
  <si>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</si>
  <si>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</si>
  <si>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</si>
  <si>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</si>
  <si>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</si>
  <si>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</si>
  <si>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</si>
  <si>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</si>
  <si>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</si>
  <si>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</si>
  <si>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</si>
  <si>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</si>
  <si>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</si>
  <si>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</si>
  <si>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</si>
  <si>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</si>
  <si>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</si>
  <si>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</si>
  <si>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</si>
  <si>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</si>
  <si>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</si>
  <si>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</si>
  <si>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</si>
  <si>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</si>
  <si>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</si>
  <si>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</si>
  <si>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</si>
  <si>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</si>
  <si>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</si>
  <si>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</si>
  <si>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</si>
  <si>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</si>
  <si>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</si>
  <si>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</si>
  <si>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</si>
  <si>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</si>
  <si>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</si>
  <si>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</si>
  <si>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</si>
  <si>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</si>
  <si>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</si>
  <si>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</si>
  <si>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</si>
  <si>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</si>
  <si>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</si>
  <si>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</si>
  <si>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</si>
  <si>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</si>
  <si>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</si>
  <si>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</si>
  <si>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</si>
  <si>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</si>
  <si>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</si>
  <si>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</si>
  <si>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</si>
  <si>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</si>
  <si>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</si>
  <si>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</si>
  <si>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</si>
  <si>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</si>
  <si>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</si>
  <si>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</si>
  <si>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</si>
  <si>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</si>
  <si>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</si>
  <si>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</si>
  <si>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</si>
  <si>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</si>
  <si>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</si>
  <si>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</si>
  <si>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</si>
  <si>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</si>
  <si>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</si>
  <si>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</si>
  <si>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</si>
  <si>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</si>
  <si>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</si>
  <si>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</si>
  <si>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</si>
  <si>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</si>
  <si>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</si>
  <si>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</si>
  <si>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</si>
  <si>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</si>
  <si>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</si>
  <si>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</si>
  <si>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</si>
  <si>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</si>
  <si>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</si>
  <si>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</si>
  <si>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</si>
  <si>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</si>
  <si>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</si>
  <si>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</si>
  <si>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</si>
  <si>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</si>
  <si>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</si>
  <si>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</si>
  <si>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</si>
  <si>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</si>
  <si>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</si>
  <si>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</si>
  <si>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</si>
  <si>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</si>
  <si>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</si>
  <si>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</si>
  <si>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</si>
  <si>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</si>
  <si>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</si>
  <si>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</si>
  <si>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</si>
  <si>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</si>
  <si>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</si>
  <si>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</si>
  <si>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</si>
  <si>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</si>
  <si>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</si>
  <si>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</si>
  <si>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</si>
  <si>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</si>
  <si>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</si>
  <si>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</si>
  <si>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</si>
  <si>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</si>
  <si>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</si>
  <si>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</si>
  <si>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</si>
  <si>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</si>
  <si>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</si>
  <si>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</si>
  <si>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</si>
  <si>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</si>
  <si>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</si>
  <si>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</si>
  <si>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</si>
  <si>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</si>
  <si>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</si>
  <si>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</si>
  <si>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</si>
  <si>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</si>
  <si>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</si>
  <si>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</si>
  <si>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</si>
  <si>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</si>
  <si>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</si>
  <si>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</si>
  <si>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</si>
  <si>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</si>
  <si>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</si>
  <si>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</si>
  <si>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</si>
  <si>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</si>
  <si>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</si>
  <si>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</si>
  <si>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</si>
  <si>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</si>
  <si>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</si>
  <si>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</si>
  <si>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</si>
  <si>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</si>
  <si>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</si>
  <si>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</si>
  <si>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</si>
  <si>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</si>
  <si>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</si>
  <si>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</si>
  <si>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</si>
  <si>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</si>
  <si>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</si>
  <si>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</si>
  <si>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</si>
  <si>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</si>
  <si>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</si>
  <si>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</si>
  <si>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</si>
  <si>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</si>
  <si>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</si>
  <si>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</si>
  <si>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</si>
  <si>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</si>
  <si>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Dorset</t>
  </si>
  <si>
    <t>Somerset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</si>
  <si>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</si>
  <si>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</si>
  <si>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</si>
  <si>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</si>
  <si>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</si>
  <si>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</si>
  <si>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</si>
  <si>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</si>
  <si>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</si>
  <si>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</si>
  <si>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</si>
  <si>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</si>
  <si>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</si>
  <si>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</si>
  <si>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</si>
  <si>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</si>
  <si>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</si>
  <si>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</si>
  <si>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</si>
  <si>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</si>
  <si>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</si>
  <si>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</si>
  <si>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</si>
  <si>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</si>
  <si>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</si>
  <si>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</si>
  <si>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</si>
  <si>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</si>
  <si>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</si>
  <si>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</si>
  <si>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</si>
  <si>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</si>
  <si>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</si>
  <si>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</si>
  <si>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</si>
  <si>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</si>
  <si>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</si>
  <si>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</si>
  <si>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</si>
  <si>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</si>
  <si>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</si>
  <si>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</si>
  <si>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</si>
  <si>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</si>
  <si>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</si>
  <si>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</si>
  <si>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</si>
  <si>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</si>
  <si>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</si>
  <si>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</si>
  <si>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</si>
  <si>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</si>
  <si>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</si>
  <si>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</si>
  <si>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</si>
  <si>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</si>
  <si>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</si>
  <si>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</si>
  <si>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</si>
  <si>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</si>
  <si>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</si>
  <si>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</si>
  <si>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</si>
  <si>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</si>
  <si>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</si>
  <si>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</si>
  <si>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</si>
  <si>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</si>
  <si>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</si>
  <si>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</si>
  <si>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</si>
  <si>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</si>
  <si>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</si>
  <si>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</si>
  <si>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</si>
  <si>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</si>
  <si>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</si>
  <si>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</si>
  <si>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</si>
  <si>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</si>
  <si>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</si>
  <si>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</si>
  <si>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</si>
  <si>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</si>
  <si>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</si>
  <si>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</si>
  <si>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</si>
  <si>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</si>
  <si>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</si>
  <si>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</si>
  <si>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</si>
  <si>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</si>
  <si>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</si>
  <si>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</si>
  <si>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</si>
  <si>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</si>
  <si>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</si>
  <si>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</si>
  <si>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</si>
  <si>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</si>
  <si>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</si>
  <si>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</si>
  <si>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</si>
  <si>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</si>
  <si>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</si>
  <si>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</si>
  <si>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</si>
  <si>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</si>
  <si>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</si>
  <si>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</si>
  <si>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</si>
  <si>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</si>
  <si>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</si>
  <si>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</si>
  <si>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</si>
  <si>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</si>
  <si>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</si>
  <si>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</si>
  <si>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</si>
  <si>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</si>
  <si>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</si>
  <si>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</si>
  <si>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</si>
  <si>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</si>
  <si>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</si>
  <si>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</si>
  <si>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</si>
  <si>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</si>
  <si>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</si>
  <si>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</si>
  <si>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</si>
  <si>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</si>
  <si>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</si>
  <si>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</si>
  <si>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</si>
  <si>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</si>
  <si>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</si>
  <si>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</si>
  <si>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</si>
  <si>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</si>
  <si>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</si>
  <si>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</si>
  <si>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</si>
  <si>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</si>
  <si>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</si>
  <si>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</si>
  <si>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</si>
  <si>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</si>
  <si>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</si>
  <si>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</si>
  <si>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</si>
  <si>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</si>
  <si>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</si>
  <si>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</si>
  <si>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</si>
  <si>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</si>
  <si>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</si>
  <si>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</si>
  <si>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</si>
  <si>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</si>
  <si>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</si>
  <si>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</si>
  <si>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</si>
  <si>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</si>
  <si>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</si>
  <si>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</si>
  <si>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</si>
  <si>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</si>
  <si>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</si>
  <si>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</si>
  <si>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</si>
  <si>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</si>
  <si>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</si>
  <si>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</si>
  <si>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</si>
  <si>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</si>
  <si>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</si>
  <si>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</si>
  <si>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</si>
  <si>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</si>
  <si>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</si>
  <si>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</si>
  <si>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</si>
  <si>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</si>
  <si>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</si>
  <si>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</si>
  <si>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</si>
  <si>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</si>
  <si>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</si>
  <si>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</si>
  <si>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</si>
  <si>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</si>
  <si>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</si>
  <si>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</si>
  <si>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</si>
  <si>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</si>
  <si>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</si>
  <si>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</si>
  <si>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</si>
  <si>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</si>
  <si>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</si>
  <si>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</si>
  <si>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</si>
  <si>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</si>
  <si>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</si>
  <si>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</si>
  <si>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</si>
  <si>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</si>
  <si>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</si>
  <si>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</si>
  <si>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</si>
  <si>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</si>
  <si>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</si>
  <si>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</si>
  <si>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</si>
  <si>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</si>
  <si>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</si>
  <si>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</si>
  <si>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</si>
  <si>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</si>
  <si>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</si>
  <si>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</si>
  <si>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</si>
  <si>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</si>
  <si>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</si>
  <si>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</si>
  <si>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</si>
  <si>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</si>
  <si>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</si>
  <si>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</si>
  <si>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</si>
  <si>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</si>
  <si>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</si>
  <si>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</si>
  <si>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</si>
  <si>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</si>
  <si>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</si>
  <si>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</si>
  <si>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</si>
  <si>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</si>
  <si>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</si>
  <si>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</si>
  <si>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</si>
  <si>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</si>
  <si>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</si>
  <si>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</si>
  <si>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</si>
  <si>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</si>
  <si>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</si>
  <si>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</si>
  <si>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</si>
  <si>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</si>
  <si>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</si>
  <si>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</si>
  <si>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</si>
  <si>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</si>
  <si>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</si>
  <si>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</si>
  <si>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</si>
  <si>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</si>
  <si>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</si>
  <si>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</si>
  <si>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</si>
  <si>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</si>
  <si>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</si>
  <si>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</si>
  <si>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</si>
  <si>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</si>
  <si>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</si>
  <si>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</si>
  <si>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</si>
  <si>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</si>
  <si>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</si>
  <si>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</si>
  <si>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</si>
  <si>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</si>
  <si>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</si>
  <si>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</si>
  <si>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</si>
  <si>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</si>
  <si>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</si>
  <si>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</si>
  <si>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</si>
  <si>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</si>
  <si>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</si>
  <si>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</si>
  <si>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</si>
  <si>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</si>
  <si>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</si>
  <si>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</si>
  <si>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</si>
  <si>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</si>
  <si>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</si>
  <si>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</si>
  <si>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</si>
  <si>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</si>
  <si>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</si>
  <si>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</si>
  <si>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</si>
  <si>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</si>
  <si>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</si>
  <si>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</si>
  <si>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</si>
  <si>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</si>
  <si>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</si>
  <si>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</si>
  <si>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</si>
  <si>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</si>
  <si>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</si>
  <si>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</si>
  <si>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</si>
  <si>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</si>
  <si>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</si>
  <si>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</si>
  <si>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</si>
  <si>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</si>
  <si>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</si>
  <si>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</si>
  <si>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</si>
  <si>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</si>
  <si>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</si>
  <si>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</si>
  <si>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</si>
  <si>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</si>
  <si>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</si>
  <si>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</si>
  <si>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</si>
  <si>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</si>
  <si>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</si>
  <si>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</si>
  <si>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</si>
  <si>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</si>
  <si>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</si>
  <si>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</si>
  <si>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</si>
  <si>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</si>
  <si>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</si>
  <si>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</si>
  <si>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</si>
  <si>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</si>
  <si>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</si>
  <si>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</si>
  <si>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</si>
  <si>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</si>
  <si>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</si>
  <si>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</si>
  <si>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</si>
  <si>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</si>
  <si>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</si>
  <si>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</si>
  <si>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</si>
  <si>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</si>
  <si>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</si>
  <si>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</si>
  <si>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</si>
  <si>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</si>
  <si>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</si>
  <si>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</si>
  <si>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</si>
  <si>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</si>
  <si>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</si>
  <si>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</si>
  <si>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</si>
  <si>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</si>
  <si>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</si>
  <si>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</si>
  <si>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</si>
  <si>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</si>
  <si>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</si>
  <si>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</si>
  <si>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</si>
  <si>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</si>
  <si>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</si>
  <si>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</si>
  <si>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</si>
  <si>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</si>
  <si>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</si>
  <si>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</si>
  <si>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</si>
  <si>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</si>
  <si>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</si>
  <si>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</si>
  <si>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</si>
  <si>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</si>
  <si>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</si>
  <si>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</si>
  <si>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</si>
  <si>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</si>
  <si>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</si>
  <si>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</si>
  <si>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</si>
  <si>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</si>
  <si>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</si>
  <si>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</si>
  <si>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X specialty</t>
  </si>
  <si>
    <t>Appointments with x specialty - change to current practice</t>
  </si>
  <si>
    <t>Pathology/ radiology/ diagnostics</t>
  </si>
  <si>
    <t>Adverse events, various (cases)</t>
  </si>
  <si>
    <t>Adverse events - change to current practice</t>
  </si>
  <si>
    <t>Capacity impact (national prices)</t>
  </si>
  <si>
    <t>Band</t>
  </si>
  <si>
    <t>Enhancements Mon-Fri</t>
  </si>
  <si>
    <t>Enhancements Sun</t>
  </si>
  <si>
    <t>Hourly rate</t>
  </si>
  <si>
    <t>Band 2 Bottom</t>
  </si>
  <si>
    <t>Band 2 Top</t>
  </si>
  <si>
    <t>Band 3 Bottom</t>
  </si>
  <si>
    <t>Band 3 Top</t>
  </si>
  <si>
    <t>Band 4 Bottom</t>
  </si>
  <si>
    <t>Band 4 Top</t>
  </si>
  <si>
    <t>Band 5 Bottom</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</si>
  <si>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</si>
  <si>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</si>
  <si>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</si>
  <si>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</si>
  <si>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</si>
  <si>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</si>
  <si>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</si>
  <si>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</si>
  <si>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</si>
  <si>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</si>
  <si>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</si>
  <si>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</si>
  <si>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</si>
  <si>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</si>
  <si>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</si>
  <si>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</si>
  <si>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</si>
  <si>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</si>
  <si>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</si>
  <si>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</si>
  <si>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</si>
  <si>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</si>
  <si>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</si>
  <si>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8A</t>
  </si>
  <si>
    <t>8B</t>
  </si>
  <si>
    <t>8C</t>
  </si>
  <si>
    <t>8D</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</si>
  <si>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</si>
  <si>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</si>
  <si>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</si>
  <si>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</si>
  <si>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</si>
  <si>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</si>
  <si>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</si>
  <si>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</si>
  <si>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</si>
  <si>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</si>
  <si>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</si>
  <si>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</si>
  <si>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</si>
  <si>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</si>
  <si>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</si>
  <si>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Staff time per test (minutes)</t>
  </si>
  <si>
    <t>Staff time per appointment (minutes)</t>
  </si>
  <si>
    <t>Based on 2023/25 National Tariff Payment System -  24/25 prices</t>
  </si>
  <si>
    <t>England ICB</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</si>
  <si>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</si>
  <si>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</si>
  <si>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</si>
  <si>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</si>
  <si>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</si>
  <si>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</si>
  <si>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</si>
  <si>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</si>
  <si>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</si>
  <si>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</si>
  <si>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</si>
  <si>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</si>
  <si>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</si>
  <si>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</si>
  <si>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</si>
  <si>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</si>
  <si>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</si>
  <si>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</si>
  <si>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</si>
  <si>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</si>
  <si>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</si>
  <si>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</si>
  <si>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</si>
  <si>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</si>
  <si>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</si>
  <si>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</si>
  <si>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</si>
  <si>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</si>
  <si>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</si>
  <si>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</si>
  <si>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</si>
  <si>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</si>
  <si>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</si>
  <si>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</si>
  <si>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</si>
  <si>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</si>
  <si>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</si>
  <si>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</si>
  <si>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</si>
  <si>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</si>
  <si>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</si>
  <si>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</si>
  <si>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Cumberland</t>
  </si>
  <si>
    <t>North Northamptonshire</t>
  </si>
  <si>
    <t>North Yorkshire</t>
  </si>
  <si>
    <t>West Northamptonshire</t>
  </si>
  <si>
    <t>Westmorland and Furness</t>
  </si>
  <si>
    <t>5 year view</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</si>
  <si>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</si>
  <si>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</si>
  <si>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</si>
  <si>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</si>
  <si>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</si>
  <si>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</si>
  <si>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</si>
  <si>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</si>
  <si>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</si>
  <si>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</si>
  <si>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</si>
  <si>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</si>
  <si>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</si>
  <si>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</si>
  <si>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</si>
  <si>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10 year view</t>
  </si>
  <si>
    <t>10 year rates</t>
  </si>
  <si>
    <t>Value to use</t>
  </si>
  <si>
    <t>this column above</t>
  </si>
  <si>
    <t>Population specific growth rate</t>
  </si>
  <si>
    <t>Population % growth per year</t>
  </si>
  <si>
    <t>Disease rate % change per year</t>
  </si>
  <si>
    <t>Population above inflated to estimated 2024 value, current year</t>
  </si>
  <si>
    <t>Cancer</t>
  </si>
  <si>
    <t>NHS England</t>
  </si>
  <si>
    <t>To show key information</t>
  </si>
  <si>
    <t>Vial</t>
  </si>
  <si>
    <t>NHS England » 2023-25 NHS Payment Scheme (amended)</t>
  </si>
  <si>
    <t>First attendances</t>
  </si>
  <si>
    <t>WF01B</t>
  </si>
  <si>
    <t>Follow up attendances</t>
  </si>
  <si>
    <t>WF01A</t>
  </si>
  <si>
    <t>First Attendance - Single Professional.  TFC x &lt;specialty&gt;</t>
  </si>
  <si>
    <t>National prices</t>
  </si>
  <si>
    <t>Local prices</t>
  </si>
  <si>
    <t>Adverse events at local prices are currently costed at 80% of the HRG.</t>
  </si>
  <si>
    <t>Attendances</t>
  </si>
  <si>
    <t>People receiving olaparib with abiraterone and prednisolone</t>
  </si>
  <si>
    <t>People receiving abiraterone with prednisolone</t>
  </si>
  <si>
    <t>People receiving enzalutamide</t>
  </si>
  <si>
    <t>change in number of attendances current practice</t>
  </si>
  <si>
    <t>Haematologist appointment</t>
  </si>
  <si>
    <t>per patient per year</t>
  </si>
  <si>
    <t>See unit cost tab</t>
  </si>
  <si>
    <t>Appointments based on company submission</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</si>
  <si>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</si>
  <si>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</si>
  <si>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</si>
  <si>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</si>
  <si>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</si>
  <si>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</si>
  <si>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</si>
  <si>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</si>
  <si>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</si>
  <si>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</si>
  <si>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 xml:space="preserve">Rates of adverse events and costs, based on EAG model. </t>
  </si>
  <si>
    <t>Unit cost</t>
  </si>
  <si>
    <t xml:space="preserve">Population </t>
  </si>
  <si>
    <t>Adverse events data from EAG model. Based on HRG costs</t>
  </si>
  <si>
    <t>per patient/yr.</t>
  </si>
  <si>
    <t>Pack size</t>
  </si>
  <si>
    <t>Dosage and cost</t>
  </si>
  <si>
    <t>Dose per day (mg)</t>
  </si>
  <si>
    <t>Frequency per cycle of 28 days (days)</t>
  </si>
  <si>
    <t>Total dosage</t>
  </si>
  <si>
    <t>People receiving elrantamab</t>
  </si>
  <si>
    <t xml:space="preserve">People receiving panobinostat with bortezomib and dexamethasone </t>
  </si>
  <si>
    <t>People receiving pomalidomide plus dexamethasone</t>
  </si>
  <si>
    <t>Capacity impact, financial - £'000</t>
  </si>
  <si>
    <t>Total resource impact - £'000</t>
  </si>
  <si>
    <t>Published: September 2024</t>
  </si>
  <si>
    <t>90 days</t>
  </si>
  <si>
    <t>Total eligible population</t>
  </si>
  <si>
    <t>Oncologist appointment</t>
  </si>
  <si>
    <t>Number of CT scans</t>
  </si>
  <si>
    <t>Number of scans and tests as per company submission</t>
  </si>
  <si>
    <t>First Attendance - Single Professional.  TFC 800</t>
  </si>
  <si>
    <t>Follow Up Attendance - Single Professional.  TFC 800</t>
  </si>
  <si>
    <t>Drugs - resource impact</t>
  </si>
  <si>
    <t xml:space="preserve">Drug resource impact cash </t>
  </si>
  <si>
    <t>Drugs - people receiving treatment options</t>
  </si>
  <si>
    <t xml:space="preserve">Cash items </t>
  </si>
  <si>
    <t>Drug resource impact (cash) year on year</t>
  </si>
  <si>
    <t>Oral</t>
  </si>
  <si>
    <t>Packet</t>
  </si>
  <si>
    <t xml:space="preserve">Adverse events, annual costs and rates </t>
  </si>
  <si>
    <t>CT scan</t>
  </si>
  <si>
    <t>CT scan - change in number to current practice</t>
  </si>
  <si>
    <t xml:space="preserve">Population and uptake </t>
  </si>
  <si>
    <t>Eligible population</t>
  </si>
  <si>
    <t>People receiving the treatment options</t>
  </si>
  <si>
    <t>Financial resource impact - £'000</t>
  </si>
  <si>
    <t>CT scan - change in number of</t>
  </si>
  <si>
    <t xml:space="preserve">rate is compounded </t>
  </si>
  <si>
    <t>Administrations - number of cycles (Secondary care)</t>
  </si>
  <si>
    <t>Uptake rates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</si>
  <si>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</si>
  <si>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</si>
  <si>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</si>
  <si>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Company</t>
  </si>
  <si>
    <t>Trifluridine–tipiracil with bevacizumab</t>
  </si>
  <si>
    <t xml:space="preserve">for treating metastatic colorectal cancer </t>
  </si>
  <si>
    <t>after 2 systemic treatments</t>
  </si>
  <si>
    <t>Oral / IV</t>
  </si>
  <si>
    <t>Colorectal cancer</t>
  </si>
  <si>
    <t>Metastatic colorectal cancer after 2 systemic treatments</t>
  </si>
  <si>
    <t>Secondary care - acute</t>
  </si>
  <si>
    <t xml:space="preserve">02C cancer,  Lower GI </t>
  </si>
  <si>
    <t>Cancer Registrations Statistics, England 2021- NHS Digital, ICD C18-20</t>
  </si>
  <si>
    <t xml:space="preserve">Proportion of people diagnosed with stage 2 or 3 colorectal cancer </t>
  </si>
  <si>
    <t>Early Diagnosis data hub, Cancer Research UK</t>
  </si>
  <si>
    <t>Proportion of stage 2 or 3 that progress to stage 4 (B)</t>
  </si>
  <si>
    <t>Colorectal consultant opinion</t>
  </si>
  <si>
    <t>People receiving first line SACT treatment each year</t>
  </si>
  <si>
    <t>People eligible for third line SACT treatment</t>
  </si>
  <si>
    <t>Proportion of people with metastatic colorectal cancer (A+B)</t>
  </si>
  <si>
    <t>Regorafenib (oral)</t>
  </si>
  <si>
    <t>Trifluridine-tipiracil (oral)</t>
  </si>
  <si>
    <t>35mg/m2 twice daily, days 1-5, 8-12 in a 28 day cycle</t>
  </si>
  <si>
    <t>Trifluridine-tipiracil</t>
  </si>
  <si>
    <t>Trifluridine-tipiracil (Year 1)</t>
  </si>
  <si>
    <t>People receiving Trifluridine-tipiracil with Bevacizumab</t>
  </si>
  <si>
    <t xml:space="preserve">People receiving Trifluridine-tipiracil </t>
  </si>
  <si>
    <t>People receiving Regorafenib</t>
  </si>
  <si>
    <t>People receiving best supportive care (BSC)</t>
  </si>
  <si>
    <t>Trifluridine-tipiracil with bevacizumab (Year 1)</t>
  </si>
  <si>
    <t>60 x 20mg tablets</t>
  </si>
  <si>
    <t>Alymsys (biosimilar)</t>
  </si>
  <si>
    <t>Avastin (originator)</t>
  </si>
  <si>
    <t>Aybintio (biosimilar)</t>
  </si>
  <si>
    <t>Oyavas (biosimilar)</t>
  </si>
  <si>
    <t>Vegzelma (biosimilar)</t>
  </si>
  <si>
    <t>Versavo (biosimilar)</t>
  </si>
  <si>
    <t>IV</t>
  </si>
  <si>
    <t>5mg/kg once every 2 weeks</t>
  </si>
  <si>
    <t>Weighting</t>
  </si>
  <si>
    <t>1 x 400mg vial</t>
  </si>
  <si>
    <t>84 x 40mg tablets</t>
  </si>
  <si>
    <t>Trifluridine-tipiracil with bevacizumab are available with discounts to their list prices that are commercial in confidence.</t>
  </si>
  <si>
    <t>Trifluridine-tipiracil with bevacizumab</t>
  </si>
  <si>
    <t>SB12Z Deliver simple parenteral chemotherapy at first Attendance</t>
  </si>
  <si>
    <t>SB15Z Deliver Subsequent Elements of a Chemotherapy Cycle</t>
  </si>
  <si>
    <t>SB11Z Deliver Exclusively Oral Chemotherapy</t>
  </si>
  <si>
    <t>SB12Z</t>
  </si>
  <si>
    <t>SB15Z</t>
  </si>
  <si>
    <t>SB11Z</t>
  </si>
  <si>
    <t xml:space="preserve">Eligible population for trifluridine–tipiracil with bevacizumab </t>
  </si>
  <si>
    <t>Abdominal pain</t>
  </si>
  <si>
    <t>Alanine aminotransferase increased</t>
  </si>
  <si>
    <t>Anaemia</t>
  </si>
  <si>
    <t>Anorexia</t>
  </si>
  <si>
    <t>Aspartate aminotransferase increased</t>
  </si>
  <si>
    <t>Asthenia</t>
  </si>
  <si>
    <t>Diarrhoea</t>
  </si>
  <si>
    <t>Fatigue</t>
  </si>
  <si>
    <t>Febrile neutropenia</t>
  </si>
  <si>
    <t>Hand foot skin reaction</t>
  </si>
  <si>
    <t>Hepatic failure</t>
  </si>
  <si>
    <t>Hyperbilirubinaemia</t>
  </si>
  <si>
    <t>Hypertension</t>
  </si>
  <si>
    <t>Hypophosphataemia</t>
  </si>
  <si>
    <t>Intestinal obstruction</t>
  </si>
  <si>
    <t>Jaundice</t>
  </si>
  <si>
    <t>Leukopenia</t>
  </si>
  <si>
    <t>Lipase increased</t>
  </si>
  <si>
    <t>Malignant neoplasm progression</t>
  </si>
  <si>
    <t>Mucositis</t>
  </si>
  <si>
    <t>Neutropenia</t>
  </si>
  <si>
    <t>Neutrophil count decreased</t>
  </si>
  <si>
    <t>Pulmonary embolism</t>
  </si>
  <si>
    <t>Rash</t>
  </si>
  <si>
    <t>Thrombocytopenia</t>
  </si>
  <si>
    <t>Follow up attendances - number of appointments</t>
  </si>
  <si>
    <t>Follow up attendances hours and cost</t>
  </si>
  <si>
    <t>Average duration of trifluridine-tipiracil with bevacizumab is 39 minutes. This is based on the initial IV dose delivered over 90 minutes (Cycle 1). If the first infusion is well tolerated, the second infusion is administered over 60 minutes (Cycle 2).</t>
  </si>
  <si>
    <t>If the 60-minute infusion is well tolerated, all subsequent infusions may be administered over 30 minutes (Cycle 3-10).</t>
  </si>
  <si>
    <t>Incidence of colorectal cancer</t>
  </si>
  <si>
    <t>Adult population</t>
  </si>
  <si>
    <t>Adult population forecast at 2028/29</t>
  </si>
  <si>
    <t>People receiving trifluridine-tipiracil with bevacizumab</t>
  </si>
  <si>
    <t xml:space="preserve">People receiving trifluridine-tipiracil </t>
  </si>
  <si>
    <t>People receiving regorafenib</t>
  </si>
  <si>
    <t>Uptake rate for trifluridine-tipiracil with bevacizumab (%)</t>
  </si>
  <si>
    <t>Population receiving trifluridine-tipiracil with bevacizumab each year</t>
  </si>
  <si>
    <t>People receiving trifluridine-tipiracil with bevacizumab (SB12Z)</t>
  </si>
  <si>
    <t>People receiving trifluridine-tipiracil with bevacizumab (SB15Z)</t>
  </si>
  <si>
    <t>People receiving trifluridine-tipiracil (SB11Z)</t>
  </si>
  <si>
    <t>People receiving regorafenib (SB11Z)</t>
  </si>
  <si>
    <t>Trifluridine–tipiracil with bevacizumab for treating metastatic colorectal cancer after 2 systemic treatments</t>
  </si>
  <si>
    <t>160 mg taken once daily for 3 weeks followed by 1 week off therapy</t>
  </si>
  <si>
    <t>Regorafenib (Year 1)</t>
  </si>
  <si>
    <t>Regorafenib</t>
  </si>
  <si>
    <t>Bevacizumab total</t>
  </si>
  <si>
    <t>Trifluridine-tipiracil total</t>
  </si>
  <si>
    <t>CT scan (hours)</t>
  </si>
  <si>
    <t>People receiving second line SACT treatment</t>
  </si>
  <si>
    <t>Update weighting for biosimiar drug usage in column N to refelct local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</si>
  <si>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</si>
  <si>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</si>
  <si>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</si>
  <si>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</si>
  <si>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</si>
  <si>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</si>
  <si>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</si>
  <si>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</si>
  <si>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</si>
  <si>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</si>
  <si>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</si>
  <si>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</si>
  <si>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</si>
  <si>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</si>
  <si>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</si>
  <si>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</si>
  <si>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</si>
  <si>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</si>
  <si>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</si>
  <si>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</si>
  <si>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</si>
  <si>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</si>
  <si>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</si>
  <si>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</si>
  <si>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GP Bottom</t>
  </si>
  <si>
    <t>GP Mid</t>
  </si>
  <si>
    <t>Proportion of people diagnosed with metastatic colorectal cancer stage 4 (A)</t>
  </si>
  <si>
    <t>Current practice based on blueteq figures and future practice based on consultant colorectal opinion</t>
  </si>
  <si>
    <t>(TA1008)</t>
  </si>
  <si>
    <t>are</t>
  </si>
  <si>
    <t>on the</t>
  </si>
  <si>
    <t>left.</t>
  </si>
  <si>
    <t>prices</t>
  </si>
  <si>
    <t>summary</t>
  </si>
  <si>
    <t>worksheet.</t>
  </si>
  <si>
    <t>If local administration prices are different amend in table above</t>
  </si>
  <si>
    <t>Appointments with x specialty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</si>
</sst>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s>
  <fonts count="8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sz val="11"/>
      <color indexed="81"/>
      <name val="Calibri"/>
      <family val="2"/>
    </font>
    <font>
      <b/>
      <sz val="10"/>
      <name val="Arial"/>
      <family val="2"/>
    </font>
    <font>
      <u/>
      <sz val="10"/>
      <color theme="10"/>
      <name val="Arial"/>
      <family val="2"/>
    </font>
    <font>
      <sz val="10"/>
      <color rgb="FF000000"/>
      <name val="Arial"/>
      <family val="2"/>
    </font>
    <font>
      <b/>
      <sz val="10"/>
      <color rgb="FFFFFFFF"/>
      <name val="Arial"/>
      <family val="2"/>
    </font>
    <font>
      <i/>
      <sz val="11"/>
      <name val="Calibri"/>
      <family val="2"/>
      <scheme val="minor"/>
    </font>
    <font>
      <b/>
      <sz val="12"/>
      <name val="Arial"/>
    </font>
    <font>
      <sz val="11"/>
      <name val="Arial"/>
    </font>
    <font>
      <sz val="10"/>
      <name val="Arial"/>
    </font>
    <font>
      <b/>
      <sz val="11"/>
      <color theme="1"/>
      <name val="Aptos Narrow"/>
      <family val="2"/>
    </font>
    <font>
      <b/>
      <sz val="11"/>
      <name val="Aptos Narrow"/>
      <family val="2"/>
    </font>
    <font>
      <b/>
      <sz val="9"/>
      <color indexed="81"/>
      <name val="Tahoma"/>
      <family val="2"/>
    </font>
    <font>
      <sz val="9"/>
      <color indexed="81"/>
      <name val="Tahoma"/>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rgb="FFFFFFFF"/>
        <bgColor rgb="FF000000"/>
      </patternFill>
    </fill>
    <fill>
      <patternFill patternType="solid">
        <fgColor rgb="FFD9D9D9"/>
        <bgColor rgb="FF000000"/>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
      <left/>
      <right/>
      <top style="medium">
        <color indexed="64"/>
      </top>
      <bottom style="medium">
        <color indexed="64"/>
      </bottom>
      <diagonal/>
    </border>
    <border>
      <left style="thin">
        <color rgb="FF000000"/>
      </left>
      <right style="thin">
        <color rgb="FF000000"/>
      </right>
      <top style="thin">
        <color rgb="FF000000"/>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26">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3"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0" fontId="44" fillId="24" borderId="11" xfId="0"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0" fontId="46" fillId="0" borderId="0" xfId="82" applyFont="1" applyAlignment="1">
      <alignment vertical="top"/>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48" fillId="44" borderId="12" xfId="0" applyFont="1" applyFill="1" applyBorder="1" applyAlignment="1">
      <alignment horizontal="left" vertical="center"/>
    </xf>
    <xf numFmtId="0" fontId="39" fillId="44" borderId="0" xfId="82" applyFont="1" applyFill="1"/>
    <xf numFmtId="0" fontId="48" fillId="42" borderId="12" xfId="0" applyFont="1" applyFill="1" applyBorder="1" applyAlignment="1">
      <alignment horizontal="left" vertical="center"/>
    </xf>
    <xf numFmtId="0" fontId="48" fillId="31" borderId="12" xfId="0" applyFont="1" applyFill="1" applyBorder="1" applyAlignment="1">
      <alignment horizontal="left" vertical="center"/>
    </xf>
    <xf numFmtId="0" fontId="0" fillId="0" borderId="33"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62"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63" fillId="0" borderId="0" xfId="0" applyFont="1"/>
    <xf numFmtId="0" fontId="64" fillId="0" borderId="0" xfId="0" applyFont="1" applyAlignment="1">
      <alignment vertical="center" wrapText="1"/>
    </xf>
    <xf numFmtId="0" fontId="0" fillId="44" borderId="17" xfId="0" applyFill="1" applyBorder="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7" fillId="39" borderId="11" xfId="0" applyFont="1" applyFill="1" applyBorder="1" applyAlignment="1">
      <alignment horizontal="center" vertical="center" wrapText="1"/>
    </xf>
    <xf numFmtId="0" fontId="67" fillId="0" borderId="0" xfId="0" applyFont="1" applyAlignment="1">
      <alignment horizontal="center" vertical="center"/>
    </xf>
    <xf numFmtId="0" fontId="68"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9"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7"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7" fillId="24" borderId="0" xfId="0" applyFont="1" applyFill="1" applyAlignment="1">
      <alignment horizontal="center" vertical="center"/>
    </xf>
    <xf numFmtId="0" fontId="6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7"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46" fillId="24" borderId="16" xfId="82" applyFont="1" applyFill="1" applyBorder="1" applyAlignment="1">
      <alignment horizont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71"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10" fontId="29" fillId="47" borderId="11" xfId="0" applyNumberFormat="1" applyFont="1" applyFill="1" applyBorder="1"/>
    <xf numFmtId="171" fontId="29" fillId="47" borderId="11" xfId="0" applyNumberFormat="1" applyFont="1" applyFill="1" applyBorder="1" applyAlignment="1">
      <alignment horizontal="center"/>
    </xf>
    <xf numFmtId="0" fontId="29" fillId="47" borderId="0" xfId="0" applyFont="1" applyFill="1" applyAlignment="1">
      <alignment horizontal="left"/>
    </xf>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3"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0" fontId="4" fillId="0" borderId="10" xfId="0" applyFont="1" applyBorder="1" applyAlignment="1">
      <alignment vertical="center"/>
    </xf>
    <xf numFmtId="170" fontId="46" fillId="0" borderId="15" xfId="82" applyNumberFormat="1" applyFont="1" applyBorder="1"/>
    <xf numFmtId="10" fontId="0" fillId="0" borderId="0" xfId="92" applyNumberFormat="1" applyFont="1" applyFill="1" applyBorder="1"/>
    <xf numFmtId="0" fontId="28" fillId="0" borderId="0" xfId="72" applyBorder="1" applyAlignment="1" applyProtection="1"/>
    <xf numFmtId="0" fontId="50" fillId="0" borderId="14" xfId="0"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0" borderId="15" xfId="0" applyBorder="1"/>
    <xf numFmtId="0" fontId="0" fillId="0" borderId="11" xfId="0" applyBorder="1" applyAlignment="1">
      <alignment horizontal="center" vertical="center"/>
    </xf>
    <xf numFmtId="0" fontId="0" fillId="0" borderId="20" xfId="0" applyBorder="1" applyAlignment="1">
      <alignment horizontal="center" vertical="center" wrapText="1"/>
    </xf>
    <xf numFmtId="0" fontId="48" fillId="24" borderId="17" xfId="82" applyFont="1" applyFill="1" applyBorder="1" applyAlignment="1">
      <alignment horizontal="center" wrapText="1"/>
    </xf>
    <xf numFmtId="166" fontId="46" fillId="39" borderId="11"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0" fontId="48" fillId="0" borderId="0" xfId="92" applyNumberFormat="1" applyFont="1" applyFill="1" applyBorder="1" applyProtection="1">
      <protection locked="0"/>
    </xf>
    <xf numFmtId="165" fontId="48" fillId="0" borderId="0" xfId="82" applyNumberFormat="1" applyFont="1"/>
    <xf numFmtId="9" fontId="2" fillId="24" borderId="0" xfId="92" applyFont="1" applyFill="1"/>
    <xf numFmtId="0" fontId="0" fillId="0" borderId="31" xfId="0" applyBorder="1" applyAlignment="1">
      <alignment wrapText="1"/>
    </xf>
    <xf numFmtId="0" fontId="44" fillId="0" borderId="17" xfId="0" applyFont="1" applyBorder="1" applyAlignment="1">
      <alignment wrapText="1"/>
    </xf>
    <xf numFmtId="0" fontId="0" fillId="0" borderId="17" xfId="0" applyBorder="1" applyAlignment="1">
      <alignment vertical="center" wrapText="1"/>
    </xf>
    <xf numFmtId="9" fontId="0" fillId="0" borderId="11" xfId="92" applyFont="1" applyBorder="1"/>
    <xf numFmtId="3" fontId="46" fillId="0" borderId="0" xfId="0" applyNumberFormat="1" applyFont="1"/>
    <xf numFmtId="0" fontId="48" fillId="0" borderId="0" xfId="0" applyFont="1" applyAlignment="1">
      <alignment horizontal="left"/>
    </xf>
    <xf numFmtId="0" fontId="0" fillId="39" borderId="11" xfId="0" applyFill="1" applyBorder="1" applyAlignment="1" applyProtection="1">
      <alignment horizontal="right"/>
      <protection locked="0"/>
    </xf>
    <xf numFmtId="0" fontId="46" fillId="0" borderId="21" xfId="0" applyFont="1" applyBorder="1" applyAlignment="1">
      <alignment horizontal="left" vertical="center"/>
    </xf>
    <xf numFmtId="0" fontId="0" fillId="0" borderId="15" xfId="0" applyBorder="1" applyAlignment="1">
      <alignment vertical="center" wrapText="1"/>
    </xf>
    <xf numFmtId="3" fontId="0" fillId="0" borderId="12" xfId="0" applyNumberFormat="1" applyBorder="1" applyAlignment="1">
      <alignment horizontal="right"/>
    </xf>
    <xf numFmtId="0" fontId="46" fillId="0" borderId="33" xfId="0" applyFont="1" applyBorder="1" applyAlignment="1">
      <alignment horizontal="left"/>
    </xf>
    <xf numFmtId="0" fontId="46" fillId="0" borderId="21" xfId="0" applyFont="1" applyBorder="1" applyAlignment="1">
      <alignment horizontal="left"/>
    </xf>
    <xf numFmtId="3" fontId="44" fillId="0" borderId="12" xfId="0" applyNumberFormat="1" applyFont="1" applyBorder="1" applyAlignment="1">
      <alignment horizontal="right"/>
    </xf>
    <xf numFmtId="0" fontId="0" fillId="0" borderId="13" xfId="0" applyBorder="1" applyAlignment="1">
      <alignment vertical="center" wrapText="1"/>
    </xf>
    <xf numFmtId="165" fontId="27" fillId="0" borderId="10" xfId="0" applyNumberFormat="1" applyFont="1" applyBorder="1"/>
    <xf numFmtId="1" fontId="0" fillId="0" borderId="11" xfId="0" applyNumberFormat="1" applyBorder="1"/>
    <xf numFmtId="0" fontId="0" fillId="0" borderId="17" xfId="0" applyBorder="1" applyAlignment="1">
      <alignment horizontal="left"/>
    </xf>
    <xf numFmtId="0" fontId="48" fillId="41" borderId="12" xfId="0" applyFont="1" applyFill="1" applyBorder="1" applyAlignment="1">
      <alignment horizontal="left" vertical="center"/>
    </xf>
    <xf numFmtId="0" fontId="0" fillId="41" borderId="20" xfId="0" applyFill="1" applyBorder="1" applyAlignment="1">
      <alignment horizontal="center"/>
    </xf>
    <xf numFmtId="164" fontId="0" fillId="41" borderId="20" xfId="0" applyNumberFormat="1" applyFill="1" applyBorder="1"/>
    <xf numFmtId="165" fontId="44" fillId="0" borderId="20" xfId="0" applyNumberFormat="1" applyFont="1" applyBorder="1"/>
    <xf numFmtId="43" fontId="46" fillId="0" borderId="0" xfId="56" applyFont="1"/>
    <xf numFmtId="0" fontId="58" fillId="0" borderId="20" xfId="72" applyFont="1" applyFill="1" applyBorder="1" applyAlignment="1" applyProtection="1">
      <alignment horizontal="left" vertical="center"/>
    </xf>
    <xf numFmtId="0" fontId="48" fillId="0" borderId="13" xfId="0" applyFont="1" applyBorder="1"/>
    <xf numFmtId="0" fontId="0" fillId="0" borderId="16" xfId="0" applyBorder="1"/>
    <xf numFmtId="169" fontId="0" fillId="39" borderId="11" xfId="0" applyNumberFormat="1" applyFill="1" applyBorder="1" applyProtection="1">
      <protection locked="0"/>
    </xf>
    <xf numFmtId="0" fontId="0" fillId="39" borderId="11" xfId="0" applyFill="1" applyBorder="1" applyProtection="1">
      <protection locked="0"/>
    </xf>
    <xf numFmtId="9" fontId="0" fillId="39" borderId="31" xfId="0" applyNumberFormat="1" applyFill="1" applyBorder="1" applyAlignment="1" applyProtection="1">
      <alignment horizontal="right"/>
      <protection locked="0"/>
    </xf>
    <xf numFmtId="9" fontId="0" fillId="39" borderId="31" xfId="92" applyFont="1" applyFill="1" applyBorder="1" applyAlignment="1" applyProtection="1">
      <alignment horizontal="right"/>
      <protection locked="0"/>
    </xf>
    <xf numFmtId="1" fontId="0" fillId="39" borderId="11" xfId="0" applyNumberFormat="1" applyFill="1" applyBorder="1" applyProtection="1">
      <protection locked="0"/>
    </xf>
    <xf numFmtId="0" fontId="2" fillId="24" borderId="0" xfId="87" applyFont="1" applyFill="1" applyAlignment="1">
      <alignment horizontal="left"/>
    </xf>
    <xf numFmtId="0" fontId="73" fillId="24" borderId="0" xfId="0" applyFont="1" applyFill="1" applyAlignment="1">
      <alignment horizontal="left"/>
    </xf>
    <xf numFmtId="0" fontId="74" fillId="24" borderId="0" xfId="72" applyFont="1" applyFill="1" applyBorder="1" applyAlignment="1" applyProtection="1">
      <alignment horizontal="left"/>
    </xf>
    <xf numFmtId="0" fontId="73"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73" fillId="24" borderId="0" xfId="82" applyFont="1" applyFill="1" applyAlignment="1">
      <alignment horizontal="left"/>
    </xf>
    <xf numFmtId="0" fontId="74" fillId="24" borderId="0" xfId="72" applyFont="1" applyFill="1" applyBorder="1" applyAlignment="1" applyProtection="1"/>
    <xf numFmtId="0" fontId="75" fillId="24" borderId="0" xfId="0" applyFont="1" applyFill="1"/>
    <xf numFmtId="0" fontId="73" fillId="24" borderId="0" xfId="105" applyFont="1" applyFill="1"/>
    <xf numFmtId="0" fontId="0" fillId="0" borderId="0" xfId="82" applyFont="1" applyAlignment="1">
      <alignment vertical="top"/>
    </xf>
    <xf numFmtId="0" fontId="0" fillId="24" borderId="37" xfId="0" applyFill="1" applyBorder="1" applyAlignment="1">
      <alignment horizont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0" fontId="44" fillId="41" borderId="20" xfId="0" applyFont="1" applyFill="1" applyBorder="1" applyAlignment="1">
      <alignment horizontal="left"/>
    </xf>
    <xf numFmtId="0" fontId="46" fillId="41" borderId="0" xfId="0" applyFont="1" applyFill="1" applyAlignment="1">
      <alignment horizontal="left" vertical="center"/>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0" fillId="41" borderId="12" xfId="0" applyFill="1" applyBorder="1"/>
    <xf numFmtId="4" fontId="0" fillId="41" borderId="20" xfId="0" applyNumberFormat="1" applyFill="1" applyBorder="1"/>
    <xf numFmtId="0" fontId="0" fillId="41" borderId="14" xfId="0" applyFill="1" applyBorder="1"/>
    <xf numFmtId="0" fontId="46" fillId="24" borderId="11" xfId="0" applyFont="1" applyFill="1" applyBorder="1" applyAlignment="1">
      <alignment horizontal="center" wrapText="1"/>
    </xf>
    <xf numFmtId="164" fontId="46" fillId="0" borderId="11" xfId="0" applyNumberFormat="1" applyFont="1" applyBorder="1"/>
    <xf numFmtId="165" fontId="46" fillId="0" borderId="11" xfId="0" applyNumberFormat="1" applyFont="1" applyBorder="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3" fontId="44" fillId="39" borderId="11" xfId="0" applyNumberFormat="1" applyFont="1" applyFill="1" applyBorder="1" applyProtection="1">
      <protection locked="0"/>
    </xf>
    <xf numFmtId="166" fontId="27" fillId="39" borderId="11" xfId="56" applyNumberFormat="1" applyFont="1" applyFill="1" applyBorder="1" applyAlignment="1" applyProtection="1">
      <alignment horizontal="right"/>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3" fontId="0" fillId="39" borderId="32" xfId="0" applyNumberFormat="1" applyFill="1" applyBorder="1" applyAlignment="1" applyProtection="1">
      <alignment horizontal="right"/>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0" fontId="46" fillId="39" borderId="17" xfId="82" applyFont="1" applyFill="1" applyBorder="1" applyProtection="1">
      <protection locked="0"/>
    </xf>
    <xf numFmtId="166" fontId="46" fillId="39" borderId="11" xfId="56" applyNumberFormat="1" applyFont="1" applyFill="1" applyBorder="1" applyProtection="1">
      <protection locked="0"/>
    </xf>
    <xf numFmtId="1" fontId="46" fillId="39" borderId="11" xfId="82" applyNumberFormat="1" applyFont="1" applyFill="1" applyBorder="1" applyProtection="1">
      <protection locked="0"/>
    </xf>
    <xf numFmtId="164" fontId="46" fillId="39" borderId="12" xfId="82" applyNumberFormat="1" applyFont="1" applyFill="1" applyBorder="1" applyProtection="1">
      <protection locked="0"/>
    </xf>
    <xf numFmtId="0" fontId="48" fillId="39" borderId="11" xfId="82"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 fillId="25" borderId="0" xfId="0" applyFont="1" applyFill="1" applyAlignment="1">
      <alignment vertical="center"/>
    </xf>
    <xf numFmtId="10" fontId="0" fillId="0" borderId="11" xfId="92" applyNumberFormat="1" applyFont="1" applyFill="1" applyBorder="1" applyAlignment="1">
      <alignment horizontal="center" vertical="center" wrapText="1"/>
    </xf>
    <xf numFmtId="0" fontId="0" fillId="0" borderId="12" xfId="0" applyBorder="1" applyAlignment="1">
      <alignment horizontal="left" vertical="center" wrapText="1"/>
    </xf>
    <xf numFmtId="2" fontId="0" fillId="0" borderId="10" xfId="0" applyNumberFormat="1" applyBorder="1" applyAlignment="1">
      <alignment horizontal="center" wrapText="1"/>
    </xf>
    <xf numFmtId="0" fontId="0" fillId="0" borderId="10" xfId="0" applyBorder="1" applyAlignment="1">
      <alignment horizontal="center" wrapText="1"/>
    </xf>
    <xf numFmtId="2" fontId="0" fillId="0" borderId="10" xfId="0" applyNumberFormat="1" applyBorder="1" applyAlignment="1">
      <alignment horizontal="center"/>
    </xf>
    <xf numFmtId="0" fontId="48" fillId="0" borderId="39" xfId="0" applyFont="1" applyBorder="1"/>
    <xf numFmtId="0" fontId="48" fillId="0" borderId="40" xfId="0" applyFont="1" applyBorder="1"/>
    <xf numFmtId="0" fontId="76" fillId="48" borderId="40" xfId="0" applyFont="1" applyFill="1" applyBorder="1"/>
    <xf numFmtId="0" fontId="48" fillId="0" borderId="41" xfId="0" applyFont="1" applyBorder="1"/>
    <xf numFmtId="0" fontId="46" fillId="0" borderId="42" xfId="0" applyFont="1" applyBorder="1"/>
    <xf numFmtId="0" fontId="46" fillId="39" borderId="12" xfId="82" applyFont="1" applyFill="1" applyBorder="1" applyProtection="1">
      <protection locked="0"/>
    </xf>
    <xf numFmtId="0" fontId="46" fillId="0" borderId="10" xfId="82" applyFont="1" applyBorder="1"/>
    <xf numFmtId="0" fontId="46" fillId="0" borderId="43" xfId="82" applyFont="1" applyBorder="1"/>
    <xf numFmtId="0" fontId="48" fillId="24" borderId="24" xfId="82" applyFont="1" applyFill="1" applyBorder="1" applyAlignment="1">
      <alignment horizontal="center" wrapText="1"/>
    </xf>
    <xf numFmtId="0" fontId="48" fillId="24" borderId="36" xfId="82" applyFont="1" applyFill="1" applyBorder="1" applyAlignment="1">
      <alignment horizontal="center" wrapText="1"/>
    </xf>
    <xf numFmtId="0" fontId="46" fillId="39" borderId="24" xfId="82" applyFont="1" applyFill="1" applyBorder="1" applyAlignment="1" applyProtection="1">
      <alignment horizontal="center"/>
      <protection locked="0"/>
    </xf>
    <xf numFmtId="164" fontId="46" fillId="39" borderId="36" xfId="82" applyNumberFormat="1" applyFont="1" applyFill="1" applyBorder="1" applyProtection="1">
      <protection locked="0"/>
    </xf>
    <xf numFmtId="0" fontId="46" fillId="0" borderId="40" xfId="82" applyFont="1" applyBorder="1"/>
    <xf numFmtId="0" fontId="48" fillId="24" borderId="12" xfId="82" applyFont="1" applyFill="1" applyBorder="1" applyAlignment="1">
      <alignment horizontal="center" wrapText="1"/>
    </xf>
    <xf numFmtId="166" fontId="46" fillId="39" borderId="12" xfId="56" applyNumberFormat="1" applyFont="1" applyFill="1" applyBorder="1" applyProtection="1">
      <protection locked="0"/>
    </xf>
    <xf numFmtId="166" fontId="46" fillId="39" borderId="24" xfId="56" applyNumberFormat="1" applyFont="1" applyFill="1" applyBorder="1" applyProtection="1">
      <protection locked="0"/>
    </xf>
    <xf numFmtId="0" fontId="48" fillId="49" borderId="11" xfId="0" applyFont="1" applyFill="1" applyBorder="1" applyAlignment="1">
      <alignment horizontal="center" wrapText="1"/>
    </xf>
    <xf numFmtId="9" fontId="46" fillId="39" borderId="12" xfId="82" applyNumberFormat="1" applyFont="1" applyFill="1" applyBorder="1" applyProtection="1">
      <protection locked="0"/>
    </xf>
    <xf numFmtId="164" fontId="48" fillId="39" borderId="44" xfId="82" applyNumberFormat="1" applyFont="1" applyFill="1" applyBorder="1" applyProtection="1">
      <protection locked="0"/>
    </xf>
    <xf numFmtId="0" fontId="46" fillId="0" borderId="30" xfId="82" applyFont="1" applyBorder="1"/>
    <xf numFmtId="0" fontId="28" fillId="0" borderId="20" xfId="72" applyFill="1" applyBorder="1" applyAlignment="1" applyProtection="1">
      <alignment horizontal="left" vertical="center"/>
    </xf>
    <xf numFmtId="2" fontId="0" fillId="0" borderId="0" xfId="0" applyNumberFormat="1" applyAlignment="1">
      <alignment horizontal="center"/>
    </xf>
    <xf numFmtId="0" fontId="0" fillId="39" borderId="45" xfId="0" applyFill="1" applyBorder="1" applyAlignment="1" applyProtection="1">
      <alignment horizontal="center" wrapText="1"/>
      <protection locked="0"/>
    </xf>
    <xf numFmtId="164" fontId="0" fillId="39" borderId="15" xfId="0" applyNumberFormat="1" applyFill="1" applyBorder="1" applyProtection="1">
      <protection locked="0"/>
    </xf>
    <xf numFmtId="0" fontId="0" fillId="39" borderId="11" xfId="0" applyFill="1" applyBorder="1" applyAlignment="1" applyProtection="1">
      <alignment horizontal="center" wrapText="1"/>
      <protection locked="0"/>
    </xf>
    <xf numFmtId="0" fontId="70" fillId="49" borderId="11" xfId="0" applyFont="1" applyFill="1" applyBorder="1" applyAlignment="1">
      <alignment horizontal="center" wrapText="1"/>
    </xf>
    <xf numFmtId="165" fontId="48" fillId="0" borderId="0" xfId="0" applyNumberFormat="1" applyFont="1"/>
    <xf numFmtId="0" fontId="77" fillId="0" borderId="11" xfId="82" applyFont="1" applyBorder="1"/>
    <xf numFmtId="0" fontId="44" fillId="24" borderId="11" xfId="0" quotePrefix="1" applyFont="1" applyFill="1" applyBorder="1" applyAlignment="1">
      <alignment horizontal="center"/>
    </xf>
    <xf numFmtId="165" fontId="44" fillId="24" borderId="15" xfId="0" applyNumberFormat="1" applyFont="1" applyFill="1" applyBorder="1" applyAlignment="1">
      <alignment horizontal="center" wrapText="1"/>
    </xf>
    <xf numFmtId="0" fontId="59" fillId="0" borderId="0" xfId="0" applyFont="1"/>
    <xf numFmtId="9" fontId="0" fillId="39" borderId="47" xfId="0" applyNumberFormat="1" applyFill="1" applyBorder="1" applyAlignment="1" applyProtection="1">
      <alignment horizontal="right"/>
      <protection locked="0"/>
    </xf>
    <xf numFmtId="9" fontId="0" fillId="39" borderId="47" xfId="92" applyFont="1" applyFill="1" applyBorder="1" applyAlignment="1" applyProtection="1">
      <alignment horizontal="right"/>
      <protection locked="0"/>
    </xf>
    <xf numFmtId="9" fontId="0" fillId="39" borderId="11" xfId="0" applyNumberFormat="1" applyFill="1" applyBorder="1" applyAlignment="1" applyProtection="1">
      <alignment horizontal="right"/>
      <protection locked="0"/>
    </xf>
    <xf numFmtId="9" fontId="0" fillId="39" borderId="11" xfId="92" applyFont="1" applyFill="1" applyBorder="1" applyAlignment="1" applyProtection="1">
      <alignment horizontal="right"/>
      <protection locked="0"/>
    </xf>
    <xf numFmtId="0" fontId="46" fillId="0" borderId="20" xfId="82" applyFont="1" applyBorder="1"/>
    <xf numFmtId="166" fontId="6" fillId="0" borderId="10" xfId="56" applyNumberFormat="1" applyFont="1" applyFill="1" applyBorder="1"/>
    <xf numFmtId="166" fontId="6" fillId="0" borderId="16" xfId="56" applyNumberFormat="1" applyFont="1" applyFill="1" applyBorder="1"/>
    <xf numFmtId="165" fontId="0" fillId="0" borderId="17" xfId="0" applyNumberFormat="1" applyBorder="1"/>
    <xf numFmtId="0" fontId="28" fillId="0" borderId="12" xfId="72" applyBorder="1" applyAlignment="1" applyProtection="1"/>
    <xf numFmtId="0" fontId="0" fillId="0" borderId="38" xfId="0" applyBorder="1" applyAlignment="1">
      <alignment horizontal="right"/>
    </xf>
    <xf numFmtId="9" fontId="46" fillId="39" borderId="12" xfId="92" applyFont="1" applyFill="1" applyBorder="1" applyProtection="1">
      <protection locked="0"/>
    </xf>
    <xf numFmtId="164" fontId="48" fillId="0" borderId="30" xfId="82" applyNumberFormat="1" applyFont="1" applyBorder="1"/>
    <xf numFmtId="0" fontId="46" fillId="0" borderId="48" xfId="82" applyFont="1" applyBorder="1"/>
    <xf numFmtId="164" fontId="46" fillId="39" borderId="49" xfId="82" applyNumberFormat="1" applyFont="1" applyFill="1" applyBorder="1" applyProtection="1">
      <protection locked="0"/>
    </xf>
    <xf numFmtId="0" fontId="46" fillId="39" borderId="35" xfId="82" applyFont="1" applyFill="1" applyBorder="1" applyAlignment="1" applyProtection="1">
      <alignment horizontal="center"/>
      <protection locked="0"/>
    </xf>
    <xf numFmtId="0" fontId="46" fillId="39" borderId="49" xfId="82" applyFont="1" applyFill="1" applyBorder="1" applyAlignment="1" applyProtection="1">
      <alignment horizontal="center"/>
      <protection locked="0"/>
    </xf>
    <xf numFmtId="166" fontId="46" fillId="39" borderId="49" xfId="56" applyNumberFormat="1" applyFont="1" applyFill="1" applyBorder="1" applyProtection="1">
      <protection locked="0"/>
    </xf>
    <xf numFmtId="0" fontId="46" fillId="39" borderId="50" xfId="82" applyFont="1" applyFill="1" applyBorder="1" applyProtection="1">
      <protection locked="0"/>
    </xf>
    <xf numFmtId="166" fontId="46" fillId="39" borderId="51" xfId="56" applyNumberFormat="1" applyFont="1" applyFill="1" applyBorder="1" applyProtection="1">
      <protection locked="0"/>
    </xf>
    <xf numFmtId="166" fontId="46" fillId="39" borderId="35" xfId="56" applyNumberFormat="1" applyFont="1" applyFill="1" applyBorder="1" applyProtection="1">
      <protection locked="0"/>
    </xf>
    <xf numFmtId="0" fontId="46" fillId="39" borderId="49" xfId="82" applyFont="1" applyFill="1" applyBorder="1" applyProtection="1">
      <protection locked="0"/>
    </xf>
    <xf numFmtId="1" fontId="46" fillId="39" borderId="49" xfId="82" applyNumberFormat="1" applyFont="1" applyFill="1" applyBorder="1" applyProtection="1">
      <protection locked="0"/>
    </xf>
    <xf numFmtId="0" fontId="46" fillId="0" borderId="33" xfId="82" applyFont="1" applyBorder="1"/>
    <xf numFmtId="0" fontId="48" fillId="24" borderId="25" xfId="82" applyFont="1" applyFill="1" applyBorder="1" applyAlignment="1">
      <alignment horizontal="center" wrapText="1"/>
    </xf>
    <xf numFmtId="0" fontId="45" fillId="0" borderId="46" xfId="82" applyFont="1" applyBorder="1"/>
    <xf numFmtId="9" fontId="46" fillId="39" borderId="23" xfId="92" applyFont="1" applyFill="1" applyBorder="1" applyProtection="1">
      <protection locked="0"/>
    </xf>
    <xf numFmtId="9" fontId="46" fillId="39" borderId="23" xfId="82" applyNumberFormat="1" applyFont="1" applyFill="1" applyBorder="1" applyProtection="1">
      <protection locked="0"/>
    </xf>
    <xf numFmtId="164" fontId="46" fillId="39" borderId="25" xfId="82" applyNumberFormat="1" applyFont="1" applyFill="1" applyBorder="1" applyProtection="1">
      <protection locked="0"/>
    </xf>
    <xf numFmtId="166" fontId="6" fillId="0" borderId="18" xfId="56" applyNumberFormat="1" applyFont="1" applyFill="1" applyBorder="1"/>
    <xf numFmtId="0" fontId="48" fillId="24" borderId="17" xfId="82" applyFont="1" applyFill="1" applyBorder="1" applyAlignment="1">
      <alignment horizontal="left"/>
    </xf>
    <xf numFmtId="0" fontId="44" fillId="24" borderId="12" xfId="0" applyFont="1" applyFill="1" applyBorder="1" applyAlignment="1">
      <alignment horizontal="center" wrapText="1"/>
    </xf>
    <xf numFmtId="1" fontId="48" fillId="24" borderId="11" xfId="0" applyNumberFormat="1" applyFont="1" applyFill="1" applyBorder="1" applyAlignment="1">
      <alignment horizontal="left" vertical="center" wrapText="1"/>
    </xf>
    <xf numFmtId="0" fontId="78" fillId="0" borderId="10" xfId="0" applyFont="1" applyBorder="1" applyAlignment="1">
      <alignment vertical="center"/>
    </xf>
    <xf numFmtId="0" fontId="6" fillId="25" borderId="0" xfId="82" applyFont="1" applyFill="1"/>
    <xf numFmtId="0" fontId="46" fillId="24" borderId="19" xfId="82" applyFont="1" applyFill="1" applyBorder="1" applyAlignment="1">
      <alignment horizontal="center"/>
    </xf>
    <xf numFmtId="0" fontId="79" fillId="24" borderId="15" xfId="82" applyFont="1" applyFill="1" applyBorder="1"/>
    <xf numFmtId="0" fontId="79" fillId="24" borderId="16" xfId="82" applyFont="1" applyFill="1" applyBorder="1"/>
    <xf numFmtId="0" fontId="79" fillId="24" borderId="0" xfId="82" applyFont="1" applyFill="1"/>
    <xf numFmtId="0" fontId="80" fillId="24" borderId="0" xfId="82" applyFont="1" applyFill="1"/>
    <xf numFmtId="3" fontId="0" fillId="40" borderId="0" xfId="0" applyNumberFormat="1" applyFill="1" applyAlignment="1">
      <alignment horizontal="center"/>
    </xf>
    <xf numFmtId="3" fontId="0" fillId="44" borderId="20" xfId="0" applyNumberFormat="1" applyFill="1" applyBorder="1" applyAlignment="1">
      <alignment horizontal="center"/>
    </xf>
    <xf numFmtId="0" fontId="48" fillId="39" borderId="12" xfId="82" applyFont="1" applyFill="1" applyBorder="1" applyProtection="1">
      <protection locked="0"/>
    </xf>
    <xf numFmtId="9" fontId="48" fillId="39" borderId="12" xfId="92" applyFont="1" applyFill="1" applyBorder="1" applyProtection="1">
      <protection locked="0"/>
    </xf>
    <xf numFmtId="164" fontId="48" fillId="39" borderId="36" xfId="82" applyNumberFormat="1" applyFont="1" applyFill="1" applyBorder="1" applyProtection="1">
      <protection locked="0"/>
    </xf>
    <xf numFmtId="0" fontId="45" fillId="0" borderId="42" xfId="82" applyFont="1" applyBorder="1"/>
    <xf numFmtId="0" fontId="48" fillId="24" borderId="23" xfId="82" applyFont="1" applyFill="1" applyBorder="1" applyAlignment="1">
      <alignment horizontal="center"/>
    </xf>
    <xf numFmtId="0" fontId="48" fillId="24" borderId="19" xfId="82" applyFont="1" applyFill="1" applyBorder="1" applyAlignment="1">
      <alignment horizontal="center"/>
    </xf>
    <xf numFmtId="0" fontId="48" fillId="0" borderId="10" xfId="82" applyFont="1" applyBorder="1"/>
    <xf numFmtId="0" fontId="45" fillId="0" borderId="10" xfId="82" applyFont="1" applyBorder="1"/>
    <xf numFmtId="0" fontId="40" fillId="37" borderId="0" xfId="0" applyFont="1" applyFill="1" applyAlignment="1">
      <alignment vertical="center"/>
    </xf>
    <xf numFmtId="0" fontId="81" fillId="24" borderId="41" xfId="0" applyFont="1" applyFill="1" applyBorder="1" applyAlignment="1">
      <alignment horizontal="center" vertical="center"/>
    </xf>
    <xf numFmtId="0" fontId="40" fillId="24" borderId="43" xfId="0" applyFont="1" applyFill="1" applyBorder="1" applyAlignment="1">
      <alignment vertical="center"/>
    </xf>
    <xf numFmtId="170" fontId="46" fillId="0" borderId="24" xfId="57" applyNumberFormat="1" applyFont="1" applyFill="1" applyBorder="1" applyProtection="1"/>
    <xf numFmtId="0" fontId="82"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53" xfId="0" applyFont="1" applyFill="1" applyBorder="1" applyAlignment="1">
      <alignment horizontal="center"/>
    </xf>
    <xf numFmtId="0" fontId="44" fillId="24" borderId="54" xfId="82" applyFont="1" applyFill="1" applyBorder="1" applyAlignment="1">
      <alignment horizontal="center"/>
    </xf>
    <xf numFmtId="0" fontId="44" fillId="24" borderId="54" xfId="110" applyFont="1" applyFill="1" applyBorder="1" applyAlignment="1">
      <alignment horizontal="center" wrapText="1"/>
    </xf>
    <xf numFmtId="3" fontId="44" fillId="24" borderId="54" xfId="110" applyNumberFormat="1" applyFont="1" applyFill="1" applyBorder="1" applyAlignment="1">
      <alignment horizontal="center" wrapText="1"/>
    </xf>
    <xf numFmtId="0" fontId="44" fillId="24" borderId="55" xfId="110" applyFont="1" applyFill="1" applyBorder="1" applyAlignment="1">
      <alignment horizontal="center" wrapText="1"/>
    </xf>
    <xf numFmtId="0" fontId="44" fillId="24" borderId="53" xfId="0" applyFont="1" applyFill="1" applyBorder="1" applyAlignment="1">
      <alignment horizontal="center" wrapText="1"/>
    </xf>
    <xf numFmtId="0" fontId="44" fillId="47" borderId="54" xfId="0" applyFont="1" applyFill="1" applyBorder="1" applyAlignment="1">
      <alignment horizontal="center" wrapText="1"/>
    </xf>
    <xf numFmtId="0" fontId="44" fillId="24" borderId="54" xfId="0" applyFont="1" applyFill="1" applyBorder="1" applyAlignment="1">
      <alignment horizontal="center" wrapText="1"/>
    </xf>
    <xf numFmtId="0" fontId="44" fillId="24" borderId="55" xfId="0" applyFont="1" applyFill="1" applyBorder="1" applyAlignment="1">
      <alignment horizontal="center" wrapText="1"/>
    </xf>
    <xf numFmtId="0" fontId="0" fillId="0" borderId="52"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9" fontId="0" fillId="0" borderId="36" xfId="0" applyNumberFormat="1" applyBorder="1"/>
    <xf numFmtId="9" fontId="27" fillId="0" borderId="36" xfId="92" applyFont="1" applyFill="1" applyBorder="1" applyAlignment="1" applyProtection="1">
      <alignment horizontal="right" vertical="center"/>
      <protection locked="0"/>
    </xf>
    <xf numFmtId="0" fontId="0" fillId="0" borderId="56" xfId="0" applyBorder="1" applyAlignment="1">
      <alignment horizontal="center"/>
    </xf>
    <xf numFmtId="3" fontId="46" fillId="0" borderId="29" xfId="82" applyNumberFormat="1" applyFont="1" applyBorder="1" applyAlignment="1">
      <alignment horizontal="right"/>
    </xf>
    <xf numFmtId="3" fontId="0" fillId="0" borderId="29" xfId="0" applyNumberFormat="1" applyBorder="1"/>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9" fontId="0" fillId="0" borderId="11" xfId="0" applyNumberFormat="1" applyBorder="1" applyAlignment="1">
      <alignment horizontal="right"/>
    </xf>
    <xf numFmtId="170" fontId="46" fillId="39" borderId="36" xfId="57" applyNumberFormat="1" applyFont="1" applyFill="1" applyBorder="1" applyAlignment="1" applyProtection="1">
      <alignment horizontal="right"/>
      <protection locked="0"/>
    </xf>
    <xf numFmtId="170" fontId="46" fillId="39" borderId="36" xfId="57" applyNumberFormat="1" applyFont="1" applyFill="1" applyBorder="1" applyProtection="1">
      <protection locked="0"/>
    </xf>
    <xf numFmtId="10" fontId="46" fillId="39" borderId="36" xfId="92" applyNumberFormat="1" applyFont="1" applyFill="1" applyBorder="1" applyProtection="1">
      <protection locked="0"/>
    </xf>
    <xf numFmtId="10" fontId="46" fillId="39" borderId="27" xfId="92" applyNumberFormat="1" applyFont="1" applyFill="1" applyBorder="1" applyProtection="1">
      <protection locked="0"/>
    </xf>
    <xf numFmtId="0" fontId="58" fillId="0" borderId="0" xfId="72" applyFont="1" applyAlignment="1" applyProtection="1"/>
    <xf numFmtId="2" fontId="0" fillId="39" borderId="11" xfId="0" applyNumberForma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Border="1" applyAlignment="1" applyProtection="1">
      <alignment horizontal="left" wrapText="1"/>
    </xf>
    <xf numFmtId="0" fontId="28" fillId="0" borderId="20" xfId="72" applyBorder="1" applyAlignment="1" applyProtection="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Operational%20resources/RIA%20product%20templates/RI%20template%20final%20v25.xlsx" TargetMode="External"/><Relationship Id="rId1" Type="http://schemas.openxmlformats.org/officeDocument/2006/relationships/externalLinkPath" Target="file:///C:\sites\Resource_Impact_Assessment\Shared%20Documents\Operational%20resources\RIA%20product%20templates\RI%20template%20final%20v2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crukcancerintelligence.shinyapps.io/EarlyDiagnosis/"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crukcancerintelligence.shinyapps.io/EarlyDiagnosis/" TargetMode="External"/><Relationship Id="rId5" Type="http://schemas.openxmlformats.org/officeDocument/2006/relationships/hyperlink" Target="https://digital.nhs.uk/data-and-information/publications/statistical/cancer-registration-statistics/england-2021---summary-counts-only"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ublication/2023-25-nhs-payment-scheme/" TargetMode="External"/><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ublication/2023-25-nhs-payment-schem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5D40-5DDC-4F72-8963-69A24B8CE3F9}">
  <sheetPr>
    <tabColor theme="1" tint="0.14999847407452621"/>
    <pageSetUpPr fitToPage="1"/>
  </sheetPr>
  <dimension ref="B2:U43"/>
  <sheetViews>
    <sheetView showGridLines="0" topLeftCell="A4" zoomScale="80" zoomScaleNormal="80" zoomScaleSheetLayoutView="80" workbookViewId="0">
      <selection activeCell="E15" sqref="E15"/>
    </sheetView>
  </sheetViews>
  <sheetFormatPr defaultRowHeight="15" x14ac:dyDescent="0.25"/>
  <cols>
    <col min="1" max="1" width="1.42578125" customWidth="1"/>
    <col min="2" max="2" width="1.85546875" customWidth="1"/>
    <col min="5" max="5" width="13.140625" customWidth="1"/>
    <col min="13" max="13" width="14.5703125" customWidth="1"/>
    <col min="14" max="14" width="8.7109375" customWidth="1"/>
    <col min="15" max="15" width="1.5703125" customWidth="1"/>
    <col min="16" max="16" width="1.42578125" customWidth="1"/>
    <col min="21" max="21" width="31" customWidth="1"/>
  </cols>
  <sheetData>
    <row r="2" spans="2:21" x14ac:dyDescent="0.25">
      <c r="B2" s="171"/>
      <c r="C2" s="329"/>
      <c r="D2" s="329"/>
      <c r="E2" s="329"/>
      <c r="F2" s="329"/>
      <c r="G2" s="329"/>
      <c r="H2" s="329"/>
      <c r="I2" s="329"/>
      <c r="J2" s="329"/>
      <c r="K2" s="329"/>
      <c r="L2" s="329"/>
      <c r="M2" s="329"/>
      <c r="N2" s="329"/>
      <c r="O2" s="156"/>
    </row>
    <row r="3" spans="2:21" x14ac:dyDescent="0.25">
      <c r="B3" s="159"/>
      <c r="O3" s="158"/>
    </row>
    <row r="4" spans="2:21" x14ac:dyDescent="0.25">
      <c r="B4" s="159"/>
      <c r="O4" s="158"/>
    </row>
    <row r="5" spans="2:21" x14ac:dyDescent="0.25">
      <c r="B5" s="159"/>
      <c r="O5" s="158"/>
    </row>
    <row r="6" spans="2:21" ht="46.5" x14ac:dyDescent="0.7">
      <c r="B6" s="159"/>
      <c r="O6" s="158"/>
      <c r="S6" s="360"/>
      <c r="U6" s="361"/>
    </row>
    <row r="7" spans="2:21" x14ac:dyDescent="0.25">
      <c r="B7" s="159"/>
      <c r="O7" s="158"/>
    </row>
    <row r="8" spans="2:21" x14ac:dyDescent="0.25">
      <c r="B8" s="159"/>
      <c r="O8" s="158"/>
    </row>
    <row r="9" spans="2:21" x14ac:dyDescent="0.25">
      <c r="B9" s="159"/>
      <c r="O9" s="158"/>
    </row>
    <row r="10" spans="2:21" x14ac:dyDescent="0.25">
      <c r="B10" s="159"/>
      <c r="C10" s="172"/>
      <c r="D10" s="172"/>
      <c r="E10" s="172"/>
      <c r="F10" s="172"/>
      <c r="G10" s="172"/>
      <c r="H10" s="172"/>
      <c r="I10" s="172"/>
      <c r="J10" s="172"/>
      <c r="K10" s="172"/>
      <c r="L10" s="172"/>
      <c r="M10" s="172"/>
      <c r="N10" s="172"/>
      <c r="O10" s="158"/>
    </row>
    <row r="11" spans="2:21" ht="31.5" x14ac:dyDescent="0.5">
      <c r="B11" s="159"/>
      <c r="C11" s="173" t="s">
        <v>0</v>
      </c>
      <c r="D11" s="172"/>
      <c r="E11" s="172"/>
      <c r="F11" s="172"/>
      <c r="G11" s="172"/>
      <c r="H11" s="172"/>
      <c r="I11" s="172"/>
      <c r="J11" s="172"/>
      <c r="K11" s="172"/>
      <c r="L11" s="172"/>
      <c r="M11" s="172"/>
      <c r="N11" s="172"/>
      <c r="O11" s="158"/>
    </row>
    <row r="12" spans="2:21" x14ac:dyDescent="0.25">
      <c r="B12" s="159"/>
      <c r="C12" s="172"/>
      <c r="D12" s="172"/>
      <c r="E12" s="172"/>
      <c r="F12" s="172"/>
      <c r="G12" s="172"/>
      <c r="H12" s="172"/>
      <c r="I12" s="172"/>
      <c r="J12" s="172"/>
      <c r="K12" s="172"/>
      <c r="L12" s="172"/>
      <c r="M12" s="172"/>
      <c r="N12" s="172"/>
      <c r="O12" s="158"/>
    </row>
    <row r="13" spans="2:21" x14ac:dyDescent="0.25">
      <c r="B13" s="159"/>
      <c r="O13" s="158"/>
    </row>
    <row r="14" spans="2:21" ht="31.5" x14ac:dyDescent="0.5">
      <c r="B14" s="159"/>
      <c r="C14" s="175" t="s">
        <v>1</v>
      </c>
      <c r="O14" s="158"/>
    </row>
    <row r="15" spans="2:21" ht="31.5" x14ac:dyDescent="0.25">
      <c r="B15" s="159"/>
      <c r="C15" s="347" t="s">
        <v>973</v>
      </c>
      <c r="O15" s="158"/>
    </row>
    <row r="16" spans="2:21" ht="31.5" x14ac:dyDescent="0.25">
      <c r="B16" s="159"/>
      <c r="C16" s="347" t="s">
        <v>974</v>
      </c>
      <c r="O16" s="158"/>
    </row>
    <row r="17" spans="2:15" ht="31.5" x14ac:dyDescent="0.25">
      <c r="B17" s="159"/>
      <c r="C17" s="347" t="s">
        <v>975</v>
      </c>
      <c r="O17" s="158"/>
    </row>
    <row r="18" spans="2:15" ht="31.5" x14ac:dyDescent="0.5">
      <c r="B18" s="159"/>
      <c r="D18" s="176"/>
      <c r="O18" s="158"/>
    </row>
    <row r="19" spans="2:15" ht="31.5" x14ac:dyDescent="0.5">
      <c r="B19" s="159"/>
      <c r="C19" s="347" t="s">
        <v>1098</v>
      </c>
      <c r="D19" s="176"/>
      <c r="O19" s="158"/>
    </row>
    <row r="20" spans="2:15" ht="31.5" x14ac:dyDescent="0.5">
      <c r="B20" s="159"/>
      <c r="D20" s="176"/>
      <c r="O20" s="158"/>
    </row>
    <row r="21" spans="2:15" ht="31.5" x14ac:dyDescent="0.5">
      <c r="B21" s="159"/>
      <c r="C21" s="174" t="s">
        <v>943</v>
      </c>
      <c r="D21" s="176"/>
      <c r="O21" s="158"/>
    </row>
    <row r="22" spans="2:15" ht="31.5" x14ac:dyDescent="0.5">
      <c r="B22" s="159"/>
      <c r="D22" s="176"/>
      <c r="O22" s="158"/>
    </row>
    <row r="23" spans="2:15" ht="31.5" x14ac:dyDescent="0.5">
      <c r="B23" s="159"/>
      <c r="D23" s="176"/>
      <c r="O23" s="158"/>
    </row>
    <row r="24" spans="2:15" ht="31.5" x14ac:dyDescent="0.5">
      <c r="B24" s="159"/>
      <c r="C24" s="346"/>
      <c r="D24" s="176"/>
      <c r="O24" s="158"/>
    </row>
    <row r="25" spans="2:15" x14ac:dyDescent="0.25">
      <c r="B25" s="159"/>
      <c r="O25" s="158"/>
    </row>
    <row r="26" spans="2:15" x14ac:dyDescent="0.25">
      <c r="B26" s="159"/>
      <c r="O26" s="158"/>
    </row>
    <row r="27" spans="2:15" x14ac:dyDescent="0.25">
      <c r="B27" s="159"/>
      <c r="O27" s="158"/>
    </row>
    <row r="28" spans="2:15" x14ac:dyDescent="0.25">
      <c r="B28" s="159"/>
      <c r="O28" s="158"/>
    </row>
    <row r="29" spans="2:15" x14ac:dyDescent="0.25">
      <c r="B29" s="159"/>
      <c r="O29" s="158"/>
    </row>
    <row r="30" spans="2:15" x14ac:dyDescent="0.25">
      <c r="B30" s="159"/>
      <c r="O30" s="158"/>
    </row>
    <row r="31" spans="2:15" x14ac:dyDescent="0.25">
      <c r="B31" s="159"/>
      <c r="O31" s="158"/>
    </row>
    <row r="32" spans="2:15" x14ac:dyDescent="0.25">
      <c r="B32" s="159"/>
      <c r="O32" s="158"/>
    </row>
    <row r="33" spans="2:15" x14ac:dyDescent="0.25">
      <c r="B33" s="159"/>
      <c r="O33" s="158"/>
    </row>
    <row r="34" spans="2:15" x14ac:dyDescent="0.25">
      <c r="B34" s="159"/>
      <c r="O34" s="158"/>
    </row>
    <row r="35" spans="2:15" x14ac:dyDescent="0.25">
      <c r="B35" s="159"/>
      <c r="C35" s="149" t="s">
        <v>2</v>
      </c>
      <c r="D35" s="197"/>
      <c r="E35" s="167"/>
      <c r="F35" s="238" t="s">
        <v>896</v>
      </c>
      <c r="G35" s="197"/>
      <c r="H35" s="197"/>
      <c r="I35" s="197"/>
      <c r="J35" s="197"/>
      <c r="K35" s="197"/>
      <c r="L35" s="197"/>
      <c r="M35" s="167"/>
      <c r="O35" s="158"/>
    </row>
    <row r="36" spans="2:15" x14ac:dyDescent="0.25">
      <c r="B36" s="159"/>
      <c r="C36" s="149" t="s">
        <v>3</v>
      </c>
      <c r="D36" s="197"/>
      <c r="E36" s="167"/>
      <c r="F36" s="238" t="s">
        <v>977</v>
      </c>
      <c r="G36" s="197"/>
      <c r="H36" s="197"/>
      <c r="I36" s="197"/>
      <c r="J36" s="197"/>
      <c r="K36" s="197"/>
      <c r="L36" s="197"/>
      <c r="M36" s="167"/>
      <c r="O36" s="158"/>
    </row>
    <row r="37" spans="2:15" x14ac:dyDescent="0.25">
      <c r="B37" s="159"/>
      <c r="C37" s="599" t="s">
        <v>4</v>
      </c>
      <c r="D37" s="171"/>
      <c r="E37" s="156"/>
      <c r="F37" s="171" t="s">
        <v>978</v>
      </c>
      <c r="G37" s="329"/>
      <c r="H37" s="329"/>
      <c r="I37" s="329"/>
      <c r="J37" s="329"/>
      <c r="K37" s="329"/>
      <c r="L37" s="329"/>
      <c r="M37" s="156"/>
      <c r="O37" s="158"/>
    </row>
    <row r="38" spans="2:15" x14ac:dyDescent="0.25">
      <c r="B38" s="159"/>
      <c r="C38" s="599" t="s">
        <v>5</v>
      </c>
      <c r="D38" s="171"/>
      <c r="E38" s="156"/>
      <c r="F38" s="171" t="s">
        <v>976</v>
      </c>
      <c r="G38" s="329"/>
      <c r="H38" s="329"/>
      <c r="I38" s="329"/>
      <c r="J38" s="329"/>
      <c r="K38" s="329"/>
      <c r="L38" s="329"/>
      <c r="M38" s="156"/>
      <c r="O38" s="158"/>
    </row>
    <row r="39" spans="2:15" x14ac:dyDescent="0.25">
      <c r="B39" s="159"/>
      <c r="C39" s="238" t="s">
        <v>6</v>
      </c>
      <c r="D39" s="197"/>
      <c r="E39" s="167"/>
      <c r="F39" s="238" t="s">
        <v>979</v>
      </c>
      <c r="G39" s="197"/>
      <c r="H39" s="197"/>
      <c r="I39" s="197"/>
      <c r="J39" s="197"/>
      <c r="K39" s="197"/>
      <c r="L39" s="197"/>
      <c r="M39" s="167"/>
      <c r="O39" s="158"/>
    </row>
    <row r="40" spans="2:15" x14ac:dyDescent="0.25">
      <c r="B40" s="159"/>
      <c r="C40" s="149" t="s">
        <v>7</v>
      </c>
      <c r="D40" s="197"/>
      <c r="E40" s="167"/>
      <c r="F40" s="238" t="s">
        <v>897</v>
      </c>
      <c r="G40" s="197"/>
      <c r="H40" s="197"/>
      <c r="I40" s="197"/>
      <c r="J40" s="197"/>
      <c r="K40" s="197"/>
      <c r="L40" s="197"/>
      <c r="M40" s="167"/>
      <c r="O40" s="158"/>
    </row>
    <row r="41" spans="2:15" x14ac:dyDescent="0.25">
      <c r="B41" s="159"/>
      <c r="C41" s="149" t="s">
        <v>8</v>
      </c>
      <c r="D41" s="197"/>
      <c r="E41" s="167"/>
      <c r="F41" s="238" t="s">
        <v>980</v>
      </c>
      <c r="G41" s="197"/>
      <c r="H41" s="197"/>
      <c r="I41" s="197"/>
      <c r="J41" s="197"/>
      <c r="K41" s="197"/>
      <c r="L41" s="197"/>
      <c r="M41" s="167"/>
      <c r="O41" s="158"/>
    </row>
    <row r="42" spans="2:15" x14ac:dyDescent="0.25">
      <c r="B42" s="159"/>
      <c r="C42" s="149" t="s">
        <v>9</v>
      </c>
      <c r="D42" s="197"/>
      <c r="E42" s="167"/>
      <c r="F42" s="238" t="s">
        <v>944</v>
      </c>
      <c r="G42" s="197"/>
      <c r="H42" s="197"/>
      <c r="I42" s="197"/>
      <c r="J42" s="197"/>
      <c r="K42" s="197"/>
      <c r="L42" s="197"/>
      <c r="M42" s="167"/>
      <c r="O42" s="158"/>
    </row>
    <row r="43" spans="2:15" x14ac:dyDescent="0.25">
      <c r="B43" s="160"/>
      <c r="C43" s="161"/>
      <c r="D43" s="161"/>
      <c r="E43" s="161"/>
      <c r="F43" s="161"/>
      <c r="G43" s="161"/>
      <c r="H43" s="161"/>
      <c r="I43" s="161"/>
      <c r="J43" s="161"/>
      <c r="K43" s="161"/>
      <c r="L43" s="161"/>
      <c r="M43" s="161"/>
      <c r="N43" s="161"/>
      <c r="O43" s="162"/>
    </row>
  </sheetData>
  <sheetProtection algorithmName="SHA-512" hashValue="8YeXJfTsDcvF9vXEK97pV5XGb/XXVDgpjvOyfd+vpN/CocxFlrZTyT6fu+3RR/N1tvyjBzyxjpCif4FBARsrvg==" saltValue="DOMyTYAznZJzykHZqR8JJw==" spinCount="100000" sheet="1" objects="1" scenarios="1"/>
  <pageMargins left="0.23622047244094491" right="0.23622047244094491" top="0.74803149606299213" bottom="0.74803149606299213" header="0.31496062992125984" footer="0.31496062992125984"/>
  <pageSetup paperSize="9" scale="81"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FCC8-5AA1-4240-9C7B-55A8327B98F0}">
  <sheetPr>
    <tabColor theme="1"/>
  </sheetPr>
  <dimension ref="A1:X102"/>
  <sheetViews>
    <sheetView showGridLines="0" zoomScale="80" zoomScaleNormal="80" workbookViewId="0">
      <selection activeCell="D16" sqref="D16"/>
    </sheetView>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81"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778" t="s">
        <v>1070</v>
      </c>
      <c r="B1" s="778"/>
      <c r="C1" s="778"/>
      <c r="D1" s="778"/>
      <c r="E1" s="778"/>
      <c r="F1" s="778"/>
      <c r="G1" s="778"/>
      <c r="H1" s="778"/>
      <c r="I1" s="778"/>
      <c r="J1" s="778"/>
      <c r="K1" s="778"/>
      <c r="L1" s="778"/>
      <c r="M1" s="778"/>
    </row>
    <row r="2" spans="1:24" ht="14.45" customHeight="1" thickBot="1" x14ac:dyDescent="0.3">
      <c r="A2" s="129"/>
      <c r="B2" s="129"/>
      <c r="C2" s="129"/>
      <c r="D2" s="129"/>
      <c r="E2" s="129"/>
      <c r="F2" s="129"/>
      <c r="G2" s="129"/>
      <c r="H2" s="129"/>
      <c r="I2" s="129"/>
      <c r="J2" s="129"/>
      <c r="K2" s="129"/>
      <c r="L2" s="129"/>
      <c r="M2" s="129"/>
    </row>
    <row r="3" spans="1:24" ht="14.45" customHeight="1" x14ac:dyDescent="0.25">
      <c r="A3" s="129"/>
      <c r="B3" s="779" t="s">
        <v>187</v>
      </c>
      <c r="C3" s="780"/>
      <c r="D3" s="129"/>
      <c r="E3" s="129"/>
      <c r="F3" s="129"/>
      <c r="G3" s="129"/>
      <c r="H3" s="129"/>
      <c r="I3" s="129"/>
      <c r="J3" s="129"/>
      <c r="K3" s="129"/>
      <c r="L3" s="129"/>
      <c r="M3" s="129"/>
    </row>
    <row r="4" spans="1:24" ht="14.45" customHeight="1" x14ac:dyDescent="0.25">
      <c r="A4" s="129"/>
      <c r="B4" s="781" t="s">
        <v>1071</v>
      </c>
      <c r="C4" s="813" t="s">
        <v>1072</v>
      </c>
      <c r="D4" s="782" t="s">
        <v>1073</v>
      </c>
      <c r="E4" s="129"/>
      <c r="F4" s="129"/>
      <c r="G4" s="129"/>
      <c r="H4" s="129"/>
      <c r="I4" s="129"/>
      <c r="J4" s="129"/>
      <c r="K4" s="129"/>
      <c r="L4" s="129"/>
      <c r="M4" s="129"/>
    </row>
    <row r="5" spans="1:24" ht="14.45" customHeight="1" x14ac:dyDescent="0.25">
      <c r="A5" s="129"/>
      <c r="B5" s="781" t="s">
        <v>1074</v>
      </c>
      <c r="C5" s="814">
        <v>9100</v>
      </c>
      <c r="D5" s="129"/>
      <c r="E5" s="129"/>
      <c r="F5" s="129"/>
      <c r="G5" s="129"/>
      <c r="H5" s="129"/>
      <c r="I5" s="129"/>
      <c r="J5" s="129"/>
      <c r="K5" s="129"/>
      <c r="L5" s="129"/>
      <c r="M5" s="129"/>
    </row>
    <row r="6" spans="1:24" ht="14.45" customHeight="1" x14ac:dyDescent="0.25">
      <c r="A6" s="129"/>
      <c r="B6" s="781" t="s">
        <v>1075</v>
      </c>
      <c r="C6" s="815">
        <v>0.13800000000000001</v>
      </c>
      <c r="D6" s="129"/>
      <c r="E6" s="129"/>
      <c r="F6" s="129"/>
      <c r="G6" s="129"/>
      <c r="H6" s="129"/>
      <c r="I6" s="129"/>
      <c r="J6" s="129"/>
      <c r="K6" s="129"/>
      <c r="L6" s="129"/>
      <c r="M6" s="129"/>
    </row>
    <row r="7" spans="1:24" ht="14.45" customHeight="1" x14ac:dyDescent="0.25">
      <c r="A7" s="129"/>
      <c r="B7" s="781" t="s">
        <v>1076</v>
      </c>
      <c r="C7" s="815">
        <v>0.23780000000000001</v>
      </c>
      <c r="D7" s="129"/>
      <c r="E7" s="129"/>
      <c r="F7" s="129"/>
      <c r="G7" s="129"/>
      <c r="H7" s="129"/>
      <c r="I7" s="129"/>
      <c r="J7" s="129"/>
      <c r="K7" s="129"/>
      <c r="L7" s="129"/>
      <c r="M7" s="129"/>
    </row>
    <row r="8" spans="1:24" ht="14.45" customHeight="1" x14ac:dyDescent="0.25">
      <c r="A8" s="129"/>
      <c r="B8" s="781" t="s">
        <v>1077</v>
      </c>
      <c r="C8" s="815">
        <v>5.0000000000000001E-3</v>
      </c>
      <c r="D8" s="129"/>
      <c r="E8" s="129"/>
      <c r="F8" s="129"/>
      <c r="G8" s="129"/>
      <c r="H8" s="129"/>
      <c r="I8" s="129"/>
      <c r="J8" s="129"/>
      <c r="K8" s="129"/>
      <c r="L8" s="129"/>
      <c r="M8" s="129"/>
    </row>
    <row r="9" spans="1:24" ht="14.45" customHeight="1" thickBot="1" x14ac:dyDescent="0.3">
      <c r="A9" s="129"/>
      <c r="B9" s="783" t="s">
        <v>1078</v>
      </c>
      <c r="C9" s="816">
        <v>0</v>
      </c>
      <c r="D9" s="129"/>
      <c r="E9" s="129"/>
      <c r="F9" s="129"/>
      <c r="G9" s="129"/>
      <c r="H9" s="129"/>
      <c r="I9" s="129"/>
      <c r="J9" s="129"/>
      <c r="K9" s="129"/>
      <c r="L9" s="129"/>
      <c r="M9" s="129"/>
      <c r="R9" s="784"/>
    </row>
    <row r="10" spans="1:24" ht="15.75" thickBot="1" x14ac:dyDescent="0.3">
      <c r="P10" s="785"/>
      <c r="R10" s="785"/>
    </row>
    <row r="11" spans="1:24" ht="109.5" customHeight="1" thickBot="1" x14ac:dyDescent="0.3">
      <c r="A11" s="786" t="s">
        <v>768</v>
      </c>
      <c r="B11" s="787" t="s">
        <v>1079</v>
      </c>
      <c r="C11" s="788" t="s">
        <v>1080</v>
      </c>
      <c r="D11" s="788" t="s">
        <v>1081</v>
      </c>
      <c r="E11" s="788" t="s">
        <v>1082</v>
      </c>
      <c r="F11" s="788" t="s">
        <v>1083</v>
      </c>
      <c r="G11" s="789" t="s">
        <v>1084</v>
      </c>
      <c r="H11" s="788" t="s">
        <v>1085</v>
      </c>
      <c r="I11" s="790" t="s">
        <v>1086</v>
      </c>
      <c r="J11" s="791" t="s">
        <v>1087</v>
      </c>
      <c r="K11" s="792" t="s">
        <v>771</v>
      </c>
      <c r="L11" s="793" t="s">
        <v>769</v>
      </c>
      <c r="M11" s="794" t="s">
        <v>770</v>
      </c>
      <c r="O11" t="s">
        <v>1072</v>
      </c>
      <c r="P11" t="s">
        <v>1088</v>
      </c>
      <c r="Q11" t="s">
        <v>1089</v>
      </c>
      <c r="R11" t="s">
        <v>1090</v>
      </c>
    </row>
    <row r="12" spans="1:24" x14ac:dyDescent="0.25">
      <c r="A12" s="795">
        <v>2</v>
      </c>
      <c r="B12" s="796" t="s">
        <v>772</v>
      </c>
      <c r="C12" s="797">
        <f>HLOOKUP($C$4,$O$11:$R$41,2,FALSE)</f>
        <v>23615</v>
      </c>
      <c r="D12" s="797">
        <f>C12*$C$9</f>
        <v>0</v>
      </c>
      <c r="E12" s="797">
        <f>C12*(100%+$C$9)</f>
        <v>23615</v>
      </c>
      <c r="F12" s="797">
        <f>(E12-$C$5)*$C$6</f>
        <v>2003.0700000000002</v>
      </c>
      <c r="G12" s="798">
        <f>E12*$C$8</f>
        <v>118.075</v>
      </c>
      <c r="H12" s="797">
        <f>E12*$C$7</f>
        <v>5615.6469999999999</v>
      </c>
      <c r="I12" s="799">
        <f>SUM(E12:H12)</f>
        <v>31351.792000000001</v>
      </c>
      <c r="J12" s="800">
        <v>1560</v>
      </c>
      <c r="K12" s="801">
        <f>ROUND(I12/J12,2)</f>
        <v>20.100000000000001</v>
      </c>
      <c r="L12" s="802">
        <v>0.41</v>
      </c>
      <c r="M12" s="803">
        <v>0.83</v>
      </c>
      <c r="O12" s="784">
        <v>23615</v>
      </c>
      <c r="P12" s="286">
        <v>29029</v>
      </c>
      <c r="Q12">
        <v>28166</v>
      </c>
      <c r="R12">
        <v>24873</v>
      </c>
      <c r="V12" s="171"/>
      <c r="W12" s="329"/>
      <c r="X12" s="156"/>
    </row>
    <row r="13" spans="1:24" x14ac:dyDescent="0.25">
      <c r="A13" s="494">
        <v>2</v>
      </c>
      <c r="B13" s="485" t="s">
        <v>773</v>
      </c>
      <c r="C13" s="482">
        <f>HLOOKUP($C$4,$O$11:$R$41,3,FALSE)</f>
        <v>23615</v>
      </c>
      <c r="D13" s="482">
        <f t="shared" ref="D13:D47" si="0">C13*$C$9</f>
        <v>0</v>
      </c>
      <c r="E13" s="482">
        <f t="shared" ref="E13:E47" si="1">C13*(100%+$C$9)</f>
        <v>23615</v>
      </c>
      <c r="F13" s="482">
        <f t="shared" ref="F13:F47" si="2">(E13-$C$5)*$C$6</f>
        <v>2003.0700000000002</v>
      </c>
      <c r="G13" s="486">
        <f t="shared" ref="G13:G47" si="3">E13*$C$8</f>
        <v>118.075</v>
      </c>
      <c r="H13" s="482">
        <f t="shared" ref="H13:H47" si="4">E13*$C$7</f>
        <v>5615.6469999999999</v>
      </c>
      <c r="I13" s="799">
        <f t="shared" ref="I13:I47" si="5">SUM(E13:H13)</f>
        <v>31351.792000000001</v>
      </c>
      <c r="J13" s="128">
        <v>1560</v>
      </c>
      <c r="K13" s="801">
        <f t="shared" ref="K13:K47" si="6">ROUND(I13/J13,2)</f>
        <v>20.100000000000001</v>
      </c>
      <c r="L13" s="483">
        <v>0.41</v>
      </c>
      <c r="M13" s="804">
        <v>0.83</v>
      </c>
      <c r="O13" s="784">
        <v>23615</v>
      </c>
      <c r="P13" s="286">
        <v>29029</v>
      </c>
      <c r="Q13">
        <v>28166</v>
      </c>
      <c r="R13">
        <v>24873</v>
      </c>
      <c r="V13" s="540" t="s">
        <v>806</v>
      </c>
      <c r="X13" s="158"/>
    </row>
    <row r="14" spans="1:24" x14ac:dyDescent="0.25">
      <c r="A14" s="494">
        <v>3</v>
      </c>
      <c r="B14" s="485" t="s">
        <v>774</v>
      </c>
      <c r="C14" s="482">
        <f>HLOOKUP($C$4,$O$11:$R$41,4,FALSE)</f>
        <v>24071</v>
      </c>
      <c r="D14" s="482">
        <f t="shared" si="0"/>
        <v>0</v>
      </c>
      <c r="E14" s="482">
        <f t="shared" si="1"/>
        <v>24071</v>
      </c>
      <c r="F14" s="482">
        <f t="shared" si="2"/>
        <v>2065.998</v>
      </c>
      <c r="G14" s="486">
        <f t="shared" si="3"/>
        <v>120.355</v>
      </c>
      <c r="H14" s="482">
        <f t="shared" si="4"/>
        <v>5724.0838000000003</v>
      </c>
      <c r="I14" s="799">
        <f t="shared" si="5"/>
        <v>31981.436799999999</v>
      </c>
      <c r="J14" s="128">
        <v>1560</v>
      </c>
      <c r="K14" s="801">
        <f t="shared" si="6"/>
        <v>20.5</v>
      </c>
      <c r="L14" s="483">
        <v>0.35</v>
      </c>
      <c r="M14" s="804">
        <v>0.69</v>
      </c>
      <c r="O14" s="784">
        <v>24071</v>
      </c>
      <c r="P14" s="286">
        <v>29485</v>
      </c>
      <c r="Q14">
        <v>28622</v>
      </c>
      <c r="R14">
        <v>25329</v>
      </c>
      <c r="S14" t="s">
        <v>1072</v>
      </c>
      <c r="V14" s="541" t="s">
        <v>807</v>
      </c>
      <c r="W14">
        <v>260</v>
      </c>
      <c r="X14" s="158"/>
    </row>
    <row r="15" spans="1:24" x14ac:dyDescent="0.25">
      <c r="A15" s="494">
        <v>3</v>
      </c>
      <c r="B15" s="485" t="s">
        <v>775</v>
      </c>
      <c r="C15" s="482">
        <f>HLOOKUP($C$4,$O$11:$R$41,5,FALSE)</f>
        <v>25674</v>
      </c>
      <c r="D15" s="482">
        <f t="shared" si="0"/>
        <v>0</v>
      </c>
      <c r="E15" s="482">
        <f t="shared" si="1"/>
        <v>25674</v>
      </c>
      <c r="F15" s="482">
        <f t="shared" si="2"/>
        <v>2287.212</v>
      </c>
      <c r="G15" s="486">
        <f t="shared" si="3"/>
        <v>128.37</v>
      </c>
      <c r="H15" s="482">
        <f t="shared" si="4"/>
        <v>6105.2772000000004</v>
      </c>
      <c r="I15" s="799">
        <f t="shared" si="5"/>
        <v>34194.859199999999</v>
      </c>
      <c r="J15" s="128">
        <v>1560</v>
      </c>
      <c r="K15" s="801">
        <f t="shared" si="6"/>
        <v>21.92</v>
      </c>
      <c r="L15" s="483">
        <v>0.35</v>
      </c>
      <c r="M15" s="804">
        <v>0.69</v>
      </c>
      <c r="O15" s="784">
        <v>25674</v>
      </c>
      <c r="P15" s="286">
        <v>31088</v>
      </c>
      <c r="Q15">
        <v>30225</v>
      </c>
      <c r="R15">
        <v>26958</v>
      </c>
      <c r="S15" t="s">
        <v>1091</v>
      </c>
      <c r="V15" s="541" t="s">
        <v>808</v>
      </c>
      <c r="W15">
        <v>-40</v>
      </c>
      <c r="X15" s="158"/>
    </row>
    <row r="16" spans="1:24" x14ac:dyDescent="0.25">
      <c r="A16" s="494">
        <v>4</v>
      </c>
      <c r="B16" s="485" t="s">
        <v>776</v>
      </c>
      <c r="C16" s="482">
        <f>HLOOKUP($C$4,$O$11:$R$41,6,FALSE)</f>
        <v>26530</v>
      </c>
      <c r="D16" s="482">
        <f t="shared" si="0"/>
        <v>0</v>
      </c>
      <c r="E16" s="482">
        <f t="shared" si="1"/>
        <v>26530</v>
      </c>
      <c r="F16" s="482">
        <f t="shared" si="2"/>
        <v>2405.34</v>
      </c>
      <c r="G16" s="486">
        <f t="shared" si="3"/>
        <v>132.65</v>
      </c>
      <c r="H16" s="482">
        <f t="shared" si="4"/>
        <v>6308.8340000000007</v>
      </c>
      <c r="I16" s="799">
        <f t="shared" si="5"/>
        <v>35376.824000000001</v>
      </c>
      <c r="J16" s="128">
        <v>1560</v>
      </c>
      <c r="K16" s="801">
        <f t="shared" si="6"/>
        <v>22.68</v>
      </c>
      <c r="L16" s="483">
        <v>0.3</v>
      </c>
      <c r="M16" s="804">
        <v>0.6</v>
      </c>
      <c r="O16" s="784">
        <v>26530</v>
      </c>
      <c r="P16" s="286">
        <v>31944</v>
      </c>
      <c r="Q16">
        <v>31081</v>
      </c>
      <c r="R16">
        <v>27857</v>
      </c>
      <c r="S16" t="s">
        <v>1092</v>
      </c>
      <c r="V16" s="541" t="s">
        <v>809</v>
      </c>
      <c r="W16">
        <v>-2</v>
      </c>
      <c r="X16" s="158"/>
    </row>
    <row r="17" spans="1:24" x14ac:dyDescent="0.25">
      <c r="A17" s="494">
        <v>4</v>
      </c>
      <c r="B17" s="485" t="s">
        <v>777</v>
      </c>
      <c r="C17" s="482">
        <f>HLOOKUP($C$4,$O$11:$R$41,7,FALSE)</f>
        <v>29114</v>
      </c>
      <c r="D17" s="482">
        <f t="shared" si="0"/>
        <v>0</v>
      </c>
      <c r="E17" s="482">
        <f t="shared" si="1"/>
        <v>29114</v>
      </c>
      <c r="F17" s="482">
        <f t="shared" si="2"/>
        <v>2761.9320000000002</v>
      </c>
      <c r="G17" s="486">
        <f t="shared" si="3"/>
        <v>145.57</v>
      </c>
      <c r="H17" s="482">
        <f t="shared" si="4"/>
        <v>6923.3092000000006</v>
      </c>
      <c r="I17" s="799">
        <f t="shared" si="5"/>
        <v>38944.811200000004</v>
      </c>
      <c r="J17" s="128">
        <v>1560</v>
      </c>
      <c r="K17" s="801">
        <f t="shared" si="6"/>
        <v>24.96</v>
      </c>
      <c r="L17" s="483">
        <v>0.3</v>
      </c>
      <c r="M17" s="804">
        <v>0.6</v>
      </c>
      <c r="O17" s="784">
        <v>29114</v>
      </c>
      <c r="P17" s="286">
        <v>34937</v>
      </c>
      <c r="Q17">
        <v>33665</v>
      </c>
      <c r="R17">
        <v>30570</v>
      </c>
      <c r="S17" t="s">
        <v>1093</v>
      </c>
      <c r="V17" s="541" t="s">
        <v>810</v>
      </c>
      <c r="W17">
        <v>-10</v>
      </c>
      <c r="X17" s="158"/>
    </row>
    <row r="18" spans="1:24" x14ac:dyDescent="0.25">
      <c r="A18" s="494">
        <v>5</v>
      </c>
      <c r="B18" s="485" t="s">
        <v>778</v>
      </c>
      <c r="C18" s="482">
        <f>HLOOKUP($C$4,$O$11:$R$41,8,FALSE)</f>
        <v>29970</v>
      </c>
      <c r="D18" s="482">
        <f t="shared" si="0"/>
        <v>0</v>
      </c>
      <c r="E18" s="482">
        <f t="shared" si="1"/>
        <v>29970</v>
      </c>
      <c r="F18" s="482">
        <f t="shared" si="2"/>
        <v>2880.0600000000004</v>
      </c>
      <c r="G18" s="486">
        <f t="shared" si="3"/>
        <v>149.85</v>
      </c>
      <c r="H18" s="482">
        <f t="shared" si="4"/>
        <v>7126.866</v>
      </c>
      <c r="I18" s="799">
        <f t="shared" si="5"/>
        <v>40126.775999999998</v>
      </c>
      <c r="J18" s="128">
        <v>1560</v>
      </c>
      <c r="K18" s="801">
        <f t="shared" si="6"/>
        <v>25.72</v>
      </c>
      <c r="L18" s="483">
        <v>0.3</v>
      </c>
      <c r="M18" s="804">
        <v>0.6</v>
      </c>
      <c r="O18" s="784">
        <v>29970</v>
      </c>
      <c r="P18" s="286">
        <v>35964</v>
      </c>
      <c r="Q18">
        <v>34521</v>
      </c>
      <c r="R18">
        <v>31469</v>
      </c>
      <c r="V18" s="541"/>
      <c r="W18" s="329">
        <v>208</v>
      </c>
      <c r="X18" s="158"/>
    </row>
    <row r="19" spans="1:24" x14ac:dyDescent="0.25">
      <c r="A19" s="494">
        <v>5</v>
      </c>
      <c r="B19" s="485" t="s">
        <v>90</v>
      </c>
      <c r="C19" s="482">
        <f>HLOOKUP($C$4,$O$11:$R$41,9,FALSE)</f>
        <v>32324</v>
      </c>
      <c r="D19" s="482">
        <f t="shared" si="0"/>
        <v>0</v>
      </c>
      <c r="E19" s="482">
        <f t="shared" si="1"/>
        <v>32324</v>
      </c>
      <c r="F19" s="482">
        <f t="shared" si="2"/>
        <v>3204.9120000000003</v>
      </c>
      <c r="G19" s="486">
        <f t="shared" si="3"/>
        <v>161.62</v>
      </c>
      <c r="H19" s="482">
        <f t="shared" si="4"/>
        <v>7686.6472000000003</v>
      </c>
      <c r="I19" s="799">
        <f t="shared" si="5"/>
        <v>43377.179199999999</v>
      </c>
      <c r="J19" s="128">
        <v>1560</v>
      </c>
      <c r="K19" s="801">
        <f t="shared" si="6"/>
        <v>27.81</v>
      </c>
      <c r="L19" s="483">
        <v>0.3</v>
      </c>
      <c r="M19" s="804">
        <v>0.6</v>
      </c>
      <c r="O19" s="784">
        <v>32324</v>
      </c>
      <c r="P19" s="286">
        <v>38789</v>
      </c>
      <c r="Q19">
        <v>37173</v>
      </c>
      <c r="R19">
        <v>33941</v>
      </c>
      <c r="V19" s="541" t="s">
        <v>811</v>
      </c>
      <c r="W19" s="359">
        <f>7.5*W18</f>
        <v>1560</v>
      </c>
      <c r="X19" s="158"/>
    </row>
    <row r="20" spans="1:24" x14ac:dyDescent="0.25">
      <c r="A20" s="494">
        <v>5</v>
      </c>
      <c r="B20" s="485" t="s">
        <v>779</v>
      </c>
      <c r="C20" s="482">
        <f>HLOOKUP($C$4,$O$11:$R$41,10,FALSE)</f>
        <v>36483</v>
      </c>
      <c r="D20" s="482">
        <f t="shared" si="0"/>
        <v>0</v>
      </c>
      <c r="E20" s="482">
        <f t="shared" si="1"/>
        <v>36483</v>
      </c>
      <c r="F20" s="482">
        <f t="shared" si="2"/>
        <v>3778.8540000000003</v>
      </c>
      <c r="G20" s="486">
        <f t="shared" si="3"/>
        <v>182.41499999999999</v>
      </c>
      <c r="H20" s="482">
        <f t="shared" si="4"/>
        <v>8675.6574000000001</v>
      </c>
      <c r="I20" s="799">
        <f t="shared" si="5"/>
        <v>49119.926399999997</v>
      </c>
      <c r="J20" s="128">
        <v>1560</v>
      </c>
      <c r="K20" s="801">
        <f t="shared" si="6"/>
        <v>31.49</v>
      </c>
      <c r="L20" s="483">
        <v>0.3</v>
      </c>
      <c r="M20" s="804">
        <v>0.6</v>
      </c>
      <c r="O20" s="784">
        <v>36483</v>
      </c>
      <c r="P20" s="286">
        <v>43780</v>
      </c>
      <c r="Q20">
        <v>41956</v>
      </c>
      <c r="R20">
        <v>38308</v>
      </c>
      <c r="V20" s="159"/>
      <c r="X20" s="158"/>
    </row>
    <row r="21" spans="1:24" x14ac:dyDescent="0.25">
      <c r="A21" s="494">
        <v>6</v>
      </c>
      <c r="B21" s="485" t="s">
        <v>780</v>
      </c>
      <c r="C21" s="482">
        <f>HLOOKUP($C$4,$O$11:$R$41,11,FALSE)</f>
        <v>37338</v>
      </c>
      <c r="D21" s="482">
        <f t="shared" si="0"/>
        <v>0</v>
      </c>
      <c r="E21" s="482">
        <f t="shared" si="1"/>
        <v>37338</v>
      </c>
      <c r="F21" s="482">
        <f t="shared" si="2"/>
        <v>3896.8440000000005</v>
      </c>
      <c r="G21" s="486">
        <f t="shared" si="3"/>
        <v>186.69</v>
      </c>
      <c r="H21" s="482">
        <f t="shared" si="4"/>
        <v>8878.9763999999996</v>
      </c>
      <c r="I21" s="799">
        <f t="shared" si="5"/>
        <v>50300.510399999999</v>
      </c>
      <c r="J21" s="128">
        <v>1560</v>
      </c>
      <c r="K21" s="801">
        <f t="shared" si="6"/>
        <v>32.24</v>
      </c>
      <c r="L21" s="483">
        <v>0.3</v>
      </c>
      <c r="M21" s="804">
        <v>0.6</v>
      </c>
      <c r="O21" s="784">
        <v>37338</v>
      </c>
      <c r="P21" s="286">
        <v>44806</v>
      </c>
      <c r="Q21">
        <v>42939</v>
      </c>
      <c r="R21">
        <v>39205</v>
      </c>
      <c r="V21" s="541"/>
      <c r="X21" s="158"/>
    </row>
    <row r="22" spans="1:24" x14ac:dyDescent="0.25">
      <c r="A22" s="494">
        <v>6</v>
      </c>
      <c r="B22" s="485" t="s">
        <v>101</v>
      </c>
      <c r="C22" s="482">
        <f>HLOOKUP($C$4,$O$11:$R$41,12,FALSE)</f>
        <v>39405</v>
      </c>
      <c r="D22" s="482">
        <f t="shared" si="0"/>
        <v>0</v>
      </c>
      <c r="E22" s="482">
        <f t="shared" si="1"/>
        <v>39405</v>
      </c>
      <c r="F22" s="482">
        <f t="shared" si="2"/>
        <v>4182.09</v>
      </c>
      <c r="G22" s="486">
        <f t="shared" si="3"/>
        <v>197.02500000000001</v>
      </c>
      <c r="H22" s="482">
        <f t="shared" si="4"/>
        <v>9370.509</v>
      </c>
      <c r="I22" s="799">
        <f t="shared" si="5"/>
        <v>53154.623999999996</v>
      </c>
      <c r="J22" s="128">
        <v>1560</v>
      </c>
      <c r="K22" s="801">
        <f t="shared" si="6"/>
        <v>34.07</v>
      </c>
      <c r="L22" s="483">
        <v>0.3</v>
      </c>
      <c r="M22" s="804">
        <v>0.6</v>
      </c>
      <c r="O22" s="784">
        <v>39405</v>
      </c>
      <c r="P22" s="286">
        <v>47286</v>
      </c>
      <c r="Q22">
        <v>45140</v>
      </c>
      <c r="R22">
        <v>41376</v>
      </c>
      <c r="V22" s="540" t="s">
        <v>798</v>
      </c>
      <c r="X22" s="158"/>
    </row>
    <row r="23" spans="1:24" x14ac:dyDescent="0.25">
      <c r="A23" s="494">
        <v>6</v>
      </c>
      <c r="B23" s="485" t="s">
        <v>781</v>
      </c>
      <c r="C23" s="482">
        <f>HLOOKUP($C$4,$O$11:$R$41,13,FALSE)</f>
        <v>44962</v>
      </c>
      <c r="D23" s="482">
        <f t="shared" si="0"/>
        <v>0</v>
      </c>
      <c r="E23" s="482">
        <f t="shared" si="1"/>
        <v>44962</v>
      </c>
      <c r="F23" s="482">
        <f t="shared" si="2"/>
        <v>4948.9560000000001</v>
      </c>
      <c r="G23" s="486">
        <f t="shared" si="3"/>
        <v>224.81</v>
      </c>
      <c r="H23" s="482">
        <f t="shared" si="4"/>
        <v>10691.963600000001</v>
      </c>
      <c r="I23" s="799">
        <f t="shared" si="5"/>
        <v>60827.729599999999</v>
      </c>
      <c r="J23" s="128">
        <v>1560</v>
      </c>
      <c r="K23" s="801">
        <f t="shared" si="6"/>
        <v>38.99</v>
      </c>
      <c r="L23" s="483">
        <v>0.3</v>
      </c>
      <c r="M23" s="804">
        <v>0.6</v>
      </c>
      <c r="O23" s="784">
        <v>44962</v>
      </c>
      <c r="P23" s="286">
        <v>53134</v>
      </c>
      <c r="Q23">
        <v>50697</v>
      </c>
      <c r="R23">
        <v>47084</v>
      </c>
      <c r="V23" s="541" t="s">
        <v>815</v>
      </c>
      <c r="W23">
        <v>43</v>
      </c>
      <c r="X23" s="158"/>
    </row>
    <row r="24" spans="1:24" x14ac:dyDescent="0.25">
      <c r="A24" s="494">
        <v>7</v>
      </c>
      <c r="B24" s="485" t="s">
        <v>782</v>
      </c>
      <c r="C24" s="482">
        <f>HLOOKUP($C$4,$O$11:$R$41,14,FALSE)</f>
        <v>46148</v>
      </c>
      <c r="D24" s="482">
        <f t="shared" si="0"/>
        <v>0</v>
      </c>
      <c r="E24" s="482">
        <f t="shared" si="1"/>
        <v>46148</v>
      </c>
      <c r="F24" s="482">
        <f t="shared" si="2"/>
        <v>5112.6240000000007</v>
      </c>
      <c r="G24" s="486">
        <f t="shared" si="3"/>
        <v>230.74</v>
      </c>
      <c r="H24" s="482">
        <f t="shared" si="4"/>
        <v>10973.994400000001</v>
      </c>
      <c r="I24" s="799">
        <f t="shared" si="5"/>
        <v>62465.358400000005</v>
      </c>
      <c r="J24" s="128">
        <v>1560</v>
      </c>
      <c r="K24" s="801">
        <f t="shared" si="6"/>
        <v>40.04</v>
      </c>
      <c r="L24" s="483">
        <v>0.3</v>
      </c>
      <c r="M24" s="804">
        <v>0.6</v>
      </c>
      <c r="O24" s="784">
        <v>46148</v>
      </c>
      <c r="P24" s="286">
        <v>54320</v>
      </c>
      <c r="Q24">
        <v>51883</v>
      </c>
      <c r="R24">
        <v>48270</v>
      </c>
      <c r="V24" s="541"/>
      <c r="X24" s="158"/>
    </row>
    <row r="25" spans="1:24" x14ac:dyDescent="0.25">
      <c r="A25" s="494">
        <v>7</v>
      </c>
      <c r="B25" s="485" t="s">
        <v>87</v>
      </c>
      <c r="C25" s="482">
        <f>HLOOKUP($C$4,$O$11:$R$41,15,FALSE)</f>
        <v>48526</v>
      </c>
      <c r="D25" s="482">
        <f t="shared" si="0"/>
        <v>0</v>
      </c>
      <c r="E25" s="482">
        <f t="shared" si="1"/>
        <v>48526</v>
      </c>
      <c r="F25" s="482">
        <f t="shared" si="2"/>
        <v>5440.7880000000005</v>
      </c>
      <c r="G25" s="486">
        <f t="shared" si="3"/>
        <v>242.63</v>
      </c>
      <c r="H25" s="482">
        <f t="shared" si="4"/>
        <v>11539.4828</v>
      </c>
      <c r="I25" s="799">
        <f t="shared" si="5"/>
        <v>65748.900800000003</v>
      </c>
      <c r="J25" s="128">
        <v>1560</v>
      </c>
      <c r="K25" s="801">
        <f t="shared" si="6"/>
        <v>42.15</v>
      </c>
      <c r="L25" s="483">
        <v>0.3</v>
      </c>
      <c r="M25" s="804">
        <v>0.6</v>
      </c>
      <c r="O25" s="784">
        <v>48526</v>
      </c>
      <c r="P25" s="286">
        <v>56698</v>
      </c>
      <c r="Q25">
        <v>54261</v>
      </c>
      <c r="R25">
        <v>50648</v>
      </c>
      <c r="V25" s="541" t="s">
        <v>812</v>
      </c>
      <c r="W25">
        <v>10</v>
      </c>
      <c r="X25" s="158"/>
    </row>
    <row r="26" spans="1:24" x14ac:dyDescent="0.25">
      <c r="A26" s="494">
        <v>7</v>
      </c>
      <c r="B26" s="485" t="s">
        <v>783</v>
      </c>
      <c r="C26" s="482">
        <f>HLOOKUP($C$4,$O$11:$R$41,16,FALSE)</f>
        <v>52809</v>
      </c>
      <c r="D26" s="482">
        <f t="shared" si="0"/>
        <v>0</v>
      </c>
      <c r="E26" s="482">
        <f t="shared" si="1"/>
        <v>52809</v>
      </c>
      <c r="F26" s="482">
        <f t="shared" si="2"/>
        <v>6031.8420000000006</v>
      </c>
      <c r="G26" s="486">
        <f t="shared" si="3"/>
        <v>264.04500000000002</v>
      </c>
      <c r="H26" s="482">
        <f t="shared" si="4"/>
        <v>12557.9802</v>
      </c>
      <c r="I26" s="799">
        <f t="shared" si="5"/>
        <v>71662.867200000008</v>
      </c>
      <c r="J26" s="128">
        <v>1560</v>
      </c>
      <c r="K26" s="801">
        <f t="shared" si="6"/>
        <v>45.94</v>
      </c>
      <c r="L26" s="483">
        <v>0.3</v>
      </c>
      <c r="M26" s="804">
        <v>0.6</v>
      </c>
      <c r="O26" s="784">
        <v>52809</v>
      </c>
      <c r="P26" s="286">
        <v>60981</v>
      </c>
      <c r="Q26">
        <v>58544</v>
      </c>
      <c r="R26">
        <v>54931</v>
      </c>
      <c r="V26" s="541" t="s">
        <v>813</v>
      </c>
      <c r="W26">
        <v>-2</v>
      </c>
      <c r="X26" s="158"/>
    </row>
    <row r="27" spans="1:24" x14ac:dyDescent="0.25">
      <c r="A27" s="494" t="s">
        <v>802</v>
      </c>
      <c r="B27" s="485" t="s">
        <v>784</v>
      </c>
      <c r="C27" s="482">
        <f>HLOOKUP($C$4,$O$11:$R$41,17,FALSE)</f>
        <v>53754.676500000001</v>
      </c>
      <c r="D27" s="482">
        <f t="shared" si="0"/>
        <v>0</v>
      </c>
      <c r="E27" s="482">
        <f t="shared" si="1"/>
        <v>53754.676500000001</v>
      </c>
      <c r="F27" s="482">
        <f t="shared" si="2"/>
        <v>6162.3453570000011</v>
      </c>
      <c r="G27" s="486">
        <f t="shared" si="3"/>
        <v>268.77338250000003</v>
      </c>
      <c r="H27" s="482">
        <f t="shared" si="4"/>
        <v>12782.862071700001</v>
      </c>
      <c r="I27" s="799">
        <f t="shared" si="5"/>
        <v>72968.657311200004</v>
      </c>
      <c r="J27" s="128">
        <v>1560</v>
      </c>
      <c r="K27" s="801">
        <f t="shared" si="6"/>
        <v>46.77</v>
      </c>
      <c r="L27" s="483">
        <v>0.3</v>
      </c>
      <c r="M27" s="804">
        <v>0.6</v>
      </c>
      <c r="O27" s="784">
        <v>53754.676500000001</v>
      </c>
      <c r="P27" s="286">
        <v>61927</v>
      </c>
      <c r="Q27">
        <v>59490</v>
      </c>
      <c r="R27">
        <v>55877</v>
      </c>
      <c r="V27" s="541"/>
      <c r="W27" s="329">
        <v>8</v>
      </c>
      <c r="X27" s="158"/>
    </row>
    <row r="28" spans="1:24" x14ac:dyDescent="0.25">
      <c r="A28" s="494" t="s">
        <v>802</v>
      </c>
      <c r="B28" s="485" t="s">
        <v>96</v>
      </c>
      <c r="C28" s="482">
        <f>HLOOKUP($C$4,$O$11:$R$41,18,FALSE)</f>
        <v>56454</v>
      </c>
      <c r="D28" s="482">
        <f t="shared" si="0"/>
        <v>0</v>
      </c>
      <c r="E28" s="482">
        <f t="shared" si="1"/>
        <v>56454</v>
      </c>
      <c r="F28" s="482">
        <f t="shared" si="2"/>
        <v>6534.8520000000008</v>
      </c>
      <c r="G28" s="486">
        <f t="shared" si="3"/>
        <v>282.27</v>
      </c>
      <c r="H28" s="482">
        <f t="shared" si="4"/>
        <v>13424.761200000001</v>
      </c>
      <c r="I28" s="799">
        <f t="shared" si="5"/>
        <v>76695.883199999997</v>
      </c>
      <c r="J28" s="128">
        <v>1560</v>
      </c>
      <c r="K28" s="801">
        <f t="shared" si="6"/>
        <v>49.16</v>
      </c>
      <c r="L28" s="483">
        <v>0.3</v>
      </c>
      <c r="M28" s="804">
        <v>0.6</v>
      </c>
      <c r="O28" s="784">
        <v>56454</v>
      </c>
      <c r="P28" s="286">
        <v>64626</v>
      </c>
      <c r="Q28">
        <v>62189</v>
      </c>
      <c r="R28">
        <v>58576</v>
      </c>
      <c r="V28" s="541" t="s">
        <v>814</v>
      </c>
      <c r="W28" s="359">
        <f>W27*4*W23</f>
        <v>1376</v>
      </c>
      <c r="X28" s="158"/>
    </row>
    <row r="29" spans="1:24" x14ac:dyDescent="0.25">
      <c r="A29" s="494" t="s">
        <v>802</v>
      </c>
      <c r="B29" s="485" t="s">
        <v>785</v>
      </c>
      <c r="C29" s="482">
        <f>HLOOKUP($C$4,$O$11:$R$41,19,FALSE)</f>
        <v>60504</v>
      </c>
      <c r="D29" s="482">
        <f t="shared" si="0"/>
        <v>0</v>
      </c>
      <c r="E29" s="482">
        <f t="shared" si="1"/>
        <v>60504</v>
      </c>
      <c r="F29" s="482">
        <f t="shared" si="2"/>
        <v>7093.7520000000004</v>
      </c>
      <c r="G29" s="486">
        <f t="shared" si="3"/>
        <v>302.52</v>
      </c>
      <c r="H29" s="482">
        <f t="shared" si="4"/>
        <v>14387.851200000001</v>
      </c>
      <c r="I29" s="799">
        <f t="shared" si="5"/>
        <v>82288.123200000016</v>
      </c>
      <c r="J29" s="128">
        <v>1560</v>
      </c>
      <c r="K29" s="801">
        <f t="shared" si="6"/>
        <v>52.75</v>
      </c>
      <c r="L29" s="483">
        <v>0.3</v>
      </c>
      <c r="M29" s="804">
        <v>0.6</v>
      </c>
      <c r="O29" s="784">
        <v>60504</v>
      </c>
      <c r="P29" s="286">
        <v>68676</v>
      </c>
      <c r="Q29">
        <v>66239</v>
      </c>
      <c r="R29">
        <v>62626</v>
      </c>
      <c r="V29" s="159"/>
      <c r="X29" s="158"/>
    </row>
    <row r="30" spans="1:24" x14ac:dyDescent="0.25">
      <c r="A30" s="494" t="s">
        <v>803</v>
      </c>
      <c r="B30" s="485" t="s">
        <v>786</v>
      </c>
      <c r="C30" s="482">
        <f>HLOOKUP($C$4,$O$11:$R$41,20,FALSE)</f>
        <v>62215</v>
      </c>
      <c r="D30" s="482">
        <f t="shared" si="0"/>
        <v>0</v>
      </c>
      <c r="E30" s="482">
        <f t="shared" si="1"/>
        <v>62215</v>
      </c>
      <c r="F30" s="482">
        <f t="shared" si="2"/>
        <v>7329.8700000000008</v>
      </c>
      <c r="G30" s="486">
        <f t="shared" si="3"/>
        <v>311.07499999999999</v>
      </c>
      <c r="H30" s="482">
        <f t="shared" si="4"/>
        <v>14794.727000000001</v>
      </c>
      <c r="I30" s="799">
        <f t="shared" si="5"/>
        <v>84650.671999999991</v>
      </c>
      <c r="J30" s="128">
        <v>1560</v>
      </c>
      <c r="K30" s="801">
        <f t="shared" si="6"/>
        <v>54.26</v>
      </c>
      <c r="L30" s="483">
        <v>0.3</v>
      </c>
      <c r="M30" s="804">
        <v>0.6</v>
      </c>
      <c r="O30" s="784">
        <v>62215</v>
      </c>
      <c r="P30" s="286">
        <v>70387</v>
      </c>
      <c r="Q30">
        <v>67950</v>
      </c>
      <c r="R30">
        <v>64337</v>
      </c>
      <c r="V30" s="541"/>
      <c r="X30" s="158"/>
    </row>
    <row r="31" spans="1:24" x14ac:dyDescent="0.25">
      <c r="A31" s="494" t="s">
        <v>803</v>
      </c>
      <c r="B31" s="485" t="s">
        <v>787</v>
      </c>
      <c r="C31" s="482">
        <f>HLOOKUP($C$4,$O$11:$R$41,21,FALSE)</f>
        <v>66246</v>
      </c>
      <c r="D31" s="482">
        <f t="shared" si="0"/>
        <v>0</v>
      </c>
      <c r="E31" s="482">
        <f t="shared" si="1"/>
        <v>66246</v>
      </c>
      <c r="F31" s="482">
        <f t="shared" si="2"/>
        <v>7886.148000000001</v>
      </c>
      <c r="G31" s="486">
        <f t="shared" si="3"/>
        <v>331.23</v>
      </c>
      <c r="H31" s="482">
        <f t="shared" si="4"/>
        <v>15753.2988</v>
      </c>
      <c r="I31" s="799">
        <f t="shared" si="5"/>
        <v>90216.676800000001</v>
      </c>
      <c r="J31" s="128">
        <v>1560</v>
      </c>
      <c r="K31" s="801">
        <f t="shared" si="6"/>
        <v>57.83</v>
      </c>
      <c r="L31" s="483">
        <v>0.3</v>
      </c>
      <c r="M31" s="804">
        <v>0.6</v>
      </c>
      <c r="O31" s="784">
        <v>66246</v>
      </c>
      <c r="P31" s="286">
        <v>74418</v>
      </c>
      <c r="Q31">
        <v>71981</v>
      </c>
      <c r="R31">
        <v>68368</v>
      </c>
      <c r="V31" s="540" t="s">
        <v>801</v>
      </c>
      <c r="X31" s="158"/>
    </row>
    <row r="32" spans="1:24" x14ac:dyDescent="0.25">
      <c r="A32" s="494" t="s">
        <v>803</v>
      </c>
      <c r="B32" s="485" t="s">
        <v>788</v>
      </c>
      <c r="C32" s="482">
        <f>HLOOKUP($C$4,$O$11:$R$41,22,FALSE)</f>
        <v>72293</v>
      </c>
      <c r="D32" s="482">
        <f t="shared" si="0"/>
        <v>0</v>
      </c>
      <c r="E32" s="482">
        <f t="shared" si="1"/>
        <v>72293</v>
      </c>
      <c r="F32" s="482">
        <f t="shared" si="2"/>
        <v>8720.634</v>
      </c>
      <c r="G32" s="486">
        <f t="shared" si="3"/>
        <v>361.46500000000003</v>
      </c>
      <c r="H32" s="482">
        <f t="shared" si="4"/>
        <v>17191.275400000002</v>
      </c>
      <c r="I32" s="799">
        <f t="shared" si="5"/>
        <v>98566.374400000001</v>
      </c>
      <c r="J32" s="128">
        <v>1560</v>
      </c>
      <c r="K32" s="801">
        <f t="shared" si="6"/>
        <v>63.18</v>
      </c>
      <c r="L32" s="483">
        <v>0.3</v>
      </c>
      <c r="M32" s="804">
        <v>0.6</v>
      </c>
      <c r="O32" s="784">
        <v>72293</v>
      </c>
      <c r="P32" s="286">
        <v>80465</v>
      </c>
      <c r="Q32">
        <v>78028</v>
      </c>
      <c r="R32">
        <v>74415</v>
      </c>
      <c r="V32" s="541" t="s">
        <v>816</v>
      </c>
      <c r="W32">
        <v>44.7</v>
      </c>
      <c r="X32" s="158"/>
    </row>
    <row r="33" spans="1:24" x14ac:dyDescent="0.25">
      <c r="A33" s="494" t="s">
        <v>804</v>
      </c>
      <c r="B33" s="485" t="s">
        <v>789</v>
      </c>
      <c r="C33" s="482">
        <f>HLOOKUP($C$4,$O$11:$R$41,23,FALSE)</f>
        <v>74290</v>
      </c>
      <c r="D33" s="482">
        <f t="shared" si="0"/>
        <v>0</v>
      </c>
      <c r="E33" s="482">
        <f t="shared" si="1"/>
        <v>74290</v>
      </c>
      <c r="F33" s="482">
        <f t="shared" si="2"/>
        <v>8996.2200000000012</v>
      </c>
      <c r="G33" s="486">
        <f t="shared" si="3"/>
        <v>371.45</v>
      </c>
      <c r="H33" s="482">
        <f t="shared" si="4"/>
        <v>17666.162</v>
      </c>
      <c r="I33" s="799">
        <f t="shared" si="5"/>
        <v>101323.83199999999</v>
      </c>
      <c r="J33" s="128">
        <v>1560</v>
      </c>
      <c r="K33" s="801">
        <f t="shared" si="6"/>
        <v>64.95</v>
      </c>
      <c r="L33" s="483">
        <v>0.3</v>
      </c>
      <c r="M33" s="804">
        <v>0.6</v>
      </c>
      <c r="O33" s="784">
        <v>74290</v>
      </c>
      <c r="P33" s="286">
        <v>82462</v>
      </c>
      <c r="Q33">
        <v>80025</v>
      </c>
      <c r="R33">
        <v>76412</v>
      </c>
      <c r="V33" s="541" t="s">
        <v>817</v>
      </c>
      <c r="W33">
        <v>48</v>
      </c>
      <c r="X33" s="158"/>
    </row>
    <row r="34" spans="1:24" x14ac:dyDescent="0.25">
      <c r="A34" s="494" t="s">
        <v>804</v>
      </c>
      <c r="B34" s="485" t="s">
        <v>790</v>
      </c>
      <c r="C34" s="482">
        <f>HLOOKUP($C$4,$O$11:$R$41,24,FALSE)</f>
        <v>78814</v>
      </c>
      <c r="D34" s="482">
        <f t="shared" si="0"/>
        <v>0</v>
      </c>
      <c r="E34" s="482">
        <f t="shared" si="1"/>
        <v>78814</v>
      </c>
      <c r="F34" s="482">
        <f t="shared" si="2"/>
        <v>9620.5320000000011</v>
      </c>
      <c r="G34" s="486">
        <f t="shared" si="3"/>
        <v>394.07</v>
      </c>
      <c r="H34" s="482">
        <f t="shared" si="4"/>
        <v>18741.9692</v>
      </c>
      <c r="I34" s="799">
        <f t="shared" si="5"/>
        <v>107570.57120000001</v>
      </c>
      <c r="J34" s="128">
        <v>1560</v>
      </c>
      <c r="K34" s="801">
        <f t="shared" si="6"/>
        <v>68.959999999999994</v>
      </c>
      <c r="L34" s="483">
        <v>0.3</v>
      </c>
      <c r="M34" s="804">
        <v>0.6</v>
      </c>
      <c r="O34" s="784">
        <v>78814</v>
      </c>
      <c r="P34" s="286">
        <v>86986</v>
      </c>
      <c r="Q34">
        <v>84549</v>
      </c>
      <c r="R34">
        <v>80936</v>
      </c>
      <c r="V34" s="541" t="s">
        <v>818</v>
      </c>
      <c r="W34">
        <v>2145.6</v>
      </c>
      <c r="X34" s="158"/>
    </row>
    <row r="35" spans="1:24" x14ac:dyDescent="0.25">
      <c r="A35" s="494" t="s">
        <v>804</v>
      </c>
      <c r="B35" s="485" t="s">
        <v>791</v>
      </c>
      <c r="C35" s="482">
        <f>HLOOKUP($C$4,$O$11:$R$41,25,FALSE)</f>
        <v>85601</v>
      </c>
      <c r="D35" s="482">
        <f t="shared" si="0"/>
        <v>0</v>
      </c>
      <c r="E35" s="482">
        <f t="shared" si="1"/>
        <v>85601</v>
      </c>
      <c r="F35" s="482">
        <f t="shared" si="2"/>
        <v>10557.138000000001</v>
      </c>
      <c r="G35" s="486">
        <f t="shared" si="3"/>
        <v>428.005</v>
      </c>
      <c r="H35" s="482">
        <f t="shared" si="4"/>
        <v>20355.917799999999</v>
      </c>
      <c r="I35" s="799">
        <f t="shared" si="5"/>
        <v>116942.06080000001</v>
      </c>
      <c r="J35" s="128">
        <v>1560</v>
      </c>
      <c r="K35" s="801">
        <f t="shared" si="6"/>
        <v>74.959999999999994</v>
      </c>
      <c r="L35" s="483">
        <v>0.3</v>
      </c>
      <c r="M35" s="804">
        <v>0.6</v>
      </c>
      <c r="O35" s="784">
        <v>85601</v>
      </c>
      <c r="P35" s="286">
        <v>93773</v>
      </c>
      <c r="Q35">
        <v>91336</v>
      </c>
      <c r="R35">
        <v>87723</v>
      </c>
      <c r="V35" s="541" t="s">
        <v>819</v>
      </c>
      <c r="W35" s="542">
        <v>0.6</v>
      </c>
      <c r="X35" s="158"/>
    </row>
    <row r="36" spans="1:24" x14ac:dyDescent="0.25">
      <c r="A36" s="494" t="s">
        <v>805</v>
      </c>
      <c r="B36" s="485" t="s">
        <v>792</v>
      </c>
      <c r="C36" s="482">
        <f>HLOOKUP($C$4,$O$11:$R$41,26,FALSE)</f>
        <v>88168</v>
      </c>
      <c r="D36" s="482">
        <f t="shared" si="0"/>
        <v>0</v>
      </c>
      <c r="E36" s="482">
        <f t="shared" si="1"/>
        <v>88168</v>
      </c>
      <c r="F36" s="482">
        <f t="shared" si="2"/>
        <v>10911.384</v>
      </c>
      <c r="G36" s="486">
        <f t="shared" si="3"/>
        <v>440.84000000000003</v>
      </c>
      <c r="H36" s="482">
        <f t="shared" si="4"/>
        <v>20966.350399999999</v>
      </c>
      <c r="I36" s="799">
        <f t="shared" si="5"/>
        <v>120486.5744</v>
      </c>
      <c r="J36" s="128">
        <v>1560</v>
      </c>
      <c r="K36" s="801">
        <f t="shared" si="6"/>
        <v>77.23</v>
      </c>
      <c r="L36" s="483">
        <v>0.3</v>
      </c>
      <c r="M36" s="804">
        <v>0.6</v>
      </c>
      <c r="O36" s="784">
        <v>88168</v>
      </c>
      <c r="P36" s="286">
        <v>96340</v>
      </c>
      <c r="Q36">
        <v>93903</v>
      </c>
      <c r="R36">
        <v>90290</v>
      </c>
      <c r="V36" s="541" t="s">
        <v>820</v>
      </c>
      <c r="W36" s="539">
        <f>ROUND(W35*W34,0)</f>
        <v>1287</v>
      </c>
      <c r="X36" s="158"/>
    </row>
    <row r="37" spans="1:24" x14ac:dyDescent="0.25">
      <c r="A37" s="494" t="s">
        <v>805</v>
      </c>
      <c r="B37" s="485" t="s">
        <v>793</v>
      </c>
      <c r="C37" s="482">
        <f>HLOOKUP($C$4,$O$11:$R$41,27,FALSE)</f>
        <v>93572</v>
      </c>
      <c r="D37" s="482">
        <f t="shared" si="0"/>
        <v>0</v>
      </c>
      <c r="E37" s="482">
        <f t="shared" si="1"/>
        <v>93572</v>
      </c>
      <c r="F37" s="482">
        <f t="shared" si="2"/>
        <v>11657.136</v>
      </c>
      <c r="G37" s="486">
        <f t="shared" si="3"/>
        <v>467.86</v>
      </c>
      <c r="H37" s="482">
        <f t="shared" si="4"/>
        <v>22251.421600000001</v>
      </c>
      <c r="I37" s="799">
        <f t="shared" si="5"/>
        <v>127948.4176</v>
      </c>
      <c r="J37" s="128">
        <v>1560</v>
      </c>
      <c r="K37" s="801">
        <f t="shared" si="6"/>
        <v>82.02</v>
      </c>
      <c r="L37" s="483">
        <v>0.3</v>
      </c>
      <c r="M37" s="804">
        <v>0.6</v>
      </c>
      <c r="O37" s="784">
        <v>93572</v>
      </c>
      <c r="P37" s="286">
        <v>101744</v>
      </c>
      <c r="Q37">
        <v>99307</v>
      </c>
      <c r="R37">
        <v>95694</v>
      </c>
      <c r="V37" s="160"/>
      <c r="W37" s="161"/>
      <c r="X37" s="162"/>
    </row>
    <row r="38" spans="1:24" x14ac:dyDescent="0.25">
      <c r="A38" s="494" t="s">
        <v>805</v>
      </c>
      <c r="B38" s="485" t="s">
        <v>794</v>
      </c>
      <c r="C38" s="482">
        <f>HLOOKUP($C$4,$O$11:$R$41,28,FALSE)</f>
        <v>101677</v>
      </c>
      <c r="D38" s="482">
        <f t="shared" si="0"/>
        <v>0</v>
      </c>
      <c r="E38" s="482">
        <f t="shared" si="1"/>
        <v>101677</v>
      </c>
      <c r="F38" s="482">
        <f t="shared" si="2"/>
        <v>12775.626</v>
      </c>
      <c r="G38" s="486">
        <f t="shared" si="3"/>
        <v>508.38499999999999</v>
      </c>
      <c r="H38" s="482">
        <f t="shared" si="4"/>
        <v>24178.7906</v>
      </c>
      <c r="I38" s="799">
        <f t="shared" si="5"/>
        <v>139139.80160000001</v>
      </c>
      <c r="J38" s="128">
        <v>1560</v>
      </c>
      <c r="K38" s="801">
        <f t="shared" si="6"/>
        <v>89.19</v>
      </c>
      <c r="L38" s="483">
        <v>0.3</v>
      </c>
      <c r="M38" s="804">
        <v>0.6</v>
      </c>
      <c r="O38" s="784">
        <v>101677</v>
      </c>
      <c r="P38" s="286">
        <v>109849</v>
      </c>
      <c r="Q38">
        <v>107412</v>
      </c>
      <c r="R38">
        <v>103799</v>
      </c>
    </row>
    <row r="39" spans="1:24" x14ac:dyDescent="0.25">
      <c r="A39" s="494">
        <v>9</v>
      </c>
      <c r="B39" s="485" t="s">
        <v>795</v>
      </c>
      <c r="C39" s="482">
        <f>HLOOKUP($C$4,$O$11:$R$41,29,FALSE)</f>
        <v>105385</v>
      </c>
      <c r="D39" s="482">
        <f t="shared" si="0"/>
        <v>0</v>
      </c>
      <c r="E39" s="482">
        <f t="shared" si="1"/>
        <v>105385</v>
      </c>
      <c r="F39" s="482">
        <f t="shared" si="2"/>
        <v>13287.330000000002</v>
      </c>
      <c r="G39" s="486">
        <f t="shared" si="3"/>
        <v>526.92499999999995</v>
      </c>
      <c r="H39" s="482">
        <f t="shared" si="4"/>
        <v>25060.553</v>
      </c>
      <c r="I39" s="799">
        <f t="shared" si="5"/>
        <v>144259.80800000002</v>
      </c>
      <c r="J39" s="128">
        <v>1560</v>
      </c>
      <c r="K39" s="801">
        <f t="shared" si="6"/>
        <v>92.47</v>
      </c>
      <c r="L39" s="483">
        <v>0.3</v>
      </c>
      <c r="M39" s="804">
        <v>0.6</v>
      </c>
      <c r="O39" s="784">
        <v>105385</v>
      </c>
      <c r="P39" s="286">
        <v>113557</v>
      </c>
      <c r="Q39">
        <v>111120</v>
      </c>
      <c r="R39">
        <v>107507</v>
      </c>
    </row>
    <row r="40" spans="1:24" x14ac:dyDescent="0.25">
      <c r="A40" s="494">
        <v>9</v>
      </c>
      <c r="B40" s="485" t="s">
        <v>796</v>
      </c>
      <c r="C40" s="482">
        <f>HLOOKUP($C$4,$O$11:$R$41,30,FALSE)</f>
        <v>111740</v>
      </c>
      <c r="D40" s="482">
        <f t="shared" si="0"/>
        <v>0</v>
      </c>
      <c r="E40" s="482">
        <f t="shared" si="1"/>
        <v>111740</v>
      </c>
      <c r="F40" s="482">
        <f t="shared" si="2"/>
        <v>14164.320000000002</v>
      </c>
      <c r="G40" s="486">
        <f t="shared" si="3"/>
        <v>558.70000000000005</v>
      </c>
      <c r="H40" s="482">
        <f t="shared" si="4"/>
        <v>26571.772000000001</v>
      </c>
      <c r="I40" s="799">
        <f t="shared" si="5"/>
        <v>153034.79200000002</v>
      </c>
      <c r="J40" s="128">
        <v>1560</v>
      </c>
      <c r="K40" s="801">
        <f t="shared" si="6"/>
        <v>98.1</v>
      </c>
      <c r="L40" s="483">
        <v>0.3</v>
      </c>
      <c r="M40" s="804">
        <v>0.6</v>
      </c>
      <c r="O40" s="784">
        <v>111740</v>
      </c>
      <c r="P40" s="286">
        <v>119912</v>
      </c>
      <c r="Q40">
        <v>117475</v>
      </c>
      <c r="R40">
        <v>113862</v>
      </c>
    </row>
    <row r="41" spans="1:24" x14ac:dyDescent="0.25">
      <c r="A41" s="494">
        <v>9</v>
      </c>
      <c r="B41" s="485" t="s">
        <v>797</v>
      </c>
      <c r="C41" s="482">
        <f>HLOOKUP($C$4,$O$11:$R$41,31,FALSE)</f>
        <v>121271</v>
      </c>
      <c r="D41" s="482">
        <f t="shared" si="0"/>
        <v>0</v>
      </c>
      <c r="E41" s="482">
        <f t="shared" si="1"/>
        <v>121271</v>
      </c>
      <c r="F41" s="482">
        <f t="shared" si="2"/>
        <v>15479.598000000002</v>
      </c>
      <c r="G41" s="486">
        <f t="shared" si="3"/>
        <v>606.35500000000002</v>
      </c>
      <c r="H41" s="482">
        <f t="shared" si="4"/>
        <v>28838.2438</v>
      </c>
      <c r="I41" s="799">
        <f t="shared" si="5"/>
        <v>166195.19680000001</v>
      </c>
      <c r="J41" s="128">
        <v>1560</v>
      </c>
      <c r="K41" s="801">
        <f t="shared" si="6"/>
        <v>106.54</v>
      </c>
      <c r="L41" s="483">
        <v>0.3</v>
      </c>
      <c r="M41" s="804">
        <v>0.6</v>
      </c>
      <c r="O41" s="784">
        <v>121271</v>
      </c>
      <c r="P41" s="286">
        <v>129443</v>
      </c>
      <c r="Q41">
        <v>127006</v>
      </c>
      <c r="R41">
        <v>123393</v>
      </c>
    </row>
    <row r="42" spans="1:24" x14ac:dyDescent="0.25">
      <c r="A42" s="494" t="s">
        <v>801</v>
      </c>
      <c r="B42" s="149" t="s">
        <v>1094</v>
      </c>
      <c r="C42" s="482">
        <v>73113</v>
      </c>
      <c r="D42" s="482">
        <f t="shared" si="0"/>
        <v>0</v>
      </c>
      <c r="E42" s="482">
        <f t="shared" si="1"/>
        <v>73113</v>
      </c>
      <c r="F42" s="482">
        <f t="shared" si="2"/>
        <v>8833.7939999999999</v>
      </c>
      <c r="G42" s="486">
        <f t="shared" si="3"/>
        <v>365.565</v>
      </c>
      <c r="H42" s="482">
        <f>C42*0.2068</f>
        <v>15119.768400000001</v>
      </c>
      <c r="I42" s="799">
        <f t="shared" si="5"/>
        <v>97432.127399999998</v>
      </c>
      <c r="J42" s="128">
        <f>W36</f>
        <v>1287</v>
      </c>
      <c r="K42" s="801">
        <f t="shared" si="6"/>
        <v>75.7</v>
      </c>
      <c r="L42" s="484">
        <v>0</v>
      </c>
      <c r="M42" s="805">
        <v>0</v>
      </c>
    </row>
    <row r="43" spans="1:24" x14ac:dyDescent="0.25">
      <c r="A43" s="494" t="s">
        <v>801</v>
      </c>
      <c r="B43" s="149" t="s">
        <v>1095</v>
      </c>
      <c r="C43" s="482">
        <f>(C42+C44)/2</f>
        <v>91721.5</v>
      </c>
      <c r="D43" s="482">
        <f t="shared" si="0"/>
        <v>0</v>
      </c>
      <c r="E43" s="482">
        <f t="shared" si="1"/>
        <v>91721.5</v>
      </c>
      <c r="F43" s="482">
        <f t="shared" si="2"/>
        <v>11401.767000000002</v>
      </c>
      <c r="G43" s="486">
        <f t="shared" si="3"/>
        <v>458.60750000000002</v>
      </c>
      <c r="H43" s="482">
        <f>C43*0.2068</f>
        <v>18968.0062</v>
      </c>
      <c r="I43" s="799">
        <f t="shared" si="5"/>
        <v>122549.88070000001</v>
      </c>
      <c r="J43" s="128">
        <f>W36</f>
        <v>1287</v>
      </c>
      <c r="K43" s="801">
        <f t="shared" si="6"/>
        <v>95.22</v>
      </c>
      <c r="L43" s="484">
        <v>0</v>
      </c>
      <c r="M43" s="805">
        <v>0</v>
      </c>
    </row>
    <row r="44" spans="1:24" x14ac:dyDescent="0.25">
      <c r="A44" s="806" t="s">
        <v>801</v>
      </c>
      <c r="B44" s="599" t="s">
        <v>1095</v>
      </c>
      <c r="C44" s="544">
        <v>110330</v>
      </c>
      <c r="D44" s="544">
        <f t="shared" si="0"/>
        <v>0</v>
      </c>
      <c r="E44" s="482">
        <f t="shared" si="1"/>
        <v>110330</v>
      </c>
      <c r="F44" s="482">
        <f t="shared" si="2"/>
        <v>13969.740000000002</v>
      </c>
      <c r="G44" s="486">
        <f t="shared" si="3"/>
        <v>551.65</v>
      </c>
      <c r="H44" s="544">
        <f>C44*0.2068</f>
        <v>22816.244000000002</v>
      </c>
      <c r="I44" s="799">
        <f t="shared" si="5"/>
        <v>147667.63399999999</v>
      </c>
      <c r="J44" s="128">
        <f>W36</f>
        <v>1287</v>
      </c>
      <c r="K44" s="801">
        <f t="shared" si="6"/>
        <v>114.74</v>
      </c>
      <c r="L44" s="484">
        <v>0</v>
      </c>
      <c r="M44" s="805">
        <v>0</v>
      </c>
    </row>
    <row r="45" spans="1:24" x14ac:dyDescent="0.25">
      <c r="A45" s="494" t="s">
        <v>798</v>
      </c>
      <c r="B45" s="149" t="s">
        <v>799</v>
      </c>
      <c r="C45" s="482">
        <v>105504</v>
      </c>
      <c r="D45" s="482">
        <f t="shared" si="0"/>
        <v>0</v>
      </c>
      <c r="E45" s="482">
        <f t="shared" si="1"/>
        <v>105504</v>
      </c>
      <c r="F45" s="482">
        <f t="shared" si="2"/>
        <v>13303.752</v>
      </c>
      <c r="G45" s="486">
        <f t="shared" si="3"/>
        <v>527.52</v>
      </c>
      <c r="H45" s="482">
        <f t="shared" si="4"/>
        <v>25088.851200000001</v>
      </c>
      <c r="I45" s="799">
        <f t="shared" si="5"/>
        <v>144424.1232</v>
      </c>
      <c r="J45" s="128">
        <v>1376</v>
      </c>
      <c r="K45" s="801">
        <f t="shared" si="6"/>
        <v>104.96</v>
      </c>
      <c r="L45" s="484">
        <v>0</v>
      </c>
      <c r="M45" s="805">
        <v>0</v>
      </c>
    </row>
    <row r="46" spans="1:24" x14ac:dyDescent="0.25">
      <c r="A46" s="494" t="s">
        <v>798</v>
      </c>
      <c r="B46" s="149" t="s">
        <v>97</v>
      </c>
      <c r="C46" s="482">
        <f>(4*114894+6*126018)/10</f>
        <v>121568.4</v>
      </c>
      <c r="D46" s="482">
        <f t="shared" si="0"/>
        <v>0</v>
      </c>
      <c r="E46" s="482">
        <f t="shared" si="1"/>
        <v>121568.4</v>
      </c>
      <c r="F46" s="482">
        <f t="shared" si="2"/>
        <v>15520.6392</v>
      </c>
      <c r="G46" s="486">
        <f t="shared" si="3"/>
        <v>607.84199999999998</v>
      </c>
      <c r="H46" s="482">
        <f t="shared" si="4"/>
        <v>28908.965520000002</v>
      </c>
      <c r="I46" s="799">
        <f t="shared" si="5"/>
        <v>166605.84672</v>
      </c>
      <c r="J46" s="128">
        <v>1376</v>
      </c>
      <c r="K46" s="801">
        <f t="shared" si="6"/>
        <v>121.08</v>
      </c>
      <c r="L46" s="484">
        <v>0</v>
      </c>
      <c r="M46" s="805">
        <v>0</v>
      </c>
    </row>
    <row r="47" spans="1:24" ht="15.75" thickBot="1" x14ac:dyDescent="0.3">
      <c r="A47" s="495" t="s">
        <v>798</v>
      </c>
      <c r="B47" s="487" t="s">
        <v>800</v>
      </c>
      <c r="C47" s="488">
        <v>139882</v>
      </c>
      <c r="D47" s="488">
        <f t="shared" si="0"/>
        <v>0</v>
      </c>
      <c r="E47" s="488">
        <f t="shared" si="1"/>
        <v>139882</v>
      </c>
      <c r="F47" s="488">
        <f t="shared" si="2"/>
        <v>18047.916000000001</v>
      </c>
      <c r="G47" s="807">
        <f t="shared" si="3"/>
        <v>699.41</v>
      </c>
      <c r="H47" s="488">
        <f t="shared" si="4"/>
        <v>33263.939600000005</v>
      </c>
      <c r="I47" s="489">
        <f t="shared" si="5"/>
        <v>191893.26560000001</v>
      </c>
      <c r="J47" s="808">
        <v>1376</v>
      </c>
      <c r="K47" s="809">
        <f t="shared" si="6"/>
        <v>139.46</v>
      </c>
      <c r="L47" s="810">
        <v>0</v>
      </c>
      <c r="M47" s="811">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C7dJ8AsGSJ3t+9i4dhFcRgnGmlE08d8rZ5J7OVBo5KsKSVDjxzOYp9W2l4z5OUFWEnQ6JRk+rpI5aeGzetSnFg==" saltValue="BzvB3dmEurFBDC28Nk2SGQ==" spinCount="100000" sheet="1" objects="1" scenarios="1"/>
  <dataValidations count="2">
    <dataValidation type="list" allowBlank="1" showInputMessage="1" showErrorMessage="1" sqref="C4" xr:uid="{F5EA96DD-FE69-4A5C-803B-AE716B15408F}">
      <formula1>$S$14:$S$17</formula1>
    </dataValidation>
    <dataValidation type="list" allowBlank="1" showInputMessage="1" showErrorMessage="1" sqref="D16" xr:uid="{5E650D98-FE91-40D4-BFA3-CD2CBD70F914}">
      <formula1>BAND</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03C7-98C1-406F-9F69-218637CCB9DB}">
  <sheetPr>
    <tabColor theme="1" tint="0.14999847407452621"/>
    <pageSetUpPr fitToPage="1"/>
  </sheetPr>
  <dimension ref="B2:Q28"/>
  <sheetViews>
    <sheetView showGridLines="0" zoomScale="80" zoomScaleNormal="80" workbookViewId="0">
      <selection activeCell="W11" sqref="W11"/>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84" t="s">
        <v>10</v>
      </c>
      <c r="C2" s="382"/>
      <c r="D2" s="382"/>
      <c r="E2" s="382"/>
      <c r="F2" s="382"/>
      <c r="G2" s="382"/>
      <c r="H2" s="382"/>
      <c r="I2" s="382"/>
      <c r="J2" s="382"/>
      <c r="K2" s="382"/>
      <c r="L2" s="382"/>
      <c r="M2" s="382"/>
      <c r="N2" s="382"/>
      <c r="O2" s="382"/>
      <c r="P2" s="383"/>
    </row>
    <row r="5" spans="2:17" x14ac:dyDescent="0.25">
      <c r="B5" s="228" t="s">
        <v>969</v>
      </c>
      <c r="C5" s="405"/>
      <c r="D5" s="405"/>
      <c r="E5" s="405"/>
      <c r="F5" s="405"/>
      <c r="G5" s="405"/>
      <c r="H5" s="405"/>
      <c r="I5" s="405"/>
      <c r="J5" s="405"/>
      <c r="K5" s="405"/>
      <c r="L5" s="405"/>
      <c r="M5" s="405"/>
      <c r="N5" s="405"/>
      <c r="O5" s="405"/>
      <c r="P5" s="229"/>
    </row>
    <row r="6" spans="2:17" x14ac:dyDescent="0.25">
      <c r="B6" s="233" t="s">
        <v>970</v>
      </c>
      <c r="C6" s="226"/>
      <c r="D6" s="226"/>
      <c r="E6" s="226"/>
      <c r="F6" s="226"/>
      <c r="G6" s="226"/>
      <c r="H6" s="226"/>
      <c r="I6" s="226"/>
      <c r="J6" s="226"/>
      <c r="K6" s="226"/>
      <c r="L6" s="226"/>
      <c r="M6" s="226"/>
      <c r="N6" s="226"/>
      <c r="O6" s="226"/>
      <c r="P6" s="234"/>
    </row>
    <row r="7" spans="2:17" x14ac:dyDescent="0.25">
      <c r="B7" s="231" t="s">
        <v>971</v>
      </c>
      <c r="C7" s="230"/>
      <c r="D7" s="230"/>
      <c r="E7" s="230"/>
      <c r="F7" s="230"/>
      <c r="G7" s="230"/>
      <c r="H7" s="230"/>
      <c r="I7" s="230"/>
      <c r="J7" s="230"/>
      <c r="K7" s="230"/>
      <c r="L7" s="230"/>
      <c r="M7" s="230"/>
      <c r="N7" s="230"/>
      <c r="O7" s="230"/>
      <c r="P7" s="232"/>
    </row>
    <row r="9" spans="2:17" x14ac:dyDescent="0.25">
      <c r="N9" s="466"/>
      <c r="O9" s="466"/>
      <c r="P9" s="466"/>
    </row>
    <row r="10" spans="2:17" x14ac:dyDescent="0.25">
      <c r="B10" s="228"/>
      <c r="C10" s="405"/>
      <c r="D10" s="405"/>
      <c r="E10" s="405"/>
      <c r="F10" s="405"/>
      <c r="G10" s="405"/>
      <c r="H10" s="229"/>
      <c r="J10" s="228"/>
      <c r="K10" s="405"/>
      <c r="L10" s="405"/>
      <c r="M10" s="405"/>
      <c r="N10" s="226"/>
      <c r="O10" s="226"/>
      <c r="P10" s="226"/>
      <c r="Q10" s="159"/>
    </row>
    <row r="11" spans="2:17" ht="47.25" x14ac:dyDescent="0.25">
      <c r="B11" s="233"/>
      <c r="C11" s="369" t="s">
        <v>11</v>
      </c>
      <c r="D11" s="469"/>
      <c r="E11" s="369" t="s">
        <v>12</v>
      </c>
      <c r="F11" s="469"/>
      <c r="G11" s="465" t="s">
        <v>13</v>
      </c>
      <c r="H11" s="470"/>
      <c r="I11" s="370"/>
      <c r="J11" s="473"/>
      <c r="K11" s="371" t="s">
        <v>14</v>
      </c>
      <c r="L11" s="473"/>
      <c r="M11" s="371" t="s">
        <v>15</v>
      </c>
      <c r="N11" s="469"/>
      <c r="O11" s="371" t="s">
        <v>16</v>
      </c>
      <c r="P11" s="469"/>
      <c r="Q11" s="159"/>
    </row>
    <row r="12" spans="2:17" x14ac:dyDescent="0.25">
      <c r="B12" s="233"/>
      <c r="C12" s="226"/>
      <c r="D12" s="226"/>
      <c r="E12" s="226"/>
      <c r="F12" s="226"/>
      <c r="G12" s="226"/>
      <c r="H12" s="234"/>
      <c r="J12" s="233"/>
      <c r="K12" s="226"/>
      <c r="L12" s="226"/>
      <c r="M12" s="226"/>
      <c r="N12" s="226"/>
      <c r="O12" s="226"/>
      <c r="P12" s="226"/>
      <c r="Q12" s="159"/>
    </row>
    <row r="13" spans="2:17" ht="39.950000000000003" customHeight="1" x14ac:dyDescent="0.25">
      <c r="B13" s="233"/>
      <c r="C13" s="365"/>
      <c r="D13" s="600" t="s">
        <v>17</v>
      </c>
      <c r="E13" s="365"/>
      <c r="F13" s="226"/>
      <c r="G13" s="365" t="s">
        <v>898</v>
      </c>
      <c r="H13" s="234"/>
      <c r="J13" s="233"/>
      <c r="K13" s="467"/>
      <c r="L13" s="197"/>
      <c r="M13" s="601" t="s">
        <v>18</v>
      </c>
      <c r="N13" s="197"/>
      <c r="O13" s="468"/>
      <c r="P13" s="226"/>
      <c r="Q13" s="159"/>
    </row>
    <row r="14" spans="2:17" x14ac:dyDescent="0.25">
      <c r="B14" s="233"/>
      <c r="C14" s="226"/>
      <c r="D14" s="226"/>
      <c r="E14" s="226"/>
      <c r="F14" s="226"/>
      <c r="G14" s="226"/>
      <c r="H14" s="234"/>
      <c r="J14" s="233"/>
      <c r="K14" s="226"/>
      <c r="L14" s="226"/>
      <c r="M14" s="226"/>
      <c r="N14" s="226"/>
      <c r="O14" s="226"/>
      <c r="P14" s="226"/>
      <c r="Q14" s="159"/>
    </row>
    <row r="15" spans="2:17" ht="222.75" customHeight="1" x14ac:dyDescent="0.25">
      <c r="B15" s="233"/>
      <c r="C15" s="366" t="s">
        <v>19</v>
      </c>
      <c r="D15" s="471"/>
      <c r="E15" s="367" t="s">
        <v>20</v>
      </c>
      <c r="F15" s="471"/>
      <c r="G15" s="365" t="s">
        <v>21</v>
      </c>
      <c r="H15" s="472"/>
      <c r="I15" s="244"/>
      <c r="J15" s="474"/>
      <c r="K15" s="368" t="s">
        <v>22</v>
      </c>
      <c r="L15" s="474"/>
      <c r="M15" s="409" t="s">
        <v>23</v>
      </c>
      <c r="N15" s="471"/>
      <c r="O15" s="409" t="s">
        <v>24</v>
      </c>
      <c r="P15" s="471"/>
      <c r="Q15" s="159"/>
    </row>
    <row r="16" spans="2:17" x14ac:dyDescent="0.25">
      <c r="B16" s="231"/>
      <c r="C16" s="230"/>
      <c r="D16" s="230"/>
      <c r="E16" s="230"/>
      <c r="F16" s="230"/>
      <c r="G16" s="230"/>
      <c r="H16" s="232"/>
      <c r="J16" s="231"/>
      <c r="K16" s="230"/>
      <c r="L16" s="475"/>
      <c r="M16" s="475"/>
      <c r="N16" s="475"/>
      <c r="O16" s="475"/>
      <c r="P16" s="475"/>
      <c r="Q16" s="159"/>
    </row>
    <row r="19" spans="2:16" x14ac:dyDescent="0.25">
      <c r="B19" s="228"/>
      <c r="C19" s="405"/>
      <c r="D19" s="405"/>
      <c r="E19" s="405"/>
      <c r="F19" s="405"/>
      <c r="G19" s="405"/>
      <c r="H19" s="405"/>
      <c r="I19" s="405"/>
      <c r="J19" s="405"/>
      <c r="K19" s="405"/>
      <c r="L19" s="405"/>
      <c r="M19" s="405"/>
      <c r="N19" s="405"/>
      <c r="O19" s="405"/>
      <c r="P19" s="229"/>
    </row>
    <row r="20" spans="2:16" x14ac:dyDescent="0.25">
      <c r="B20" s="233" t="s">
        <v>25</v>
      </c>
      <c r="C20" s="226"/>
      <c r="D20" s="226"/>
      <c r="E20" s="226"/>
      <c r="F20" s="226"/>
      <c r="G20" s="226"/>
      <c r="H20" s="226"/>
      <c r="I20" s="226"/>
      <c r="J20" s="226"/>
      <c r="K20" s="226"/>
      <c r="L20" s="226"/>
      <c r="M20" s="226"/>
      <c r="N20" s="226"/>
      <c r="O20" s="226"/>
      <c r="P20" s="234"/>
    </row>
    <row r="21" spans="2:16" x14ac:dyDescent="0.25">
      <c r="B21" s="476" t="s">
        <v>26</v>
      </c>
      <c r="C21" s="226"/>
      <c r="D21" s="226"/>
      <c r="E21" s="226"/>
      <c r="F21" s="226"/>
      <c r="G21" s="226"/>
      <c r="H21" s="226"/>
      <c r="I21" s="226"/>
      <c r="J21" s="226"/>
      <c r="K21" s="226"/>
      <c r="L21" s="226"/>
      <c r="M21" s="226"/>
      <c r="N21" s="226"/>
      <c r="O21" s="226"/>
      <c r="P21" s="234"/>
    </row>
    <row r="22" spans="2:16" x14ac:dyDescent="0.25">
      <c r="B22" s="477" t="s">
        <v>27</v>
      </c>
      <c r="C22" s="226"/>
      <c r="D22" s="226"/>
      <c r="E22" s="226"/>
      <c r="F22" s="226"/>
      <c r="G22" s="226"/>
      <c r="H22" s="226"/>
      <c r="I22" s="226"/>
      <c r="J22" s="226"/>
      <c r="K22" s="226"/>
      <c r="L22" s="226"/>
      <c r="M22" s="226"/>
      <c r="N22" s="226"/>
      <c r="O22" s="226"/>
      <c r="P22" s="234"/>
    </row>
    <row r="23" spans="2:16" x14ac:dyDescent="0.25">
      <c r="B23" s="478" t="s">
        <v>28</v>
      </c>
      <c r="C23" s="226"/>
      <c r="D23" s="226"/>
      <c r="E23" s="226"/>
      <c r="F23" s="226"/>
      <c r="G23" s="226"/>
      <c r="H23" s="226"/>
      <c r="I23" s="226"/>
      <c r="J23" s="226"/>
      <c r="K23" s="226"/>
      <c r="L23" s="226"/>
      <c r="M23" s="226"/>
      <c r="N23" s="226"/>
      <c r="O23" s="226"/>
      <c r="P23" s="234"/>
    </row>
    <row r="24" spans="2:16" x14ac:dyDescent="0.25">
      <c r="B24" s="477" t="s">
        <v>29</v>
      </c>
      <c r="C24" s="226"/>
      <c r="D24" s="226"/>
      <c r="E24" s="226"/>
      <c r="F24" s="226"/>
      <c r="G24" s="226"/>
      <c r="H24" s="226"/>
      <c r="I24" s="226"/>
      <c r="J24" s="226"/>
      <c r="K24" s="226"/>
      <c r="L24" s="226"/>
      <c r="M24" s="226"/>
      <c r="N24" s="226"/>
      <c r="O24" s="226"/>
      <c r="P24" s="234"/>
    </row>
    <row r="25" spans="2:16" x14ac:dyDescent="0.25">
      <c r="B25" s="477" t="s">
        <v>30</v>
      </c>
      <c r="C25" s="226"/>
      <c r="D25" s="226"/>
      <c r="E25" s="226"/>
      <c r="F25" s="226"/>
      <c r="G25" s="226"/>
      <c r="H25" s="226"/>
      <c r="I25" s="226"/>
      <c r="J25" s="226"/>
      <c r="K25" s="226"/>
      <c r="L25" s="226"/>
      <c r="M25" s="226"/>
      <c r="N25" s="226"/>
      <c r="O25" s="226"/>
      <c r="P25" s="234"/>
    </row>
    <row r="26" spans="2:16" x14ac:dyDescent="0.25">
      <c r="B26" s="233"/>
      <c r="C26" s="226"/>
      <c r="D26" s="226"/>
      <c r="E26" s="226"/>
      <c r="F26" s="226"/>
      <c r="G26" s="226"/>
      <c r="H26" s="226"/>
      <c r="I26" s="226"/>
      <c r="J26" s="226"/>
      <c r="K26" s="226"/>
      <c r="L26" s="226"/>
      <c r="M26" s="226"/>
      <c r="N26" s="226"/>
      <c r="O26" s="226"/>
      <c r="P26" s="234"/>
    </row>
    <row r="27" spans="2:16" x14ac:dyDescent="0.25">
      <c r="B27" s="479" t="s">
        <v>31</v>
      </c>
      <c r="C27" s="226"/>
      <c r="D27" s="226"/>
      <c r="E27" s="226"/>
      <c r="F27" s="226"/>
      <c r="G27" s="226"/>
      <c r="H27" s="226"/>
      <c r="I27" s="226"/>
      <c r="J27" s="226"/>
      <c r="K27" s="226"/>
      <c r="L27" s="226"/>
      <c r="M27" s="226"/>
      <c r="N27" s="226"/>
      <c r="O27" s="226"/>
      <c r="P27" s="234"/>
    </row>
    <row r="28" spans="2:16" x14ac:dyDescent="0.25">
      <c r="B28" s="231"/>
      <c r="C28" s="230"/>
      <c r="D28" s="230"/>
      <c r="E28" s="230"/>
      <c r="F28" s="230"/>
      <c r="G28" s="230"/>
      <c r="H28" s="230"/>
      <c r="I28" s="230"/>
      <c r="J28" s="230"/>
      <c r="K28" s="230"/>
      <c r="L28" s="230"/>
      <c r="M28" s="230"/>
      <c r="N28" s="230"/>
      <c r="O28" s="230"/>
      <c r="P28" s="232"/>
    </row>
  </sheetData>
  <sheetProtection algorithmName="SHA-512" hashValue="2JKa/tIprfXlGaElKKffW/mWvB8hZJNLjL/jqHXNBONSWtaba3BxHiUKO4hwFSBPBadShqqZ4GxoHUAmJnEYJg==" saltValue="3TwSo+/EqvEeUzxQiSvmwg==" spinCount="100000" sheet="1"/>
  <pageMargins left="0.7" right="0.7" top="0.75" bottom="0.75" header="0.3" footer="0.3"/>
  <pageSetup paperSize="9" scale="54"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A5" zoomScale="55" zoomScaleNormal="55" workbookViewId="0">
      <selection activeCell="F16" sqref="F16"/>
    </sheetView>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181</v>
      </c>
      <c r="C1" s="102"/>
      <c r="D1" s="22"/>
      <c r="E1" s="10" t="s">
        <v>182</v>
      </c>
      <c r="F1" s="7"/>
      <c r="G1" s="7"/>
    </row>
    <row r="3" spans="2:106" x14ac:dyDescent="0.2">
      <c r="B3" s="92" t="s">
        <v>183</v>
      </c>
      <c r="C3" s="522"/>
      <c r="D3" s="523"/>
      <c r="E3" s="523"/>
      <c r="F3" s="523"/>
      <c r="G3" s="93"/>
    </row>
    <row r="4" spans="2:106" ht="15" x14ac:dyDescent="0.25">
      <c r="B4" s="94"/>
      <c r="C4" s="95"/>
      <c r="D4" s="7"/>
      <c r="E4" s="7"/>
      <c r="F4" s="7"/>
      <c r="G4" s="96"/>
      <c r="L4" s="9" t="s">
        <v>184</v>
      </c>
      <c r="M4" s="9" t="s">
        <v>184</v>
      </c>
      <c r="N4" s="9" t="s">
        <v>185</v>
      </c>
      <c r="O4" s="9" t="s">
        <v>185</v>
      </c>
      <c r="P4" s="9" t="s">
        <v>186</v>
      </c>
      <c r="R4" s="168" t="s">
        <v>187</v>
      </c>
      <c r="S4" s="168" t="s">
        <v>108</v>
      </c>
      <c r="T4" s="168" t="s">
        <v>188</v>
      </c>
      <c r="V4" s="168" t="s">
        <v>189</v>
      </c>
    </row>
    <row r="5" spans="2:106" ht="28.5" x14ac:dyDescent="0.2">
      <c r="B5" s="97" t="s">
        <v>190</v>
      </c>
      <c r="C5" s="95"/>
      <c r="D5" s="7"/>
      <c r="E5" s="7"/>
      <c r="F5" s="7"/>
      <c r="G5" s="96"/>
      <c r="L5" s="16" t="s">
        <v>191</v>
      </c>
      <c r="M5" s="16" t="s">
        <v>192</v>
      </c>
      <c r="N5" s="16" t="s">
        <v>193</v>
      </c>
      <c r="O5" s="16" t="s">
        <v>194</v>
      </c>
      <c r="P5" s="19"/>
      <c r="Q5" s="17"/>
      <c r="R5" s="16" t="s">
        <v>194</v>
      </c>
      <c r="S5" s="138" t="s">
        <v>145</v>
      </c>
      <c r="V5" s="139">
        <v>4</v>
      </c>
    </row>
    <row r="6" spans="2:106" ht="15" x14ac:dyDescent="0.25">
      <c r="B6" s="97" t="s">
        <v>195</v>
      </c>
      <c r="C6" s="95"/>
      <c r="D6" s="7"/>
      <c r="E6" s="7"/>
      <c r="F6" s="7"/>
      <c r="G6" s="96"/>
      <c r="J6" s="134"/>
      <c r="L6" s="21" t="s">
        <v>824</v>
      </c>
      <c r="M6" s="21" t="s">
        <v>196</v>
      </c>
      <c r="N6" s="21" t="str">
        <f>'Inputs and eligible population'!$E$11</f>
        <v>National</v>
      </c>
      <c r="O6" s="21" t="str">
        <f>IFERROR(VLOOKUP('Inputs and eligible population'!$E$11, $L$5:$M$14, 2, FALSE), "-")</f>
        <v>NATIONAL</v>
      </c>
      <c r="P6" s="16" t="b">
        <f>ISTEXT('Inputs and eligible population'!$E$12)</f>
        <v>1</v>
      </c>
      <c r="R6" s="191" t="s">
        <v>43</v>
      </c>
      <c r="S6" s="138" t="s">
        <v>146</v>
      </c>
      <c r="V6" s="139">
        <v>5</v>
      </c>
    </row>
    <row r="7" spans="2:106" x14ac:dyDescent="0.2">
      <c r="B7" s="94"/>
      <c r="C7" s="95"/>
      <c r="D7" s="7"/>
      <c r="E7" s="7"/>
      <c r="F7" s="7"/>
      <c r="G7" s="96"/>
      <c r="L7" s="21" t="s">
        <v>39</v>
      </c>
      <c r="M7" s="21" t="s">
        <v>197</v>
      </c>
      <c r="N7" s="21" t="str">
        <f>'Inputs and eligible population'!$E$11</f>
        <v>National</v>
      </c>
      <c r="O7" s="21" t="str">
        <f>IFERROR(VLOOKUP('Inputs and eligible population'!$E$11, $L$5:$M$14, 2, FALSE), "-")</f>
        <v>NATIONAL</v>
      </c>
      <c r="P7" s="16" t="b">
        <f>ISTEXT('Inputs and eligible population'!$E$12)</f>
        <v>1</v>
      </c>
      <c r="R7" s="191" t="s">
        <v>198</v>
      </c>
      <c r="S7" s="404"/>
      <c r="V7" s="139">
        <v>6</v>
      </c>
    </row>
    <row r="8" spans="2:106" ht="19.5" customHeight="1" x14ac:dyDescent="0.2">
      <c r="B8" s="98" t="s">
        <v>199</v>
      </c>
      <c r="C8" s="99"/>
      <c r="D8" s="100"/>
      <c r="E8" s="100"/>
      <c r="F8" s="100"/>
      <c r="G8" s="101"/>
      <c r="L8" s="21" t="s">
        <v>200</v>
      </c>
      <c r="M8" s="21" t="s">
        <v>201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202</v>
      </c>
      <c r="M9" s="21" t="s">
        <v>203</v>
      </c>
      <c r="N9" s="21" t="str">
        <f>'Inputs and eligible population'!$E$11</f>
        <v>National</v>
      </c>
      <c r="O9" s="21" t="str">
        <f>IFERROR(VLOOKUP('Inputs and eligible population'!$E$11, $L$5:$M$14, 2, FALSE), "-")</f>
        <v>NATIONAL</v>
      </c>
      <c r="P9" s="16" t="b">
        <f>ISTEXT('Inputs and eligible population'!$E$12)</f>
        <v>1</v>
      </c>
      <c r="V9" s="139" t="s">
        <v>204</v>
      </c>
    </row>
    <row r="10" spans="2:106" x14ac:dyDescent="0.2">
      <c r="B10" s="14"/>
      <c r="K10" s="24"/>
      <c r="L10" s="21" t="s">
        <v>205</v>
      </c>
      <c r="M10" s="21" t="s">
        <v>206</v>
      </c>
      <c r="N10" s="21" t="str">
        <f>'Inputs and eligible population'!$E$11</f>
        <v>National</v>
      </c>
      <c r="O10" s="21" t="str">
        <f>IFERROR(VLOOKUP('Inputs and eligible population'!$E$11, $L$5:$M$14, 2, FALSE), "-")</f>
        <v>NATIONAL</v>
      </c>
      <c r="P10" s="16" t="b">
        <f>ISTEXT('Inputs and eligible population'!$E$12)</f>
        <v>1</v>
      </c>
      <c r="V10" s="139" t="s">
        <v>207</v>
      </c>
    </row>
    <row r="11" spans="2:106" ht="15" x14ac:dyDescent="0.25">
      <c r="B11" s="9" t="s">
        <v>208</v>
      </c>
      <c r="C11" s="24"/>
      <c r="D11" s="24"/>
      <c r="E11" s="24"/>
      <c r="K11" s="24"/>
      <c r="L11" s="111" t="s">
        <v>209</v>
      </c>
      <c r="M11" s="21" t="s">
        <v>210</v>
      </c>
      <c r="N11" s="21" t="str">
        <f>'Inputs and eligible population'!$E$11</f>
        <v>National</v>
      </c>
      <c r="O11" s="21" t="str">
        <f>IFERROR(VLOOKUP('Inputs and eligible population'!$E$11, $L$5:$M$14, 2, FALSE), "-")</f>
        <v>NATIONAL</v>
      </c>
      <c r="P11" s="16" t="b">
        <f>ISTEXT('Inputs and eligible population'!$E$12)</f>
        <v>1</v>
      </c>
      <c r="V11" s="139" t="s">
        <v>211</v>
      </c>
    </row>
    <row r="12" spans="2:106" ht="43.5" customHeight="1" x14ac:dyDescent="0.2">
      <c r="B12" s="15"/>
      <c r="D12" s="202" t="s">
        <v>212</v>
      </c>
      <c r="E12" s="202" t="s">
        <v>212</v>
      </c>
      <c r="L12" s="21" t="s">
        <v>213</v>
      </c>
      <c r="M12" s="21" t="s">
        <v>214</v>
      </c>
      <c r="N12" s="21" t="str">
        <f>'Inputs and eligible population'!$E$11</f>
        <v>National</v>
      </c>
      <c r="O12" s="21" t="str">
        <f>IFERROR(VLOOKUP('Inputs and eligible population'!$E$11, $L$5:$M$14, 2, FALSE), "-")</f>
        <v>NATIONAL</v>
      </c>
      <c r="P12" s="16" t="b">
        <f>ISTEXT('Inputs and eligible population'!$E$12)</f>
        <v>1</v>
      </c>
      <c r="V12" s="139" t="s">
        <v>215</v>
      </c>
    </row>
    <row r="13" spans="2:106" s="19" customFormat="1" ht="45.95" customHeight="1" x14ac:dyDescent="0.2">
      <c r="B13" s="203" t="s">
        <v>40</v>
      </c>
      <c r="C13" s="203" t="s">
        <v>216</v>
      </c>
      <c r="D13" s="26" t="s">
        <v>217</v>
      </c>
      <c r="E13" s="26" t="s">
        <v>218</v>
      </c>
      <c r="F13" s="203" t="s">
        <v>219</v>
      </c>
      <c r="G13" s="11"/>
      <c r="H13" s="11"/>
      <c r="I13" s="11"/>
      <c r="K13" s="11"/>
      <c r="L13" s="21" t="s">
        <v>220</v>
      </c>
      <c r="M13" s="21" t="s">
        <v>221</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16">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4"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222</v>
      </c>
      <c r="M14" s="21" t="s">
        <v>223</v>
      </c>
      <c r="N14" s="21" t="str">
        <f>'Inputs and eligible population'!$E$11</f>
        <v>National</v>
      </c>
      <c r="O14" s="21" t="str">
        <f>IFERROR(VLOOKUP('Inputs and eligible population'!$E$11, $L$5:$M$14, 2, FALSE), "-")</f>
        <v>NATIONAL</v>
      </c>
      <c r="P14" s="16" t="b">
        <f>ISTEXT('Inputs and eligible population'!$E$12)</f>
        <v>1</v>
      </c>
      <c r="V14" s="139" t="s">
        <v>224</v>
      </c>
    </row>
    <row r="15" spans="2:106" x14ac:dyDescent="0.2">
      <c r="B15" s="204"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225</v>
      </c>
    </row>
    <row r="16" spans="2:106" ht="15" x14ac:dyDescent="0.25">
      <c r="B16" s="205" t="s">
        <v>226</v>
      </c>
      <c r="C16" s="206">
        <f>IF(C15&gt;0,C14,C15)</f>
        <v>57106398</v>
      </c>
      <c r="D16" s="206">
        <f>IF(D15&gt;0,D14,D15)</f>
        <v>21895402</v>
      </c>
      <c r="E16" s="206">
        <f>IF(E15&gt;0,E14,E15)</f>
        <v>23324090</v>
      </c>
      <c r="F16" s="206">
        <f>SUM(F15)</f>
        <v>45219492</v>
      </c>
      <c r="L16" s="22"/>
      <c r="M16" s="22"/>
      <c r="P16" s="402">
        <f>COUNTIF(P6:P14, TRUE)</f>
        <v>9</v>
      </c>
    </row>
    <row r="17" spans="1:194" ht="15" x14ac:dyDescent="0.25">
      <c r="Q17" s="23"/>
      <c r="R17" s="23"/>
    </row>
    <row r="18" spans="1:194" ht="45.6" customHeight="1" x14ac:dyDescent="0.2">
      <c r="B18" s="90"/>
      <c r="C18" s="143"/>
      <c r="D18" s="26" t="s">
        <v>212</v>
      </c>
      <c r="E18" s="26" t="s">
        <v>212</v>
      </c>
      <c r="F18" s="90"/>
      <c r="I18" s="90"/>
      <c r="J18" s="90"/>
      <c r="K18" s="24"/>
      <c r="N18" s="24"/>
    </row>
    <row r="19" spans="1:194" ht="23.1" customHeight="1" x14ac:dyDescent="0.25">
      <c r="D19" s="207">
        <v>2</v>
      </c>
      <c r="E19" s="207">
        <v>3</v>
      </c>
      <c r="F19" s="207">
        <v>4</v>
      </c>
      <c r="G19" s="207">
        <v>5</v>
      </c>
      <c r="H19" s="207">
        <v>6</v>
      </c>
      <c r="K19" s="24"/>
    </row>
    <row r="20" spans="1:194" s="1" customFormat="1" ht="48" customHeight="1" x14ac:dyDescent="0.25">
      <c r="A20" s="124" t="s">
        <v>193</v>
      </c>
      <c r="B20" s="123" t="s">
        <v>227</v>
      </c>
      <c r="C20" s="123" t="s">
        <v>228</v>
      </c>
      <c r="D20" s="82" t="s">
        <v>229</v>
      </c>
      <c r="E20" s="82" t="s">
        <v>229</v>
      </c>
      <c r="F20" s="82" t="s">
        <v>230</v>
      </c>
      <c r="G20" s="82" t="s">
        <v>230</v>
      </c>
      <c r="H20" s="82" t="s">
        <v>230</v>
      </c>
      <c r="I20" s="123" t="s">
        <v>229</v>
      </c>
      <c r="J20" s="123" t="s">
        <v>229</v>
      </c>
      <c r="K20" s="123" t="s">
        <v>231</v>
      </c>
      <c r="L20" s="123" t="s">
        <v>231</v>
      </c>
      <c r="M20" s="125" t="s">
        <v>232</v>
      </c>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4"/>
      <c r="AU20" s="524"/>
      <c r="AV20" s="524"/>
      <c r="AW20" s="524"/>
      <c r="AX20" s="524"/>
      <c r="AY20" s="524"/>
      <c r="AZ20" s="524"/>
      <c r="BA20" s="524"/>
      <c r="BB20" s="524"/>
      <c r="BC20" s="524"/>
      <c r="BD20" s="524"/>
      <c r="BE20" s="524"/>
      <c r="BF20" s="524"/>
      <c r="BG20" s="524"/>
      <c r="BH20" s="524"/>
      <c r="BI20" s="524"/>
      <c r="BJ20" s="524"/>
      <c r="BK20" s="524"/>
      <c r="BL20" s="524"/>
      <c r="BM20" s="524"/>
      <c r="BN20" s="524"/>
      <c r="BO20" s="524"/>
      <c r="BP20" s="524"/>
      <c r="BQ20" s="524"/>
      <c r="BR20" s="524"/>
      <c r="BS20" s="524"/>
      <c r="BT20" s="524"/>
      <c r="BU20" s="524"/>
      <c r="BV20" s="524"/>
      <c r="BW20" s="524"/>
      <c r="BX20" s="524"/>
      <c r="BY20" s="524"/>
      <c r="BZ20" s="524"/>
      <c r="CA20" s="524"/>
      <c r="CB20" s="524"/>
      <c r="CC20" s="524"/>
      <c r="CD20" s="524"/>
      <c r="CE20" s="524"/>
      <c r="CF20" s="524"/>
      <c r="CG20" s="524"/>
      <c r="CH20" s="524"/>
      <c r="CI20" s="524"/>
      <c r="CJ20" s="524"/>
      <c r="CK20" s="524"/>
      <c r="CL20" s="524"/>
      <c r="CM20" s="524"/>
      <c r="CN20" s="524"/>
      <c r="CO20" s="524"/>
      <c r="CP20" s="524"/>
      <c r="CQ20" s="524"/>
      <c r="CR20" s="524"/>
      <c r="CS20" s="524"/>
      <c r="CT20" s="524"/>
      <c r="CU20" s="524"/>
      <c r="CV20" s="524"/>
      <c r="CW20" s="524"/>
      <c r="CX20" s="524"/>
      <c r="CY20" s="126"/>
      <c r="CZ20" s="525" t="s">
        <v>233</v>
      </c>
      <c r="DA20" s="525"/>
      <c r="DB20" s="525"/>
      <c r="DC20" s="525"/>
      <c r="DD20" s="525"/>
      <c r="DE20" s="525"/>
      <c r="DF20" s="525"/>
      <c r="DG20" s="525"/>
      <c r="DH20" s="525"/>
      <c r="DI20" s="525"/>
      <c r="DJ20" s="525"/>
      <c r="DK20" s="525"/>
      <c r="DL20" s="525"/>
      <c r="DM20" s="525"/>
      <c r="DN20" s="525"/>
      <c r="DO20" s="525"/>
      <c r="DP20" s="525"/>
      <c r="DQ20" s="525"/>
      <c r="DR20" s="525"/>
      <c r="DS20" s="525"/>
      <c r="DT20" s="525"/>
      <c r="DU20" s="525"/>
      <c r="DV20" s="525"/>
      <c r="DW20" s="525"/>
      <c r="DX20" s="525"/>
      <c r="DY20" s="525"/>
      <c r="DZ20" s="525"/>
      <c r="EA20" s="525"/>
      <c r="EB20" s="525"/>
      <c r="EC20" s="525"/>
      <c r="ED20" s="525"/>
      <c r="EE20" s="525"/>
      <c r="EF20" s="525"/>
      <c r="EG20" s="525"/>
      <c r="EH20" s="525"/>
      <c r="EI20" s="525"/>
      <c r="EJ20" s="525"/>
      <c r="EK20" s="525"/>
      <c r="EL20" s="525"/>
      <c r="EM20" s="525"/>
      <c r="EN20" s="525"/>
      <c r="EO20" s="525"/>
      <c r="EP20" s="525"/>
      <c r="EQ20" s="525"/>
      <c r="ER20" s="525"/>
      <c r="ES20" s="525"/>
      <c r="ET20" s="525"/>
      <c r="EU20" s="525"/>
      <c r="EV20" s="525"/>
      <c r="EW20" s="525"/>
      <c r="EX20" s="525"/>
      <c r="EY20" s="525"/>
      <c r="EZ20" s="525"/>
      <c r="FA20" s="525"/>
      <c r="FB20" s="525"/>
      <c r="FC20" s="525"/>
      <c r="FD20" s="525"/>
      <c r="FE20" s="525"/>
      <c r="FF20" s="525"/>
      <c r="FG20" s="525"/>
      <c r="FH20" s="525"/>
      <c r="FI20" s="525"/>
      <c r="FJ20" s="525"/>
      <c r="FK20" s="525"/>
      <c r="FL20" s="525"/>
      <c r="FM20" s="525"/>
      <c r="FN20" s="525"/>
      <c r="FO20" s="525"/>
      <c r="FP20" s="525"/>
      <c r="FQ20" s="525"/>
      <c r="FR20" s="525"/>
      <c r="FS20" s="525"/>
      <c r="FT20" s="525"/>
      <c r="FU20" s="525"/>
      <c r="FV20" s="525"/>
      <c r="FW20" s="525"/>
      <c r="FX20" s="525"/>
      <c r="FY20" s="525"/>
      <c r="FZ20" s="525"/>
      <c r="GA20" s="525"/>
      <c r="GB20" s="525"/>
      <c r="GC20" s="525"/>
      <c r="GD20" s="525"/>
      <c r="GE20" s="525"/>
      <c r="GF20" s="525"/>
      <c r="GG20" s="525"/>
      <c r="GH20" s="525"/>
      <c r="GI20" s="525"/>
      <c r="GJ20" s="525"/>
      <c r="GK20" s="525"/>
      <c r="GL20" s="122"/>
    </row>
    <row r="21" spans="1:194" s="8" customFormat="1" ht="30" x14ac:dyDescent="0.25">
      <c r="A21" s="124"/>
      <c r="B21" s="123"/>
      <c r="C21" s="123"/>
      <c r="D21" s="25" t="s">
        <v>217</v>
      </c>
      <c r="E21" s="26" t="s">
        <v>218</v>
      </c>
      <c r="F21" s="82" t="s">
        <v>234</v>
      </c>
      <c r="G21" s="81" t="s">
        <v>232</v>
      </c>
      <c r="H21" s="81" t="s">
        <v>233</v>
      </c>
      <c r="I21" s="82" t="s">
        <v>232</v>
      </c>
      <c r="J21" s="81" t="s">
        <v>233</v>
      </c>
      <c r="K21" s="82" t="s">
        <v>232</v>
      </c>
      <c r="L21" s="27" t="s">
        <v>233</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235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235</v>
      </c>
    </row>
    <row r="22" spans="1:194" s="1" customFormat="1" x14ac:dyDescent="0.2">
      <c r="A22" s="30"/>
      <c r="B22" s="72"/>
      <c r="C22" s="60"/>
      <c r="D22" s="78"/>
      <c r="E22" s="78"/>
      <c r="F22" s="526"/>
      <c r="G22" s="526"/>
      <c r="H22" s="78"/>
      <c r="I22" s="78"/>
      <c r="J22" s="78"/>
      <c r="K22" s="526"/>
      <c r="L22" s="78"/>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526"/>
      <c r="AV22" s="526"/>
      <c r="AW22" s="526"/>
      <c r="AX22" s="526"/>
      <c r="AY22" s="526"/>
      <c r="AZ22" s="526"/>
      <c r="BA22" s="526"/>
      <c r="BB22" s="526"/>
      <c r="BC22" s="526"/>
      <c r="BD22" s="526"/>
      <c r="BE22" s="526"/>
      <c r="BF22" s="526"/>
      <c r="BG22" s="526"/>
      <c r="BH22" s="526"/>
      <c r="BI22" s="526"/>
      <c r="BJ22" s="526"/>
      <c r="BK22" s="526"/>
      <c r="BL22" s="526"/>
      <c r="BM22" s="526"/>
      <c r="BN22" s="526"/>
      <c r="BO22" s="526"/>
      <c r="BP22" s="526"/>
      <c r="BQ22" s="526"/>
      <c r="BR22" s="526"/>
      <c r="BS22" s="526"/>
      <c r="BT22" s="526"/>
      <c r="BU22" s="526"/>
      <c r="BV22" s="526"/>
      <c r="BW22" s="526"/>
      <c r="BX22" s="526"/>
      <c r="BY22" s="526"/>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6"/>
      <c r="CW22" s="526"/>
      <c r="CX22" s="526"/>
      <c r="CY22" s="78"/>
      <c r="CZ22" s="526"/>
      <c r="DA22" s="526"/>
      <c r="DB22" s="526"/>
      <c r="DC22" s="526"/>
      <c r="DD22" s="526"/>
      <c r="DE22" s="526"/>
      <c r="DF22" s="526"/>
      <c r="DG22" s="526"/>
      <c r="DH22" s="526"/>
      <c r="DI22" s="526"/>
      <c r="DJ22" s="526"/>
      <c r="DK22" s="526"/>
      <c r="DL22" s="526"/>
      <c r="DM22" s="526"/>
      <c r="DN22" s="526"/>
      <c r="DO22" s="526"/>
      <c r="DP22" s="526"/>
      <c r="DQ22" s="526"/>
      <c r="DR22" s="526"/>
      <c r="DS22" s="526"/>
      <c r="DT22" s="526"/>
      <c r="DU22" s="526"/>
      <c r="DV22" s="526"/>
      <c r="DW22" s="526"/>
      <c r="DX22" s="526"/>
      <c r="DY22" s="526"/>
      <c r="DZ22" s="526"/>
      <c r="EA22" s="526"/>
      <c r="EB22" s="526"/>
      <c r="EC22" s="526"/>
      <c r="ED22" s="526"/>
      <c r="EE22" s="526"/>
      <c r="EF22" s="526"/>
      <c r="EG22" s="526"/>
      <c r="EH22" s="526"/>
      <c r="EI22" s="526"/>
      <c r="EJ22" s="526"/>
      <c r="EK22" s="526"/>
      <c r="EL22" s="526"/>
      <c r="EM22" s="526"/>
      <c r="EN22" s="526"/>
      <c r="EO22" s="526"/>
      <c r="EP22" s="526"/>
      <c r="EQ22" s="526"/>
      <c r="ER22" s="526"/>
      <c r="ES22" s="526"/>
      <c r="ET22" s="526"/>
      <c r="EU22" s="526"/>
      <c r="EV22" s="526"/>
      <c r="EW22" s="526"/>
      <c r="EX22" s="526"/>
      <c r="EY22" s="526"/>
      <c r="EZ22" s="526"/>
      <c r="FA22" s="526"/>
      <c r="FB22" s="526"/>
      <c r="FC22" s="526"/>
      <c r="FD22" s="526"/>
      <c r="FE22" s="526"/>
      <c r="FF22" s="526"/>
      <c r="FG22" s="526"/>
      <c r="FH22" s="526"/>
      <c r="FI22" s="526"/>
      <c r="FJ22" s="526"/>
      <c r="FK22" s="526"/>
      <c r="FL22" s="526"/>
      <c r="FM22" s="526"/>
      <c r="FN22" s="526"/>
      <c r="FO22" s="526"/>
      <c r="FP22" s="526"/>
      <c r="FQ22" s="526"/>
      <c r="FR22" s="526"/>
      <c r="FS22" s="526"/>
      <c r="FT22" s="526"/>
      <c r="FU22" s="526"/>
      <c r="FV22" s="526"/>
      <c r="FW22" s="526"/>
      <c r="FX22" s="526"/>
      <c r="FY22" s="526"/>
      <c r="FZ22" s="526"/>
      <c r="GA22" s="526"/>
      <c r="GB22" s="526"/>
      <c r="GC22" s="526"/>
      <c r="GD22" s="526"/>
      <c r="GE22" s="526"/>
      <c r="GF22" s="526"/>
      <c r="GG22" s="526"/>
      <c r="GH22" s="526"/>
      <c r="GI22" s="526"/>
      <c r="GJ22" s="526"/>
      <c r="GK22" s="526"/>
      <c r="GL22" s="78"/>
    </row>
    <row r="23" spans="1:194" s="70" customFormat="1" ht="21.75" customHeight="1" x14ac:dyDescent="0.25">
      <c r="A23" s="65" t="s">
        <v>191</v>
      </c>
      <c r="B23" s="66" t="s">
        <v>191</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39</v>
      </c>
      <c r="B25" s="551" t="s">
        <v>41</v>
      </c>
      <c r="C25" s="75" t="s">
        <v>236</v>
      </c>
      <c r="D25" s="77">
        <f t="shared" ref="D25:E27" si="3">I25</f>
        <v>21895402</v>
      </c>
      <c r="E25" s="77">
        <f t="shared" si="3"/>
        <v>23324090</v>
      </c>
      <c r="F25" s="527">
        <f>G25+H25</f>
        <v>57106398</v>
      </c>
      <c r="G25" s="527">
        <f>SUM(M25:CY25)</f>
        <v>27983290</v>
      </c>
      <c r="H25" s="76">
        <f>SUM(CZ25:GL25)</f>
        <v>29123108</v>
      </c>
      <c r="I25" s="76">
        <f>SUM(AE25:CY25)</f>
        <v>21895402</v>
      </c>
      <c r="J25" s="76">
        <f>SUM(DR25:GL25)</f>
        <v>23324090</v>
      </c>
      <c r="K25" s="528">
        <f>SUM(M25:AD25)</f>
        <v>6087888</v>
      </c>
      <c r="L25" s="77">
        <f>SUM(CZ25:DQ25)</f>
        <v>5799018</v>
      </c>
      <c r="M25" s="527">
        <v>305120</v>
      </c>
      <c r="N25" s="527">
        <v>303019</v>
      </c>
      <c r="O25" s="527">
        <v>314737</v>
      </c>
      <c r="P25" s="527">
        <v>321299</v>
      </c>
      <c r="Q25" s="527">
        <v>325230</v>
      </c>
      <c r="R25" s="527">
        <v>333023</v>
      </c>
      <c r="S25" s="527">
        <v>343154</v>
      </c>
      <c r="T25" s="527">
        <v>339729</v>
      </c>
      <c r="U25" s="527">
        <v>341966</v>
      </c>
      <c r="V25" s="527">
        <v>351482</v>
      </c>
      <c r="W25" s="527">
        <v>360539</v>
      </c>
      <c r="X25" s="527">
        <v>361688</v>
      </c>
      <c r="Y25" s="527">
        <v>356777</v>
      </c>
      <c r="Z25" s="527">
        <v>354079</v>
      </c>
      <c r="AA25" s="527">
        <v>357199</v>
      </c>
      <c r="AB25" s="527">
        <v>344190</v>
      </c>
      <c r="AC25" s="527">
        <v>336612</v>
      </c>
      <c r="AD25" s="527">
        <v>338045</v>
      </c>
      <c r="AE25" s="527">
        <v>339142</v>
      </c>
      <c r="AF25" s="527">
        <v>339234</v>
      </c>
      <c r="AG25" s="527">
        <v>338398</v>
      </c>
      <c r="AH25" s="527">
        <v>338465</v>
      </c>
      <c r="AI25" s="527">
        <v>345338</v>
      </c>
      <c r="AJ25" s="527">
        <v>358287</v>
      </c>
      <c r="AK25" s="527">
        <v>360304</v>
      </c>
      <c r="AL25" s="527">
        <v>365799</v>
      </c>
      <c r="AM25" s="527">
        <v>360324</v>
      </c>
      <c r="AN25" s="527">
        <v>364086</v>
      </c>
      <c r="AO25" s="527">
        <v>372653</v>
      </c>
      <c r="AP25" s="527">
        <v>372807</v>
      </c>
      <c r="AQ25" s="527">
        <v>383710</v>
      </c>
      <c r="AR25" s="527">
        <v>389563</v>
      </c>
      <c r="AS25" s="527">
        <v>387640</v>
      </c>
      <c r="AT25" s="527">
        <v>384620</v>
      </c>
      <c r="AU25" s="527">
        <v>387905</v>
      </c>
      <c r="AV25" s="527">
        <v>378829</v>
      </c>
      <c r="AW25" s="527">
        <v>378199</v>
      </c>
      <c r="AX25" s="527">
        <v>377186</v>
      </c>
      <c r="AY25" s="527">
        <v>365502</v>
      </c>
      <c r="AZ25" s="527">
        <v>366111</v>
      </c>
      <c r="BA25" s="527">
        <v>365728</v>
      </c>
      <c r="BB25" s="527">
        <v>369097</v>
      </c>
      <c r="BC25" s="527">
        <v>371802</v>
      </c>
      <c r="BD25" s="527">
        <v>357560</v>
      </c>
      <c r="BE25" s="527">
        <v>334069</v>
      </c>
      <c r="BF25" s="527">
        <v>328458</v>
      </c>
      <c r="BG25" s="527">
        <v>335746</v>
      </c>
      <c r="BH25" s="527">
        <v>342585</v>
      </c>
      <c r="BI25" s="527">
        <v>346685</v>
      </c>
      <c r="BJ25" s="527">
        <v>360442</v>
      </c>
      <c r="BK25" s="527">
        <v>373390</v>
      </c>
      <c r="BL25" s="527">
        <v>385375</v>
      </c>
      <c r="BM25" s="527">
        <v>375807</v>
      </c>
      <c r="BN25" s="527">
        <v>383988</v>
      </c>
      <c r="BO25" s="527">
        <v>382566</v>
      </c>
      <c r="BP25" s="527">
        <v>385629</v>
      </c>
      <c r="BQ25" s="527">
        <v>381742</v>
      </c>
      <c r="BR25" s="527">
        <v>381998</v>
      </c>
      <c r="BS25" s="527">
        <v>376164</v>
      </c>
      <c r="BT25" s="527">
        <v>367036</v>
      </c>
      <c r="BU25" s="527">
        <v>357672</v>
      </c>
      <c r="BV25" s="527">
        <v>344928</v>
      </c>
      <c r="BW25" s="527">
        <v>329857</v>
      </c>
      <c r="BX25" s="527">
        <v>319451</v>
      </c>
      <c r="BY25" s="527">
        <v>309724</v>
      </c>
      <c r="BZ25" s="527">
        <v>294558</v>
      </c>
      <c r="CA25" s="527">
        <v>282293</v>
      </c>
      <c r="CB25" s="527">
        <v>268536</v>
      </c>
      <c r="CC25" s="527">
        <v>266443</v>
      </c>
      <c r="CD25" s="527">
        <v>260410</v>
      </c>
      <c r="CE25" s="527">
        <v>249450</v>
      </c>
      <c r="CF25" s="527">
        <v>249080</v>
      </c>
      <c r="CG25" s="527">
        <v>249070</v>
      </c>
      <c r="CH25" s="527">
        <v>252982</v>
      </c>
      <c r="CI25" s="527">
        <v>263625</v>
      </c>
      <c r="CJ25" s="527">
        <v>283090</v>
      </c>
      <c r="CK25" s="527">
        <v>211587</v>
      </c>
      <c r="CL25" s="527">
        <v>200401</v>
      </c>
      <c r="CM25" s="527">
        <v>195036</v>
      </c>
      <c r="CN25" s="527">
        <v>174093</v>
      </c>
      <c r="CO25" s="527">
        <v>149572</v>
      </c>
      <c r="CP25" s="527">
        <v>127665</v>
      </c>
      <c r="CQ25" s="527">
        <v>127183</v>
      </c>
      <c r="CR25" s="527">
        <v>120061</v>
      </c>
      <c r="CS25" s="527">
        <v>109873</v>
      </c>
      <c r="CT25" s="527">
        <v>97456</v>
      </c>
      <c r="CU25" s="527">
        <v>84705</v>
      </c>
      <c r="CV25" s="527">
        <v>73428</v>
      </c>
      <c r="CW25" s="527">
        <v>60864</v>
      </c>
      <c r="CX25" s="527">
        <v>51376</v>
      </c>
      <c r="CY25" s="527">
        <v>170964</v>
      </c>
      <c r="CZ25" s="527">
        <v>291186</v>
      </c>
      <c r="DA25" s="527">
        <v>289546</v>
      </c>
      <c r="DB25" s="527">
        <v>300800</v>
      </c>
      <c r="DC25" s="527">
        <v>305906</v>
      </c>
      <c r="DD25" s="527">
        <v>310539</v>
      </c>
      <c r="DE25" s="527">
        <v>318263</v>
      </c>
      <c r="DF25" s="527">
        <v>326932</v>
      </c>
      <c r="DG25" s="527">
        <v>324633</v>
      </c>
      <c r="DH25" s="527">
        <v>326780</v>
      </c>
      <c r="DI25" s="527">
        <v>334543</v>
      </c>
      <c r="DJ25" s="527">
        <v>344341</v>
      </c>
      <c r="DK25" s="527">
        <v>343967</v>
      </c>
      <c r="DL25" s="527">
        <v>339949</v>
      </c>
      <c r="DM25" s="527">
        <v>337345</v>
      </c>
      <c r="DN25" s="527">
        <v>340474</v>
      </c>
      <c r="DO25" s="527">
        <v>326885</v>
      </c>
      <c r="DP25" s="527">
        <v>319023</v>
      </c>
      <c r="DQ25" s="527">
        <v>317906</v>
      </c>
      <c r="DR25" s="527">
        <v>318297</v>
      </c>
      <c r="DS25" s="527">
        <v>319325</v>
      </c>
      <c r="DT25" s="527">
        <v>325075</v>
      </c>
      <c r="DU25" s="527">
        <v>327194</v>
      </c>
      <c r="DV25" s="527">
        <v>333614</v>
      </c>
      <c r="DW25" s="527">
        <v>350669</v>
      </c>
      <c r="DX25" s="527">
        <v>358581</v>
      </c>
      <c r="DY25" s="527">
        <v>367839</v>
      </c>
      <c r="DZ25" s="527">
        <v>363988</v>
      </c>
      <c r="EA25" s="527">
        <v>374022</v>
      </c>
      <c r="EB25" s="527">
        <v>387522</v>
      </c>
      <c r="EC25" s="527">
        <v>390671</v>
      </c>
      <c r="ED25" s="527">
        <v>404331</v>
      </c>
      <c r="EE25" s="527">
        <v>410921</v>
      </c>
      <c r="EF25" s="527">
        <v>413176</v>
      </c>
      <c r="EG25" s="527">
        <v>411450</v>
      </c>
      <c r="EH25" s="527">
        <v>417983</v>
      </c>
      <c r="EI25" s="527">
        <v>409203</v>
      </c>
      <c r="EJ25" s="527">
        <v>404000</v>
      </c>
      <c r="EK25" s="527">
        <v>401928</v>
      </c>
      <c r="EL25" s="527">
        <v>389436</v>
      </c>
      <c r="EM25" s="527">
        <v>389518</v>
      </c>
      <c r="EN25" s="527">
        <v>386124</v>
      </c>
      <c r="EO25" s="527">
        <v>390735</v>
      </c>
      <c r="EP25" s="527">
        <v>390956</v>
      </c>
      <c r="EQ25" s="527">
        <v>373536</v>
      </c>
      <c r="ER25" s="527">
        <v>346385</v>
      </c>
      <c r="ES25" s="527">
        <v>339293</v>
      </c>
      <c r="ET25" s="527">
        <v>345871</v>
      </c>
      <c r="EU25" s="527">
        <v>353016</v>
      </c>
      <c r="EV25" s="527">
        <v>356906</v>
      </c>
      <c r="EW25" s="527">
        <v>370244</v>
      </c>
      <c r="EX25" s="527">
        <v>384214</v>
      </c>
      <c r="EY25" s="527">
        <v>399644</v>
      </c>
      <c r="EZ25" s="527">
        <v>389031</v>
      </c>
      <c r="FA25" s="527">
        <v>397139</v>
      </c>
      <c r="FB25" s="527">
        <v>395547</v>
      </c>
      <c r="FC25" s="527">
        <v>396676</v>
      </c>
      <c r="FD25" s="527">
        <v>396578</v>
      </c>
      <c r="FE25" s="527">
        <v>396708</v>
      </c>
      <c r="FF25" s="527">
        <v>390539</v>
      </c>
      <c r="FG25" s="527">
        <v>380695</v>
      </c>
      <c r="FH25" s="527">
        <v>371143</v>
      </c>
      <c r="FI25" s="527">
        <v>355407</v>
      </c>
      <c r="FJ25" s="527">
        <v>340408</v>
      </c>
      <c r="FK25" s="527">
        <v>331322</v>
      </c>
      <c r="FL25" s="527">
        <v>321164</v>
      </c>
      <c r="FM25" s="527">
        <v>308551</v>
      </c>
      <c r="FN25" s="527">
        <v>295719</v>
      </c>
      <c r="FO25" s="527">
        <v>284931</v>
      </c>
      <c r="FP25" s="527">
        <v>285437</v>
      </c>
      <c r="FQ25" s="527">
        <v>278929</v>
      </c>
      <c r="FR25" s="527">
        <v>271460</v>
      </c>
      <c r="FS25" s="527">
        <v>271487</v>
      </c>
      <c r="FT25" s="527">
        <v>275610</v>
      </c>
      <c r="FU25" s="527">
        <v>280129</v>
      </c>
      <c r="FV25" s="527">
        <v>294843</v>
      </c>
      <c r="FW25" s="527">
        <v>316380</v>
      </c>
      <c r="FX25" s="527">
        <v>240292</v>
      </c>
      <c r="FY25" s="527">
        <v>230370</v>
      </c>
      <c r="FZ25" s="527">
        <v>225985</v>
      </c>
      <c r="GA25" s="527">
        <v>206546</v>
      </c>
      <c r="GB25" s="527">
        <v>181398</v>
      </c>
      <c r="GC25" s="527">
        <v>159103</v>
      </c>
      <c r="GD25" s="527">
        <v>161482</v>
      </c>
      <c r="GE25" s="527">
        <v>155577</v>
      </c>
      <c r="GF25" s="527">
        <v>145759</v>
      </c>
      <c r="GG25" s="527">
        <v>132931</v>
      </c>
      <c r="GH25" s="527">
        <v>120255</v>
      </c>
      <c r="GI25" s="527">
        <v>107758</v>
      </c>
      <c r="GJ25" s="527">
        <v>93505</v>
      </c>
      <c r="GK25" s="527">
        <v>82264</v>
      </c>
      <c r="GL25" s="527">
        <v>349365</v>
      </c>
    </row>
    <row r="26" spans="1:194" s="8" customFormat="1" ht="15" x14ac:dyDescent="0.25">
      <c r="A26" s="32" t="s">
        <v>39</v>
      </c>
      <c r="B26" s="552" t="s">
        <v>237</v>
      </c>
      <c r="C26" s="33" t="s">
        <v>238</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39</v>
      </c>
      <c r="B27" s="553" t="s">
        <v>239</v>
      </c>
      <c r="C27" s="39" t="s">
        <v>240</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554"/>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hidden="1" x14ac:dyDescent="0.2">
      <c r="A29" s="83" t="s">
        <v>222</v>
      </c>
      <c r="B29" s="555" t="s">
        <v>241</v>
      </c>
      <c r="C29" s="72" t="str">
        <f t="shared" ref="C29:C92" si="4">CONCATENATE(A29," - ",B29)</f>
        <v xml:space="preserve">England – CCGs - Barnsley </v>
      </c>
      <c r="D29" s="61">
        <f>I29</f>
        <v>95316</v>
      </c>
      <c r="E29" s="61">
        <f>J29</f>
        <v>100485</v>
      </c>
      <c r="F29" s="529">
        <f>G29+H29</f>
        <v>246482</v>
      </c>
      <c r="G29" s="529">
        <f>SUM(M29:CY29)</f>
        <v>121223</v>
      </c>
      <c r="H29" s="62">
        <f>SUM(CZ29:GL29)</f>
        <v>125259</v>
      </c>
      <c r="I29" s="62">
        <f>SUM(AE29:CY29)</f>
        <v>95316</v>
      </c>
      <c r="J29" s="62">
        <f>SUM(DR29:GL29)</f>
        <v>100485</v>
      </c>
      <c r="K29" s="530">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hidden="1" x14ac:dyDescent="0.2">
      <c r="A30" s="87" t="s">
        <v>222</v>
      </c>
      <c r="B30" s="555" t="s">
        <v>242</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hidden="1" x14ac:dyDescent="0.2">
      <c r="A31" s="87" t="s">
        <v>222</v>
      </c>
      <c r="B31" s="555" t="s">
        <v>243</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hidden="1" x14ac:dyDescent="0.2">
      <c r="A32" s="87" t="s">
        <v>222</v>
      </c>
      <c r="B32" s="555" t="s">
        <v>244</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hidden="1" x14ac:dyDescent="0.2">
      <c r="A33" s="87" t="s">
        <v>222</v>
      </c>
      <c r="B33" s="555" t="s">
        <v>245</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hidden="1" x14ac:dyDescent="0.2">
      <c r="A34" s="87" t="s">
        <v>222</v>
      </c>
      <c r="B34" s="555" t="s">
        <v>246</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hidden="1" x14ac:dyDescent="0.2">
      <c r="A35" s="87" t="s">
        <v>222</v>
      </c>
      <c r="B35" s="555" t="s">
        <v>247</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hidden="1" x14ac:dyDescent="0.2">
      <c r="A36" s="87" t="s">
        <v>222</v>
      </c>
      <c r="B36" s="555" t="s">
        <v>248</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hidden="1" x14ac:dyDescent="0.2">
      <c r="A37" s="87" t="s">
        <v>222</v>
      </c>
      <c r="B37" s="555" t="s">
        <v>249</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hidden="1" x14ac:dyDescent="0.2">
      <c r="A38" s="87" t="s">
        <v>222</v>
      </c>
      <c r="B38" s="555" t="s">
        <v>250</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hidden="1" x14ac:dyDescent="0.2">
      <c r="A39" s="87" t="s">
        <v>222</v>
      </c>
      <c r="B39" s="555" t="s">
        <v>251</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hidden="1" x14ac:dyDescent="0.2">
      <c r="A40" s="87" t="s">
        <v>222</v>
      </c>
      <c r="B40" s="555" t="s">
        <v>252</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hidden="1" x14ac:dyDescent="0.2">
      <c r="A41" s="87" t="s">
        <v>222</v>
      </c>
      <c r="B41" s="555" t="s">
        <v>253</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hidden="1" x14ac:dyDescent="0.2">
      <c r="A42" s="87" t="s">
        <v>222</v>
      </c>
      <c r="B42" s="555" t="s">
        <v>254</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hidden="1" x14ac:dyDescent="0.2">
      <c r="A43" s="87" t="s">
        <v>222</v>
      </c>
      <c r="B43" s="555" t="s">
        <v>255</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hidden="1" x14ac:dyDescent="0.2">
      <c r="A44" s="87" t="s">
        <v>222</v>
      </c>
      <c r="B44" s="555" t="s">
        <v>256</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hidden="1" x14ac:dyDescent="0.2">
      <c r="A45" s="87" t="s">
        <v>222</v>
      </c>
      <c r="B45" s="555" t="s">
        <v>257</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hidden="1" x14ac:dyDescent="0.2">
      <c r="A46" s="87" t="s">
        <v>222</v>
      </c>
      <c r="B46" s="555" t="s">
        <v>258</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hidden="1" x14ac:dyDescent="0.2">
      <c r="A47" s="87" t="s">
        <v>222</v>
      </c>
      <c r="B47" s="555" t="s">
        <v>259</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hidden="1" x14ac:dyDescent="0.2">
      <c r="A48" s="87" t="s">
        <v>222</v>
      </c>
      <c r="B48" s="555" t="s">
        <v>260</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hidden="1" x14ac:dyDescent="0.2">
      <c r="A49" s="87" t="s">
        <v>222</v>
      </c>
      <c r="B49" s="555" t="s">
        <v>261</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hidden="1" x14ac:dyDescent="0.2">
      <c r="A50" s="87" t="s">
        <v>222</v>
      </c>
      <c r="B50" s="555" t="s">
        <v>262</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hidden="1" x14ac:dyDescent="0.2">
      <c r="A51" s="87" t="s">
        <v>222</v>
      </c>
      <c r="B51" s="555" t="s">
        <v>263</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hidden="1" x14ac:dyDescent="0.2">
      <c r="A52" s="87" t="s">
        <v>222</v>
      </c>
      <c r="B52" s="555" t="s">
        <v>264</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hidden="1" x14ac:dyDescent="0.2">
      <c r="A53" s="87" t="s">
        <v>222</v>
      </c>
      <c r="B53" s="555" t="s">
        <v>265</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hidden="1" x14ac:dyDescent="0.2">
      <c r="A54" s="87" t="s">
        <v>222</v>
      </c>
      <c r="B54" s="555" t="s">
        <v>266</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hidden="1" x14ac:dyDescent="0.2">
      <c r="A55" s="87" t="s">
        <v>222</v>
      </c>
      <c r="B55" s="555" t="s">
        <v>267</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hidden="1" x14ac:dyDescent="0.2">
      <c r="A56" s="87" t="s">
        <v>222</v>
      </c>
      <c r="B56" s="555" t="s">
        <v>268</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hidden="1" x14ac:dyDescent="0.2">
      <c r="A57" s="87" t="s">
        <v>222</v>
      </c>
      <c r="B57" s="555" t="s">
        <v>269</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hidden="1" x14ac:dyDescent="0.2">
      <c r="A58" s="87" t="s">
        <v>222</v>
      </c>
      <c r="B58" s="555" t="s">
        <v>270</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hidden="1" x14ac:dyDescent="0.2">
      <c r="A59" s="87" t="s">
        <v>222</v>
      </c>
      <c r="B59" s="555" t="s">
        <v>271</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hidden="1" x14ac:dyDescent="0.2">
      <c r="A60" s="87" t="s">
        <v>222</v>
      </c>
      <c r="B60" s="555" t="s">
        <v>272</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hidden="1" x14ac:dyDescent="0.2">
      <c r="A61" s="87" t="s">
        <v>222</v>
      </c>
      <c r="B61" s="555" t="s">
        <v>273</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hidden="1" x14ac:dyDescent="0.2">
      <c r="A62" s="87" t="s">
        <v>222</v>
      </c>
      <c r="B62" s="555" t="s">
        <v>274</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hidden="1" x14ac:dyDescent="0.2">
      <c r="A63" s="87" t="s">
        <v>222</v>
      </c>
      <c r="B63" s="555" t="s">
        <v>275</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hidden="1" x14ac:dyDescent="0.2">
      <c r="A64" s="87" t="s">
        <v>222</v>
      </c>
      <c r="B64" s="555" t="s">
        <v>276</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hidden="1" x14ac:dyDescent="0.2">
      <c r="A65" s="87" t="s">
        <v>222</v>
      </c>
      <c r="B65" s="555" t="s">
        <v>277</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hidden="1" x14ac:dyDescent="0.2">
      <c r="A66" s="87" t="s">
        <v>222</v>
      </c>
      <c r="B66" s="555" t="s">
        <v>278</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hidden="1" x14ac:dyDescent="0.2">
      <c r="A67" s="87" t="s">
        <v>222</v>
      </c>
      <c r="B67" s="555" t="s">
        <v>279</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hidden="1" x14ac:dyDescent="0.2">
      <c r="A68" s="87" t="s">
        <v>222</v>
      </c>
      <c r="B68" s="555" t="s">
        <v>280</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hidden="1" x14ac:dyDescent="0.2">
      <c r="A69" s="87" t="s">
        <v>222</v>
      </c>
      <c r="B69" s="555" t="s">
        <v>281</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hidden="1" x14ac:dyDescent="0.2">
      <c r="A70" s="87" t="s">
        <v>222</v>
      </c>
      <c r="B70" s="555" t="s">
        <v>282</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hidden="1" x14ac:dyDescent="0.2">
      <c r="A71" s="87" t="s">
        <v>222</v>
      </c>
      <c r="B71" s="555" t="s">
        <v>283</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hidden="1" x14ac:dyDescent="0.2">
      <c r="A72" s="87" t="s">
        <v>222</v>
      </c>
      <c r="B72" s="555" t="s">
        <v>284</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hidden="1" x14ac:dyDescent="0.2">
      <c r="A73" s="87" t="s">
        <v>222</v>
      </c>
      <c r="B73" s="555" t="s">
        <v>285</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hidden="1" x14ac:dyDescent="0.2">
      <c r="A74" s="87" t="s">
        <v>222</v>
      </c>
      <c r="B74" s="555" t="s">
        <v>286</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hidden="1" x14ac:dyDescent="0.2">
      <c r="A75" s="87" t="s">
        <v>222</v>
      </c>
      <c r="B75" s="555" t="s">
        <v>287</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hidden="1" x14ac:dyDescent="0.2">
      <c r="A76" s="87" t="s">
        <v>222</v>
      </c>
      <c r="B76" s="555" t="s">
        <v>288</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hidden="1" x14ac:dyDescent="0.2">
      <c r="A77" s="87" t="s">
        <v>222</v>
      </c>
      <c r="B77" s="555" t="s">
        <v>289</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hidden="1" x14ac:dyDescent="0.2">
      <c r="A78" s="87" t="s">
        <v>222</v>
      </c>
      <c r="B78" s="555" t="s">
        <v>290</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hidden="1" x14ac:dyDescent="0.2">
      <c r="A79" s="87" t="s">
        <v>222</v>
      </c>
      <c r="B79" s="555" t="s">
        <v>291</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hidden="1" x14ac:dyDescent="0.2">
      <c r="A80" s="87" t="s">
        <v>222</v>
      </c>
      <c r="B80" s="555" t="s">
        <v>292</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hidden="1" x14ac:dyDescent="0.2">
      <c r="A81" s="87" t="s">
        <v>222</v>
      </c>
      <c r="B81" s="555" t="s">
        <v>293</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hidden="1" x14ac:dyDescent="0.2">
      <c r="A82" s="87" t="s">
        <v>222</v>
      </c>
      <c r="B82" s="555" t="s">
        <v>294</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hidden="1" x14ac:dyDescent="0.2">
      <c r="A83" s="87" t="s">
        <v>222</v>
      </c>
      <c r="B83" s="555" t="s">
        <v>295</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hidden="1" x14ac:dyDescent="0.2">
      <c r="A84" s="87" t="s">
        <v>222</v>
      </c>
      <c r="B84" s="555" t="s">
        <v>296</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hidden="1" x14ac:dyDescent="0.2">
      <c r="A85" s="87" t="s">
        <v>222</v>
      </c>
      <c r="B85" s="555" t="s">
        <v>297</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hidden="1" x14ac:dyDescent="0.2">
      <c r="A86" s="87" t="s">
        <v>222</v>
      </c>
      <c r="B86" s="555" t="s">
        <v>298</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hidden="1" x14ac:dyDescent="0.2">
      <c r="A87" s="87" t="s">
        <v>222</v>
      </c>
      <c r="B87" s="555" t="s">
        <v>299</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hidden="1" x14ac:dyDescent="0.2">
      <c r="A88" s="87" t="s">
        <v>222</v>
      </c>
      <c r="B88" s="555" t="s">
        <v>300</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hidden="1" x14ac:dyDescent="0.2">
      <c r="A89" s="87" t="s">
        <v>222</v>
      </c>
      <c r="B89" s="555" t="s">
        <v>301</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hidden="1" x14ac:dyDescent="0.2">
      <c r="A90" s="87" t="s">
        <v>222</v>
      </c>
      <c r="B90" s="555" t="s">
        <v>302</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hidden="1" x14ac:dyDescent="0.2">
      <c r="A91" s="87" t="s">
        <v>222</v>
      </c>
      <c r="B91" s="555" t="s">
        <v>303</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hidden="1" x14ac:dyDescent="0.2">
      <c r="A92" s="87" t="s">
        <v>222</v>
      </c>
      <c r="B92" s="555" t="s">
        <v>304</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hidden="1" x14ac:dyDescent="0.2">
      <c r="A93" s="87" t="s">
        <v>222</v>
      </c>
      <c r="B93" s="555" t="s">
        <v>305</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hidden="1" x14ac:dyDescent="0.2">
      <c r="A94" s="87" t="s">
        <v>222</v>
      </c>
      <c r="B94" s="555" t="s">
        <v>306</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hidden="1" x14ac:dyDescent="0.2">
      <c r="A95" s="87" t="s">
        <v>222</v>
      </c>
      <c r="B95" s="555" t="s">
        <v>307</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hidden="1" x14ac:dyDescent="0.2">
      <c r="A96" s="87" t="s">
        <v>222</v>
      </c>
      <c r="B96" s="555" t="s">
        <v>308</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hidden="1" x14ac:dyDescent="0.2">
      <c r="A97" s="87" t="s">
        <v>222</v>
      </c>
      <c r="B97" s="555" t="s">
        <v>309</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hidden="1" x14ac:dyDescent="0.2">
      <c r="A98" s="87" t="s">
        <v>222</v>
      </c>
      <c r="B98" s="555" t="s">
        <v>310</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hidden="1" x14ac:dyDescent="0.2">
      <c r="A99" s="87" t="s">
        <v>222</v>
      </c>
      <c r="B99" s="555" t="s">
        <v>311</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hidden="1" x14ac:dyDescent="0.2">
      <c r="A100" s="87" t="s">
        <v>222</v>
      </c>
      <c r="B100" s="555" t="s">
        <v>312</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hidden="1" x14ac:dyDescent="0.2">
      <c r="A101" s="87" t="s">
        <v>222</v>
      </c>
      <c r="B101" s="555" t="s">
        <v>313</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hidden="1" x14ac:dyDescent="0.2">
      <c r="A102" s="87" t="s">
        <v>222</v>
      </c>
      <c r="B102" s="555" t="s">
        <v>314</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hidden="1" x14ac:dyDescent="0.2">
      <c r="A103" s="87" t="s">
        <v>222</v>
      </c>
      <c r="B103" s="555" t="s">
        <v>315</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hidden="1" x14ac:dyDescent="0.2">
      <c r="A104" s="87" t="s">
        <v>222</v>
      </c>
      <c r="B104" s="555" t="s">
        <v>316</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hidden="1" x14ac:dyDescent="0.2">
      <c r="A105" s="87" t="s">
        <v>222</v>
      </c>
      <c r="B105" s="555" t="s">
        <v>317</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hidden="1" x14ac:dyDescent="0.2">
      <c r="A106" s="87" t="s">
        <v>222</v>
      </c>
      <c r="B106" s="555" t="s">
        <v>318</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hidden="1" x14ac:dyDescent="0.2">
      <c r="A107" s="87" t="s">
        <v>222</v>
      </c>
      <c r="B107" s="555" t="s">
        <v>319</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hidden="1" x14ac:dyDescent="0.2">
      <c r="A108" s="87" t="s">
        <v>222</v>
      </c>
      <c r="B108" s="555" t="s">
        <v>320</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hidden="1" x14ac:dyDescent="0.2">
      <c r="A109" s="87" t="s">
        <v>222</v>
      </c>
      <c r="B109" s="555" t="s">
        <v>321</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hidden="1" x14ac:dyDescent="0.2">
      <c r="A110" s="87" t="s">
        <v>222</v>
      </c>
      <c r="B110" s="555" t="s">
        <v>322</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hidden="1" x14ac:dyDescent="0.2">
      <c r="A111" s="87" t="s">
        <v>222</v>
      </c>
      <c r="B111" s="555" t="s">
        <v>323</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hidden="1" x14ac:dyDescent="0.2">
      <c r="A112" s="87" t="s">
        <v>222</v>
      </c>
      <c r="B112" s="555" t="s">
        <v>324</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hidden="1" x14ac:dyDescent="0.2">
      <c r="A113" s="87" t="s">
        <v>222</v>
      </c>
      <c r="B113" s="555" t="s">
        <v>325</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hidden="1" x14ac:dyDescent="0.2">
      <c r="A114" s="87" t="s">
        <v>222</v>
      </c>
      <c r="B114" s="555" t="s">
        <v>326</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hidden="1" x14ac:dyDescent="0.2">
      <c r="A115" s="87" t="s">
        <v>222</v>
      </c>
      <c r="B115" s="555" t="s">
        <v>327</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hidden="1" x14ac:dyDescent="0.2">
      <c r="A116" s="87" t="s">
        <v>222</v>
      </c>
      <c r="B116" s="555" t="s">
        <v>328</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hidden="1" x14ac:dyDescent="0.2">
      <c r="A117" s="87" t="s">
        <v>222</v>
      </c>
      <c r="B117" s="555" t="s">
        <v>329</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hidden="1" x14ac:dyDescent="0.2">
      <c r="A118" s="87" t="s">
        <v>222</v>
      </c>
      <c r="B118" s="555" t="s">
        <v>330</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hidden="1" x14ac:dyDescent="0.2">
      <c r="A119" s="87" t="s">
        <v>222</v>
      </c>
      <c r="B119" s="555" t="s">
        <v>331</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hidden="1" x14ac:dyDescent="0.2">
      <c r="A120" s="87" t="s">
        <v>222</v>
      </c>
      <c r="B120" s="555" t="s">
        <v>332</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hidden="1" x14ac:dyDescent="0.2">
      <c r="A121" s="87" t="s">
        <v>222</v>
      </c>
      <c r="B121" s="555" t="s">
        <v>333</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hidden="1" x14ac:dyDescent="0.2">
      <c r="A122" s="87" t="s">
        <v>222</v>
      </c>
      <c r="B122" s="555" t="s">
        <v>334</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hidden="1" x14ac:dyDescent="0.2">
      <c r="A123" s="87" t="s">
        <v>222</v>
      </c>
      <c r="B123" s="555" t="s">
        <v>335</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hidden="1" x14ac:dyDescent="0.2">
      <c r="A124" s="87" t="s">
        <v>222</v>
      </c>
      <c r="B124" s="555" t="s">
        <v>336</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hidden="1" x14ac:dyDescent="0.2">
      <c r="A125" s="87" t="s">
        <v>222</v>
      </c>
      <c r="B125" s="555" t="s">
        <v>337</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hidden="1" x14ac:dyDescent="0.2">
      <c r="A126" s="87" t="s">
        <v>222</v>
      </c>
      <c r="B126" s="555" t="s">
        <v>338</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hidden="1" x14ac:dyDescent="0.2">
      <c r="A127" s="87" t="s">
        <v>222</v>
      </c>
      <c r="B127" s="555" t="s">
        <v>339</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hidden="1" x14ac:dyDescent="0.2">
      <c r="A128" s="87" t="s">
        <v>222</v>
      </c>
      <c r="B128" s="555" t="s">
        <v>340</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hidden="1" x14ac:dyDescent="0.2">
      <c r="A129" s="87" t="s">
        <v>222</v>
      </c>
      <c r="B129" s="555" t="s">
        <v>341</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hidden="1" x14ac:dyDescent="0.2">
      <c r="A130" s="87" t="s">
        <v>222</v>
      </c>
      <c r="B130" s="555" t="s">
        <v>342</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hidden="1" x14ac:dyDescent="0.2">
      <c r="A131" s="87" t="s">
        <v>222</v>
      </c>
      <c r="B131" s="555" t="s">
        <v>343</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hidden="1" x14ac:dyDescent="0.2">
      <c r="A132" s="87" t="s">
        <v>222</v>
      </c>
      <c r="B132" s="555" t="s">
        <v>344</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hidden="1" x14ac:dyDescent="0.2">
      <c r="A133" s="87" t="s">
        <v>222</v>
      </c>
      <c r="B133" s="555" t="s">
        <v>345</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hidden="1" x14ac:dyDescent="0.2">
      <c r="A134" s="87" t="s">
        <v>222</v>
      </c>
      <c r="B134" s="555" t="s">
        <v>346</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hidden="1" x14ac:dyDescent="0.25">
      <c r="A135" s="113"/>
      <c r="B135" s="556"/>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hidden="1" x14ac:dyDescent="0.2">
      <c r="A136" s="54" t="s">
        <v>202</v>
      </c>
      <c r="B136" s="557" t="s">
        <v>347</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hidden="1" x14ac:dyDescent="0.2">
      <c r="A137" s="54" t="s">
        <v>202</v>
      </c>
      <c r="B137" s="558" t="s">
        <v>348</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hidden="1" x14ac:dyDescent="0.2">
      <c r="A138" s="54" t="s">
        <v>202</v>
      </c>
      <c r="B138" s="558" t="s">
        <v>349</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hidden="1" x14ac:dyDescent="0.2">
      <c r="A139" s="54" t="s">
        <v>202</v>
      </c>
      <c r="B139" s="558" t="s">
        <v>350</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hidden="1" x14ac:dyDescent="0.2">
      <c r="A140" s="54" t="s">
        <v>202</v>
      </c>
      <c r="B140" s="558" t="s">
        <v>351</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hidden="1" x14ac:dyDescent="0.2">
      <c r="A141" s="54" t="s">
        <v>202</v>
      </c>
      <c r="B141" s="558" t="s">
        <v>352</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hidden="1" x14ac:dyDescent="0.2">
      <c r="A142" s="55" t="s">
        <v>202</v>
      </c>
      <c r="B142" s="559" t="s">
        <v>353</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hidden="1" x14ac:dyDescent="0.25">
      <c r="A143" s="117"/>
      <c r="B143" s="560"/>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
      <c r="A144" s="59" t="s">
        <v>205</v>
      </c>
      <c r="B144" s="557" t="s">
        <v>354</v>
      </c>
      <c r="C144" s="72" t="str">
        <f>CONCATENATE(A144," - ",B144)</f>
        <v>NI – Health and Social Care Trusts - Belfast Health and Social Care Trust</v>
      </c>
      <c r="D144" s="61">
        <f t="shared" ref="D144:E148" si="33">I144</f>
        <v>138553.97738288154</v>
      </c>
      <c r="E144" s="61">
        <f t="shared" si="33"/>
        <v>149546.65719477332</v>
      </c>
      <c r="F144" s="529">
        <f>G144+H144</f>
        <v>364103.61922965694</v>
      </c>
      <c r="G144" s="529">
        <f>SUM(M144:CY144)</f>
        <v>177508.17393508262</v>
      </c>
      <c r="H144" s="62">
        <f>SUM(CZ144:GL144)</f>
        <v>186595.44529457431</v>
      </c>
      <c r="I144" s="62">
        <f>SUM(AE144:CY144)</f>
        <v>138553.97738288154</v>
      </c>
      <c r="J144" s="62">
        <f>SUM(DR144:GL144)</f>
        <v>149546.65719477332</v>
      </c>
      <c r="K144" s="530">
        <f>SUM(M144:AD144)</f>
        <v>38954.196552201036</v>
      </c>
      <c r="L144" s="61">
        <f>SUM(CZ144:DQ144)</f>
        <v>37048.788099800979</v>
      </c>
      <c r="M144" s="530">
        <v>2017.8952120383037</v>
      </c>
      <c r="N144" s="530">
        <v>2031.4154300095463</v>
      </c>
      <c r="O144" s="530">
        <v>2025.5722779004586</v>
      </c>
      <c r="P144" s="530">
        <v>2036.6363244919048</v>
      </c>
      <c r="Q144" s="530">
        <v>2174.8657606103957</v>
      </c>
      <c r="R144" s="530">
        <v>2139.1275684252282</v>
      </c>
      <c r="S144" s="530">
        <v>2269.8788621098379</v>
      </c>
      <c r="T144" s="530">
        <v>2199.8731034482757</v>
      </c>
      <c r="U144" s="530">
        <v>2214.1918960244648</v>
      </c>
      <c r="V144" s="530">
        <v>2323.0202012443356</v>
      </c>
      <c r="W144" s="530">
        <v>2319.2258355916892</v>
      </c>
      <c r="X144" s="530">
        <v>2302.9974595842955</v>
      </c>
      <c r="Y144" s="530">
        <v>2256.5049293083684</v>
      </c>
      <c r="Z144" s="530">
        <v>2212.0418107754977</v>
      </c>
      <c r="AA144" s="530">
        <v>2229.1199141767324</v>
      </c>
      <c r="AB144" s="530">
        <v>2134.8894582108355</v>
      </c>
      <c r="AC144" s="530">
        <v>2012.6591474539725</v>
      </c>
      <c r="AD144" s="530">
        <v>2054.2813607968933</v>
      </c>
      <c r="AE144" s="530">
        <v>2265.0450211864404</v>
      </c>
      <c r="AF144" s="530">
        <v>2804.7232134687529</v>
      </c>
      <c r="AG144" s="530">
        <v>2878.6458486407055</v>
      </c>
      <c r="AH144" s="530">
        <v>2648.2416475163518</v>
      </c>
      <c r="AI144" s="530">
        <v>2812.8031562871206</v>
      </c>
      <c r="AJ144" s="530">
        <v>2819.1729711141679</v>
      </c>
      <c r="AK144" s="530">
        <v>2731.7522704339053</v>
      </c>
      <c r="AL144" s="530">
        <v>2754.8174718956493</v>
      </c>
      <c r="AM144" s="530">
        <v>2792.2450211225105</v>
      </c>
      <c r="AN144" s="530">
        <v>2709.9772329246935</v>
      </c>
      <c r="AO144" s="530">
        <v>2693.0545391183132</v>
      </c>
      <c r="AP144" s="530">
        <v>2739.741847362131</v>
      </c>
      <c r="AQ144" s="530">
        <v>2738.9105892047796</v>
      </c>
      <c r="AR144" s="530">
        <v>2711.0666008067833</v>
      </c>
      <c r="AS144" s="530">
        <v>2782.8070289619263</v>
      </c>
      <c r="AT144" s="530">
        <v>2691.3420944220152</v>
      </c>
      <c r="AU144" s="530">
        <v>2575.2371291098634</v>
      </c>
      <c r="AV144" s="530">
        <v>2616.3572226656024</v>
      </c>
      <c r="AW144" s="530">
        <v>2585.9089460686691</v>
      </c>
      <c r="AX144" s="530">
        <v>2533.264568094025</v>
      </c>
      <c r="AY144" s="530">
        <v>2413.1614349775782</v>
      </c>
      <c r="AZ144" s="530">
        <v>2431.4496314496314</v>
      </c>
      <c r="BA144" s="530">
        <v>2293.8903732491299</v>
      </c>
      <c r="BB144" s="530">
        <v>2344.819097470061</v>
      </c>
      <c r="BC144" s="530">
        <v>2403.7633319021038</v>
      </c>
      <c r="BD144" s="530">
        <v>2239.8626248466794</v>
      </c>
      <c r="BE144" s="530">
        <v>2047.4737312365976</v>
      </c>
      <c r="BF144" s="530">
        <v>2052.8353243075835</v>
      </c>
      <c r="BG144" s="530">
        <v>1984.3233076189651</v>
      </c>
      <c r="BH144" s="530">
        <v>1967.3126347206103</v>
      </c>
      <c r="BI144" s="530">
        <v>1977.5348837209303</v>
      </c>
      <c r="BJ144" s="530">
        <v>2084.857469993683</v>
      </c>
      <c r="BK144" s="530">
        <v>2131.2999446158715</v>
      </c>
      <c r="BL144" s="530">
        <v>2143.6819436775263</v>
      </c>
      <c r="BM144" s="530">
        <v>2073.8563380281689</v>
      </c>
      <c r="BN144" s="530">
        <v>2300.7910402197972</v>
      </c>
      <c r="BO144" s="530">
        <v>2326.6164287385909</v>
      </c>
      <c r="BP144" s="530">
        <v>2307.9060786106033</v>
      </c>
      <c r="BQ144" s="530">
        <v>2344.6145362640732</v>
      </c>
      <c r="BR144" s="530">
        <v>2368.012116504854</v>
      </c>
      <c r="BS144" s="530">
        <v>2252.978437722139</v>
      </c>
      <c r="BT144" s="530">
        <v>2241.3179516972359</v>
      </c>
      <c r="BU144" s="530">
        <v>2297.6054466954502</v>
      </c>
      <c r="BV144" s="530">
        <v>2198.0522088353414</v>
      </c>
      <c r="BW144" s="530">
        <v>2021.5031326614003</v>
      </c>
      <c r="BX144" s="530">
        <v>2002.5265144540601</v>
      </c>
      <c r="BY144" s="530">
        <v>1890.3538506703198</v>
      </c>
      <c r="BZ144" s="530">
        <v>1822.7951142631994</v>
      </c>
      <c r="CA144" s="530">
        <v>1687.8206664564279</v>
      </c>
      <c r="CB144" s="530">
        <v>1588.8602704443015</v>
      </c>
      <c r="CC144" s="530">
        <v>1552.3684032476319</v>
      </c>
      <c r="CD144" s="530">
        <v>1527.1244533743056</v>
      </c>
      <c r="CE144" s="530">
        <v>1273.9034871433603</v>
      </c>
      <c r="CF144" s="530">
        <v>1290.2680573978055</v>
      </c>
      <c r="CG144" s="530">
        <v>1292.323121170439</v>
      </c>
      <c r="CH144" s="530">
        <v>1203.3575933400607</v>
      </c>
      <c r="CI144" s="530">
        <v>1137.5975561687032</v>
      </c>
      <c r="CJ144" s="530">
        <v>1181.2559576345984</v>
      </c>
      <c r="CK144" s="530">
        <v>1033.272138554217</v>
      </c>
      <c r="CL144" s="530">
        <v>966.99722735674675</v>
      </c>
      <c r="CM144" s="530">
        <v>986.02355350742448</v>
      </c>
      <c r="CN144" s="530">
        <v>974.00968523002427</v>
      </c>
      <c r="CO144" s="530">
        <v>796.9</v>
      </c>
      <c r="CP144" s="530">
        <v>696.19117288466236</v>
      </c>
      <c r="CQ144" s="530">
        <v>621.99595857539782</v>
      </c>
      <c r="CR144" s="530">
        <v>600.77992957746471</v>
      </c>
      <c r="CS144" s="530">
        <v>583.85111740635818</v>
      </c>
      <c r="CT144" s="530">
        <v>522.79582712369597</v>
      </c>
      <c r="CU144" s="530">
        <v>452.41860465116281</v>
      </c>
      <c r="CV144" s="530">
        <v>372.84571129707109</v>
      </c>
      <c r="CW144" s="530">
        <v>312.34061135371184</v>
      </c>
      <c r="CX144" s="530">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hidden="1" x14ac:dyDescent="0.2">
      <c r="A145" s="59" t="s">
        <v>205</v>
      </c>
      <c r="B145" s="558" t="s">
        <v>355</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hidden="1" x14ac:dyDescent="0.2">
      <c r="A146" s="59" t="s">
        <v>205</v>
      </c>
      <c r="B146" s="558" t="s">
        <v>356</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hidden="1" x14ac:dyDescent="0.2">
      <c r="A147" s="59" t="s">
        <v>205</v>
      </c>
      <c r="B147" s="558" t="s">
        <v>357</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hidden="1" x14ac:dyDescent="0.2">
      <c r="A148" s="63" t="s">
        <v>205</v>
      </c>
      <c r="B148" s="559" t="s">
        <v>358</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hidden="1" x14ac:dyDescent="0.25">
      <c r="A149" s="117"/>
      <c r="B149" s="560"/>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
      <c r="A150" s="73" t="s">
        <v>200</v>
      </c>
      <c r="B150" s="561" t="s">
        <v>359</v>
      </c>
      <c r="C150" s="72" t="str">
        <f>CONCATENATE(A150," - ",B150)</f>
        <v>NHSE regions - East of England</v>
      </c>
      <c r="D150" s="61">
        <f t="shared" ref="D150:E156" si="35">I150</f>
        <v>2447757</v>
      </c>
      <c r="E150" s="61">
        <f t="shared" si="35"/>
        <v>2602371</v>
      </c>
      <c r="F150" s="529">
        <f t="shared" ref="F150:F156" si="36">G150+H150</f>
        <v>6398497</v>
      </c>
      <c r="G150" s="529">
        <f t="shared" ref="G150:G156" si="37">SUM(M150:CY150)</f>
        <v>3138914</v>
      </c>
      <c r="H150" s="62">
        <f t="shared" ref="H150:H156" si="38">SUM(CZ150:GL150)</f>
        <v>3259583</v>
      </c>
      <c r="I150" s="62">
        <f t="shared" ref="I150:I156" si="39">SUM(AE150:CY150)</f>
        <v>2447757</v>
      </c>
      <c r="J150" s="62">
        <f t="shared" ref="J150:J156" si="40">SUM(DR150:GL150)</f>
        <v>2602371</v>
      </c>
      <c r="K150" s="530">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hidden="1" x14ac:dyDescent="0.2">
      <c r="A151" s="64" t="s">
        <v>200</v>
      </c>
      <c r="B151" s="561" t="s">
        <v>360</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hidden="1" x14ac:dyDescent="0.2">
      <c r="A152" s="64" t="s">
        <v>200</v>
      </c>
      <c r="B152" s="561" t="s">
        <v>361</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hidden="1" x14ac:dyDescent="0.2">
      <c r="A153" s="64" t="s">
        <v>200</v>
      </c>
      <c r="B153" s="561" t="s">
        <v>362</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hidden="1" x14ac:dyDescent="0.2">
      <c r="A154" s="64" t="s">
        <v>200</v>
      </c>
      <c r="B154" s="561" t="s">
        <v>363</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hidden="1" x14ac:dyDescent="0.2">
      <c r="A155" s="64" t="s">
        <v>200</v>
      </c>
      <c r="B155" s="561" t="s">
        <v>364</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200</v>
      </c>
      <c r="B156" s="561" t="s">
        <v>365</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562"/>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28"/>
      <c r="O157" s="528"/>
      <c r="P157" s="528"/>
      <c r="Q157" s="528"/>
      <c r="R157" s="528"/>
      <c r="S157" s="528"/>
      <c r="T157" s="528"/>
      <c r="U157" s="528"/>
      <c r="V157" s="528"/>
      <c r="W157" s="528"/>
      <c r="X157" s="528"/>
      <c r="Y157" s="528"/>
      <c r="Z157" s="528"/>
      <c r="AA157" s="528"/>
      <c r="AB157" s="528"/>
      <c r="AC157" s="528"/>
      <c r="AD157" s="528"/>
      <c r="AE157" s="528"/>
      <c r="AF157" s="528"/>
      <c r="AG157" s="528"/>
      <c r="AH157" s="528"/>
      <c r="AI157" s="528"/>
      <c r="AJ157" s="528"/>
      <c r="AK157" s="528"/>
      <c r="AL157" s="528"/>
      <c r="AM157" s="528"/>
      <c r="AN157" s="528"/>
      <c r="AO157" s="528"/>
      <c r="AP157" s="528"/>
      <c r="AQ157" s="528"/>
      <c r="AR157" s="528"/>
      <c r="AS157" s="528"/>
      <c r="AT157" s="528"/>
      <c r="AU157" s="528"/>
      <c r="AV157" s="528"/>
      <c r="AW157" s="528"/>
      <c r="AX157" s="528"/>
      <c r="AY157" s="528"/>
      <c r="AZ157" s="528"/>
      <c r="BA157" s="528"/>
      <c r="BB157" s="528"/>
      <c r="BC157" s="528"/>
      <c r="BD157" s="528"/>
      <c r="BE157" s="528"/>
      <c r="BF157" s="528"/>
      <c r="BG157" s="528"/>
      <c r="BH157" s="528"/>
      <c r="BI157" s="528"/>
      <c r="BJ157" s="528"/>
      <c r="BK157" s="528"/>
      <c r="BL157" s="528"/>
      <c r="BM157" s="528"/>
      <c r="BN157" s="528"/>
      <c r="BO157" s="528"/>
      <c r="BP157" s="528"/>
      <c r="BQ157" s="528"/>
      <c r="BR157" s="528"/>
      <c r="BS157" s="528"/>
      <c r="BT157" s="528"/>
      <c r="BU157" s="528"/>
      <c r="BV157" s="528"/>
      <c r="BW157" s="528"/>
      <c r="BX157" s="528"/>
      <c r="BY157" s="528"/>
      <c r="BZ157" s="528"/>
      <c r="CA157" s="528"/>
      <c r="CB157" s="528"/>
      <c r="CC157" s="528"/>
      <c r="CD157" s="528"/>
      <c r="CE157" s="528"/>
      <c r="CF157" s="528"/>
      <c r="CG157" s="528"/>
      <c r="CH157" s="528"/>
      <c r="CI157" s="528"/>
      <c r="CJ157" s="528"/>
      <c r="CK157" s="528"/>
      <c r="CL157" s="528"/>
      <c r="CM157" s="528"/>
      <c r="CN157" s="528"/>
      <c r="CO157" s="528"/>
      <c r="CP157" s="528"/>
      <c r="CQ157" s="528"/>
      <c r="CR157" s="528"/>
      <c r="CS157" s="528"/>
      <c r="CT157" s="528"/>
      <c r="CU157" s="528"/>
      <c r="CV157" s="528"/>
      <c r="CW157" s="528"/>
      <c r="CX157" s="528"/>
      <c r="CY157" s="77"/>
      <c r="CZ157" s="119"/>
      <c r="DA157" s="528"/>
      <c r="DB157" s="528"/>
      <c r="DC157" s="528"/>
      <c r="DD157" s="528"/>
      <c r="DE157" s="528"/>
      <c r="DF157" s="528"/>
      <c r="DG157" s="528"/>
      <c r="DH157" s="528"/>
      <c r="DI157" s="528"/>
      <c r="DJ157" s="528"/>
      <c r="DK157" s="528"/>
      <c r="DL157" s="528"/>
      <c r="DM157" s="528"/>
      <c r="DN157" s="528"/>
      <c r="DO157" s="528"/>
      <c r="DP157" s="528"/>
      <c r="DQ157" s="528"/>
      <c r="DR157" s="528"/>
      <c r="DS157" s="528"/>
      <c r="DT157" s="528"/>
      <c r="DU157" s="528"/>
      <c r="DV157" s="528"/>
      <c r="DW157" s="528"/>
      <c r="DX157" s="528"/>
      <c r="DY157" s="528"/>
      <c r="DZ157" s="528"/>
      <c r="EA157" s="528"/>
      <c r="EB157" s="528"/>
      <c r="EC157" s="528"/>
      <c r="ED157" s="528"/>
      <c r="EE157" s="528"/>
      <c r="EF157" s="528"/>
      <c r="EG157" s="528"/>
      <c r="EH157" s="528"/>
      <c r="EI157" s="528"/>
      <c r="EJ157" s="528"/>
      <c r="EK157" s="528"/>
      <c r="EL157" s="528"/>
      <c r="EM157" s="528"/>
      <c r="EN157" s="528"/>
      <c r="EO157" s="528"/>
      <c r="EP157" s="528"/>
      <c r="EQ157" s="528"/>
      <c r="ER157" s="528"/>
      <c r="ES157" s="528"/>
      <c r="ET157" s="528"/>
      <c r="EU157" s="528"/>
      <c r="EV157" s="528"/>
      <c r="EW157" s="528"/>
      <c r="EX157" s="528"/>
      <c r="EY157" s="528"/>
      <c r="EZ157" s="528"/>
      <c r="FA157" s="528"/>
      <c r="FB157" s="528"/>
      <c r="FC157" s="528"/>
      <c r="FD157" s="528"/>
      <c r="FE157" s="528"/>
      <c r="FF157" s="528"/>
      <c r="FG157" s="528"/>
      <c r="FH157" s="528"/>
      <c r="FI157" s="528"/>
      <c r="FJ157" s="528"/>
      <c r="FK157" s="528"/>
      <c r="FL157" s="528"/>
      <c r="FM157" s="528"/>
      <c r="FN157" s="528"/>
      <c r="FO157" s="528"/>
      <c r="FP157" s="528"/>
      <c r="FQ157" s="528"/>
      <c r="FR157" s="528"/>
      <c r="FS157" s="528"/>
      <c r="FT157" s="528"/>
      <c r="FU157" s="528"/>
      <c r="FV157" s="528"/>
      <c r="FW157" s="528"/>
      <c r="FX157" s="528"/>
      <c r="FY157" s="528"/>
      <c r="FZ157" s="528"/>
      <c r="GA157" s="528"/>
      <c r="GB157" s="528"/>
      <c r="GC157" s="528"/>
      <c r="GD157" s="528"/>
      <c r="GE157" s="528"/>
      <c r="GF157" s="528"/>
      <c r="GG157" s="528"/>
      <c r="GH157" s="528"/>
      <c r="GI157" s="528"/>
      <c r="GJ157" s="528"/>
      <c r="GK157" s="528"/>
      <c r="GL157" s="77"/>
    </row>
    <row r="158" spans="1:194" s="1" customFormat="1" x14ac:dyDescent="0.2">
      <c r="A158" s="108" t="s">
        <v>824</v>
      </c>
      <c r="B158" s="563" t="s">
        <v>825</v>
      </c>
      <c r="C158" s="531" t="str">
        <f t="shared" si="43"/>
        <v>England ICB - NHS Bath and North East Somerset, Swindon and Wiltshire Integrated Care Board</v>
      </c>
      <c r="D158" s="79">
        <f t="shared" ref="D158:E163" si="45">I158</f>
        <v>372192</v>
      </c>
      <c r="E158" s="79">
        <f t="shared" si="45"/>
        <v>388592</v>
      </c>
      <c r="F158" s="109">
        <f t="shared" ref="F158:F163" si="46">G158+H158</f>
        <v>953852</v>
      </c>
      <c r="G158" s="529">
        <f t="shared" ref="G158:G163" si="47">SUM(M158:CY158)</f>
        <v>470982</v>
      </c>
      <c r="H158" s="62">
        <f t="shared" ref="H158:H163" si="48">SUM(CZ158:GL158)</f>
        <v>482870</v>
      </c>
      <c r="I158" s="529">
        <f t="shared" ref="I158:I163" si="49">SUM(AE158:CY158)</f>
        <v>372192</v>
      </c>
      <c r="J158" s="104">
        <f t="shared" ref="J158:J163" si="50">SUM(DR158:GL158)</f>
        <v>388592</v>
      </c>
      <c r="K158" s="106">
        <f t="shared" ref="K158:K163" si="51">SUM(M158:AD158)</f>
        <v>98790</v>
      </c>
      <c r="L158" s="61">
        <f t="shared" ref="L158:L163" si="52">SUM(CZ158:DQ158)</f>
        <v>94278</v>
      </c>
      <c r="M158" s="106">
        <v>4647</v>
      </c>
      <c r="N158" s="530">
        <v>4706</v>
      </c>
      <c r="O158" s="530">
        <v>4907</v>
      </c>
      <c r="P158" s="530">
        <v>5108</v>
      </c>
      <c r="Q158" s="530">
        <v>5293</v>
      </c>
      <c r="R158" s="530">
        <v>5287</v>
      </c>
      <c r="S158" s="530">
        <v>5628</v>
      </c>
      <c r="T158" s="530">
        <v>5623</v>
      </c>
      <c r="U158" s="530">
        <v>5617</v>
      </c>
      <c r="V158" s="530">
        <v>5799</v>
      </c>
      <c r="W158" s="530">
        <v>6160</v>
      </c>
      <c r="X158" s="530">
        <v>6033</v>
      </c>
      <c r="Y158" s="530">
        <v>5955</v>
      </c>
      <c r="Z158" s="530">
        <v>5803</v>
      </c>
      <c r="AA158" s="530">
        <v>5710</v>
      </c>
      <c r="AB158" s="530">
        <v>5605</v>
      </c>
      <c r="AC158" s="530">
        <v>5496</v>
      </c>
      <c r="AD158" s="530">
        <v>5413</v>
      </c>
      <c r="AE158" s="530">
        <v>5967</v>
      </c>
      <c r="AF158" s="530">
        <v>6678</v>
      </c>
      <c r="AG158" s="530">
        <v>6216</v>
      </c>
      <c r="AH158" s="530">
        <v>5569</v>
      </c>
      <c r="AI158" s="530">
        <v>5932</v>
      </c>
      <c r="AJ158" s="530">
        <v>5961</v>
      </c>
      <c r="AK158" s="530">
        <v>5644</v>
      </c>
      <c r="AL158" s="530">
        <v>5569</v>
      </c>
      <c r="AM158" s="530">
        <v>5603</v>
      </c>
      <c r="AN158" s="530">
        <v>5436</v>
      </c>
      <c r="AO158" s="530">
        <v>5723</v>
      </c>
      <c r="AP158" s="530">
        <v>5509</v>
      </c>
      <c r="AQ158" s="530">
        <v>5906</v>
      </c>
      <c r="AR158" s="530">
        <v>5926</v>
      </c>
      <c r="AS158" s="530">
        <v>5999</v>
      </c>
      <c r="AT158" s="530">
        <v>5968</v>
      </c>
      <c r="AU158" s="530">
        <v>6124</v>
      </c>
      <c r="AV158" s="530">
        <v>6089</v>
      </c>
      <c r="AW158" s="530">
        <v>6037</v>
      </c>
      <c r="AX158" s="530">
        <v>5950</v>
      </c>
      <c r="AY158" s="530">
        <v>6029</v>
      </c>
      <c r="AZ158" s="530">
        <v>5880</v>
      </c>
      <c r="BA158" s="530">
        <v>5821</v>
      </c>
      <c r="BB158" s="530">
        <v>5960</v>
      </c>
      <c r="BC158" s="530">
        <v>6033</v>
      </c>
      <c r="BD158" s="530">
        <v>5922</v>
      </c>
      <c r="BE158" s="530">
        <v>5375</v>
      </c>
      <c r="BF158" s="530">
        <v>5274</v>
      </c>
      <c r="BG158" s="530">
        <v>5437</v>
      </c>
      <c r="BH158" s="530">
        <v>5820</v>
      </c>
      <c r="BI158" s="530">
        <v>5866</v>
      </c>
      <c r="BJ158" s="530">
        <v>6432</v>
      </c>
      <c r="BK158" s="530">
        <v>6631</v>
      </c>
      <c r="BL158" s="530">
        <v>6700</v>
      </c>
      <c r="BM158" s="530">
        <v>6536</v>
      </c>
      <c r="BN158" s="530">
        <v>6527</v>
      </c>
      <c r="BO158" s="530">
        <v>6586</v>
      </c>
      <c r="BP158" s="530">
        <v>6746</v>
      </c>
      <c r="BQ158" s="530">
        <v>6723</v>
      </c>
      <c r="BR158" s="530">
        <v>6887</v>
      </c>
      <c r="BS158" s="530">
        <v>6661</v>
      </c>
      <c r="BT158" s="530">
        <v>6550</v>
      </c>
      <c r="BU158" s="530">
        <v>6440</v>
      </c>
      <c r="BV158" s="530">
        <v>6192</v>
      </c>
      <c r="BW158" s="530">
        <v>5977</v>
      </c>
      <c r="BX158" s="530">
        <v>5691</v>
      </c>
      <c r="BY158" s="530">
        <v>5371</v>
      </c>
      <c r="BZ158" s="530">
        <v>5135</v>
      </c>
      <c r="CA158" s="530">
        <v>4863</v>
      </c>
      <c r="CB158" s="530">
        <v>4730</v>
      </c>
      <c r="CC158" s="530">
        <v>4797</v>
      </c>
      <c r="CD158" s="530">
        <v>4544</v>
      </c>
      <c r="CE158" s="530">
        <v>4485</v>
      </c>
      <c r="CF158" s="530">
        <v>4422</v>
      </c>
      <c r="CG158" s="530">
        <v>4421</v>
      </c>
      <c r="CH158" s="530">
        <v>4529</v>
      </c>
      <c r="CI158" s="530">
        <v>4861</v>
      </c>
      <c r="CJ158" s="530">
        <v>5197</v>
      </c>
      <c r="CK158" s="530">
        <v>3865</v>
      </c>
      <c r="CL158" s="530">
        <v>3773</v>
      </c>
      <c r="CM158" s="530">
        <v>3497</v>
      </c>
      <c r="CN158" s="530">
        <v>3141</v>
      </c>
      <c r="CO158" s="530">
        <v>2804</v>
      </c>
      <c r="CP158" s="530">
        <v>2380</v>
      </c>
      <c r="CQ158" s="530">
        <v>2335</v>
      </c>
      <c r="CR158" s="530">
        <v>2209</v>
      </c>
      <c r="CS158" s="530">
        <v>2008</v>
      </c>
      <c r="CT158" s="530">
        <v>1804</v>
      </c>
      <c r="CU158" s="530">
        <v>1625</v>
      </c>
      <c r="CV158" s="530">
        <v>1368</v>
      </c>
      <c r="CW158" s="530">
        <v>1144</v>
      </c>
      <c r="CX158" s="530">
        <v>1023</v>
      </c>
      <c r="CY158" s="61">
        <v>3359</v>
      </c>
      <c r="CZ158" s="106">
        <v>4395</v>
      </c>
      <c r="DA158" s="530">
        <v>4569</v>
      </c>
      <c r="DB158" s="530">
        <v>4724</v>
      </c>
      <c r="DC158" s="530">
        <v>4830</v>
      </c>
      <c r="DD158" s="530">
        <v>5033</v>
      </c>
      <c r="DE158" s="530">
        <v>5193</v>
      </c>
      <c r="DF158" s="530">
        <v>5362</v>
      </c>
      <c r="DG158" s="530">
        <v>5295</v>
      </c>
      <c r="DH158" s="530">
        <v>5344</v>
      </c>
      <c r="DI158" s="530">
        <v>5565</v>
      </c>
      <c r="DJ158" s="530">
        <v>5551</v>
      </c>
      <c r="DK158" s="530">
        <v>5719</v>
      </c>
      <c r="DL158" s="530">
        <v>5546</v>
      </c>
      <c r="DM158" s="530">
        <v>5549</v>
      </c>
      <c r="DN158" s="530">
        <v>5624</v>
      </c>
      <c r="DO158" s="530">
        <v>5574</v>
      </c>
      <c r="DP158" s="530">
        <v>5184</v>
      </c>
      <c r="DQ158" s="530">
        <v>5221</v>
      </c>
      <c r="DR158" s="530">
        <v>5415</v>
      </c>
      <c r="DS158" s="530">
        <v>5600</v>
      </c>
      <c r="DT158" s="530">
        <v>5189</v>
      </c>
      <c r="DU158" s="530">
        <v>4912</v>
      </c>
      <c r="DV158" s="530">
        <v>5426</v>
      </c>
      <c r="DW158" s="530">
        <v>5137</v>
      </c>
      <c r="DX158" s="530">
        <v>5128</v>
      </c>
      <c r="DY158" s="530">
        <v>5294</v>
      </c>
      <c r="DZ158" s="530">
        <v>5013</v>
      </c>
      <c r="EA158" s="530">
        <v>5302</v>
      </c>
      <c r="EB158" s="530">
        <v>5698</v>
      </c>
      <c r="EC158" s="530">
        <v>5815</v>
      </c>
      <c r="ED158" s="530">
        <v>5939</v>
      </c>
      <c r="EE158" s="530">
        <v>6272</v>
      </c>
      <c r="EF158" s="530">
        <v>6263</v>
      </c>
      <c r="EG158" s="530">
        <v>6313</v>
      </c>
      <c r="EH158" s="530">
        <v>6318</v>
      </c>
      <c r="EI158" s="530">
        <v>6535</v>
      </c>
      <c r="EJ158" s="530">
        <v>6131</v>
      </c>
      <c r="EK158" s="530">
        <v>6244</v>
      </c>
      <c r="EL158" s="530">
        <v>6165</v>
      </c>
      <c r="EM158" s="530">
        <v>5942</v>
      </c>
      <c r="EN158" s="530">
        <v>6211</v>
      </c>
      <c r="EO158" s="530">
        <v>6218</v>
      </c>
      <c r="EP158" s="530">
        <v>6104</v>
      </c>
      <c r="EQ158" s="530">
        <v>5799</v>
      </c>
      <c r="ER158" s="530">
        <v>5574</v>
      </c>
      <c r="ES158" s="530">
        <v>5586</v>
      </c>
      <c r="ET158" s="530">
        <v>5770</v>
      </c>
      <c r="EU158" s="530">
        <v>5831</v>
      </c>
      <c r="EV158" s="530">
        <v>6251</v>
      </c>
      <c r="EW158" s="530">
        <v>6563</v>
      </c>
      <c r="EX158" s="530">
        <v>6923</v>
      </c>
      <c r="EY158" s="530">
        <v>6736</v>
      </c>
      <c r="EZ158" s="530">
        <v>6661</v>
      </c>
      <c r="FA158" s="530">
        <v>6860</v>
      </c>
      <c r="FB158" s="530">
        <v>6795</v>
      </c>
      <c r="FC158" s="530">
        <v>7093</v>
      </c>
      <c r="FD158" s="530">
        <v>7056</v>
      </c>
      <c r="FE158" s="530">
        <v>6890</v>
      </c>
      <c r="FF158" s="530">
        <v>6926</v>
      </c>
      <c r="FG158" s="530">
        <v>6551</v>
      </c>
      <c r="FH158" s="530">
        <v>6513</v>
      </c>
      <c r="FI158" s="530">
        <v>6413</v>
      </c>
      <c r="FJ158" s="530">
        <v>5897</v>
      </c>
      <c r="FK158" s="530">
        <v>5838</v>
      </c>
      <c r="FL158" s="530">
        <v>5643</v>
      </c>
      <c r="FM158" s="530">
        <v>5384</v>
      </c>
      <c r="FN158" s="530">
        <v>5189</v>
      </c>
      <c r="FO158" s="530">
        <v>5034</v>
      </c>
      <c r="FP158" s="530">
        <v>5088</v>
      </c>
      <c r="FQ158" s="530">
        <v>5112</v>
      </c>
      <c r="FR158" s="530">
        <v>4845</v>
      </c>
      <c r="FS158" s="530">
        <v>4831</v>
      </c>
      <c r="FT158" s="530">
        <v>4917</v>
      </c>
      <c r="FU158" s="530">
        <v>5074</v>
      </c>
      <c r="FV158" s="530">
        <v>5409</v>
      </c>
      <c r="FW158" s="530">
        <v>5546</v>
      </c>
      <c r="FX158" s="530">
        <v>4375</v>
      </c>
      <c r="FY158" s="530">
        <v>4296</v>
      </c>
      <c r="FZ158" s="530">
        <v>4189</v>
      </c>
      <c r="GA158" s="530">
        <v>3718</v>
      </c>
      <c r="GB158" s="530">
        <v>3306</v>
      </c>
      <c r="GC158" s="530">
        <v>2846</v>
      </c>
      <c r="GD158" s="530">
        <v>2931</v>
      </c>
      <c r="GE158" s="530">
        <v>2828</v>
      </c>
      <c r="GF158" s="530">
        <v>2632</v>
      </c>
      <c r="GG158" s="530">
        <v>2327</v>
      </c>
      <c r="GH158" s="530">
        <v>2137</v>
      </c>
      <c r="GI158" s="530">
        <v>1982</v>
      </c>
      <c r="GJ158" s="530">
        <v>1693</v>
      </c>
      <c r="GK158" s="530">
        <v>1476</v>
      </c>
      <c r="GL158" s="61">
        <v>6674</v>
      </c>
    </row>
    <row r="159" spans="1:194" s="1" customFormat="1" x14ac:dyDescent="0.2">
      <c r="A159" s="110" t="s">
        <v>824</v>
      </c>
      <c r="B159" s="564" t="s">
        <v>826</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824</v>
      </c>
      <c r="B160" s="564" t="s">
        <v>827</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824</v>
      </c>
      <c r="B161" s="564" t="s">
        <v>828</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824</v>
      </c>
      <c r="B162" s="564" t="s">
        <v>829</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824</v>
      </c>
      <c r="B163" s="564" t="s">
        <v>830</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824</v>
      </c>
      <c r="B164" s="564" t="s">
        <v>831</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824</v>
      </c>
      <c r="B165" s="564" t="s">
        <v>832</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824</v>
      </c>
      <c r="B166" s="564" t="s">
        <v>833</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824</v>
      </c>
      <c r="B167" s="564" t="s">
        <v>834</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824</v>
      </c>
      <c r="B168" s="564" t="s">
        <v>835</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824</v>
      </c>
      <c r="B169" s="564" t="s">
        <v>836</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824</v>
      </c>
      <c r="B170" s="564" t="s">
        <v>837</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824</v>
      </c>
      <c r="B171" s="564" t="s">
        <v>838</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824</v>
      </c>
      <c r="B172" s="564" t="s">
        <v>839</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824</v>
      </c>
      <c r="B173" s="564" t="s">
        <v>840</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824</v>
      </c>
      <c r="B174" s="564" t="s">
        <v>841</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824</v>
      </c>
      <c r="B175" s="564" t="s">
        <v>842</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824</v>
      </c>
      <c r="B176" s="564" t="s">
        <v>843</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824</v>
      </c>
      <c r="B177" s="564" t="s">
        <v>844</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824</v>
      </c>
      <c r="B178" s="564" t="s">
        <v>845</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824</v>
      </c>
      <c r="B179" s="564" t="s">
        <v>846</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824</v>
      </c>
      <c r="B180" s="564" t="s">
        <v>847</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824</v>
      </c>
      <c r="B181" s="564" t="s">
        <v>848</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824</v>
      </c>
      <c r="B182" s="564" t="s">
        <v>849</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824</v>
      </c>
      <c r="B183" s="564" t="s">
        <v>850</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824</v>
      </c>
      <c r="B184" s="564" t="s">
        <v>851</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824</v>
      </c>
      <c r="B185" s="564" t="s">
        <v>852</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824</v>
      </c>
      <c r="B186" s="564" t="s">
        <v>853</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824</v>
      </c>
      <c r="B187" s="564" t="s">
        <v>854</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824</v>
      </c>
      <c r="B188" s="564" t="s">
        <v>855</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824</v>
      </c>
      <c r="B189" s="564" t="s">
        <v>856</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824</v>
      </c>
      <c r="B190" s="564" t="s">
        <v>857</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824</v>
      </c>
      <c r="B191" s="564" t="s">
        <v>858</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824</v>
      </c>
      <c r="B192" s="564" t="s">
        <v>859</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824</v>
      </c>
      <c r="B193" s="564" t="s">
        <v>860</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824</v>
      </c>
      <c r="B194" s="564" t="s">
        <v>861</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824</v>
      </c>
      <c r="B195" s="564" t="s">
        <v>862</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824</v>
      </c>
      <c r="B196" s="564" t="s">
        <v>863</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824</v>
      </c>
      <c r="B197" s="564" t="s">
        <v>864</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824</v>
      </c>
      <c r="B198" s="564" t="s">
        <v>865</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824</v>
      </c>
      <c r="B199" s="564" t="s">
        <v>866</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565"/>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220</v>
      </c>
      <c r="B201" s="1" t="s">
        <v>368</v>
      </c>
      <c r="C201" s="72" t="str">
        <f>CONCATENATE(A201," - ",B201)</f>
        <v>LA England - Adur</v>
      </c>
      <c r="D201" s="61">
        <f t="shared" ref="D201:D265" si="73">I201</f>
        <v>24443</v>
      </c>
      <c r="E201" s="61">
        <f t="shared" ref="E201:E265" si="74">J201</f>
        <v>27108</v>
      </c>
      <c r="F201" s="529">
        <f t="shared" ref="F201:F265" si="75">G201+H201</f>
        <v>64688</v>
      </c>
      <c r="G201" s="529">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220</v>
      </c>
      <c r="B202" s="1" t="s">
        <v>369</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220</v>
      </c>
      <c r="B203" s="1" t="s">
        <v>370</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220</v>
      </c>
      <c r="B204" s="1" t="s">
        <v>371</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220</v>
      </c>
      <c r="B205" s="1" t="s">
        <v>372</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220</v>
      </c>
      <c r="B206" s="1" t="s">
        <v>373</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220</v>
      </c>
      <c r="B207" s="1" t="s">
        <v>374</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220</v>
      </c>
      <c r="B208" s="1" t="s">
        <v>375</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220</v>
      </c>
      <c r="B209" s="1" t="s">
        <v>376</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220</v>
      </c>
      <c r="B210" s="1" t="s">
        <v>377</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220</v>
      </c>
      <c r="B211" s="1" t="s">
        <v>378</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220</v>
      </c>
      <c r="B212" s="1" t="s">
        <v>379</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220</v>
      </c>
      <c r="B213" s="1" t="s">
        <v>380</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220</v>
      </c>
      <c r="B214" s="1" t="s">
        <v>381</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220</v>
      </c>
      <c r="B215" s="1" t="s">
        <v>382</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220</v>
      </c>
      <c r="B216" s="1" t="s">
        <v>383</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220</v>
      </c>
      <c r="B217" s="1" t="s">
        <v>384</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220</v>
      </c>
      <c r="B218" s="1" t="s">
        <v>385</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220</v>
      </c>
      <c r="B219" s="1" t="s">
        <v>386</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220</v>
      </c>
      <c r="B220" s="1" t="s">
        <v>387</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220</v>
      </c>
      <c r="B221" s="1" t="s">
        <v>388</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220</v>
      </c>
      <c r="B222" s="1" t="s">
        <v>389</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220</v>
      </c>
      <c r="B223" s="1" t="s">
        <v>390</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220</v>
      </c>
      <c r="B224" s="1" t="s">
        <v>391</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220</v>
      </c>
      <c r="B225" s="1" t="s">
        <v>392</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220</v>
      </c>
      <c r="B226" s="1" t="s">
        <v>393</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220</v>
      </c>
      <c r="B227" s="1" t="s">
        <v>394</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220</v>
      </c>
      <c r="B228" s="1" t="s">
        <v>395</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220</v>
      </c>
      <c r="B229" s="1" t="s">
        <v>396</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220</v>
      </c>
      <c r="B230" s="1" t="s">
        <v>397</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220</v>
      </c>
      <c r="B231" s="1" t="s">
        <v>398</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220</v>
      </c>
      <c r="B232" s="1" t="s">
        <v>399</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220</v>
      </c>
      <c r="B233" s="1" t="s">
        <v>400</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220</v>
      </c>
      <c r="B234" s="1" t="s">
        <v>401</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220</v>
      </c>
      <c r="B235" s="1" t="s">
        <v>402</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220</v>
      </c>
      <c r="B236" s="1" t="s">
        <v>403</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220</v>
      </c>
      <c r="B237" s="1" t="s">
        <v>404</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220</v>
      </c>
      <c r="B238" s="1" t="s">
        <v>405</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220</v>
      </c>
      <c r="B239" s="1" t="s">
        <v>406</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220</v>
      </c>
      <c r="B240" s="1" t="s">
        <v>407</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220</v>
      </c>
      <c r="B241" s="1" t="s">
        <v>408</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220</v>
      </c>
      <c r="B242" s="1" t="s">
        <v>409</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220</v>
      </c>
      <c r="B243" s="1" t="s">
        <v>410</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220</v>
      </c>
      <c r="B244" s="1" t="s">
        <v>411</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220</v>
      </c>
      <c r="B245" s="1" t="s">
        <v>412</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220</v>
      </c>
      <c r="B246" s="1" t="s">
        <v>413</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220</v>
      </c>
      <c r="B247" s="1" t="s">
        <v>414</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220</v>
      </c>
      <c r="B248" s="1" t="s">
        <v>415</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220</v>
      </c>
      <c r="B249" s="1" t="s">
        <v>416</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220</v>
      </c>
      <c r="B250" s="1" t="s">
        <v>417</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220</v>
      </c>
      <c r="B251" s="1" t="s">
        <v>418</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220</v>
      </c>
      <c r="B252" s="1" t="s">
        <v>419</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220</v>
      </c>
      <c r="B253" s="1" t="s">
        <v>420</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220</v>
      </c>
      <c r="B254" s="1" t="s">
        <v>421</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220</v>
      </c>
      <c r="B255" s="1" t="s">
        <v>422</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220</v>
      </c>
      <c r="B256" s="1" t="s">
        <v>423</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220</v>
      </c>
      <c r="B257" s="1" t="s">
        <v>424</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220</v>
      </c>
      <c r="B258" s="1" t="s">
        <v>425</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220</v>
      </c>
      <c r="B259" s="1" t="s">
        <v>426</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220</v>
      </c>
      <c r="B260" s="1" t="s">
        <v>427</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220</v>
      </c>
      <c r="B261" s="1" t="s">
        <v>428</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220</v>
      </c>
      <c r="B262" s="1" t="s">
        <v>429</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220</v>
      </c>
      <c r="B263" s="1" t="s">
        <v>430</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220</v>
      </c>
      <c r="B264" s="1" t="s">
        <v>867</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220</v>
      </c>
      <c r="B265" s="1" t="s">
        <v>431</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220</v>
      </c>
      <c r="B266" s="1" t="s">
        <v>432</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220</v>
      </c>
      <c r="B267" s="1" t="s">
        <v>433</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220</v>
      </c>
      <c r="B268" s="1" t="s">
        <v>434</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220</v>
      </c>
      <c r="B269" s="1" t="s">
        <v>435</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220</v>
      </c>
      <c r="B270" s="1" t="s">
        <v>436</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220</v>
      </c>
      <c r="B271" s="1" t="s">
        <v>366</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220</v>
      </c>
      <c r="B272" s="1" t="s">
        <v>437</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220</v>
      </c>
      <c r="B273" s="1" t="s">
        <v>438</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220</v>
      </c>
      <c r="B274" s="1" t="s">
        <v>439</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220</v>
      </c>
      <c r="B275" s="1" t="s">
        <v>440</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220</v>
      </c>
      <c r="B276" s="1" t="s">
        <v>441</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220</v>
      </c>
      <c r="B277" s="1" t="s">
        <v>442</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220</v>
      </c>
      <c r="B278" s="1" t="s">
        <v>443</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220</v>
      </c>
      <c r="B279" s="1" t="s">
        <v>444</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220</v>
      </c>
      <c r="B280" s="1" t="s">
        <v>445</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220</v>
      </c>
      <c r="B281" s="1" t="s">
        <v>446</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220</v>
      </c>
      <c r="B282" s="1" t="s">
        <v>447</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220</v>
      </c>
      <c r="B283" s="1" t="s">
        <v>448</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220</v>
      </c>
      <c r="B284" s="1" t="s">
        <v>449</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220</v>
      </c>
      <c r="B285" s="1" t="s">
        <v>450</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220</v>
      </c>
      <c r="B286" s="1" t="s">
        <v>451</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220</v>
      </c>
      <c r="B287" s="1" t="s">
        <v>452</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220</v>
      </c>
      <c r="B288" s="1" t="s">
        <v>453</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220</v>
      </c>
      <c r="B289" s="1" t="s">
        <v>454</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220</v>
      </c>
      <c r="B290" s="1" t="s">
        <v>455</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220</v>
      </c>
      <c r="B291" s="1" t="s">
        <v>456</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220</v>
      </c>
      <c r="B292" s="1" t="s">
        <v>457</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220</v>
      </c>
      <c r="B293" s="1" t="s">
        <v>458</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220</v>
      </c>
      <c r="B294" s="1" t="s">
        <v>459</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220</v>
      </c>
      <c r="B295" s="1" t="s">
        <v>460</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220</v>
      </c>
      <c r="B296" s="1" t="s">
        <v>461</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220</v>
      </c>
      <c r="B297" s="1" t="s">
        <v>462</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220</v>
      </c>
      <c r="B298" s="1" t="s">
        <v>463</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220</v>
      </c>
      <c r="B299" s="1" t="s">
        <v>464</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220</v>
      </c>
      <c r="B300" s="1" t="s">
        <v>465</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220</v>
      </c>
      <c r="B301" s="1" t="s">
        <v>466</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220</v>
      </c>
      <c r="B302" s="1" t="s">
        <v>467</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220</v>
      </c>
      <c r="B303" s="1" t="s">
        <v>468</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220</v>
      </c>
      <c r="B304" s="1" t="s">
        <v>469</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220</v>
      </c>
      <c r="B305" s="1" t="s">
        <v>470</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220</v>
      </c>
      <c r="B306" s="1" t="s">
        <v>471</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220</v>
      </c>
      <c r="B307" s="1" t="s">
        <v>472</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220</v>
      </c>
      <c r="B308" s="1" t="s">
        <v>473</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220</v>
      </c>
      <c r="B309" s="1" t="s">
        <v>474</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220</v>
      </c>
      <c r="B310" s="1" t="s">
        <v>475</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220</v>
      </c>
      <c r="B311" s="1" t="s">
        <v>476</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220</v>
      </c>
      <c r="B312" s="1" t="s">
        <v>477</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220</v>
      </c>
      <c r="B313" s="1" t="s">
        <v>478</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220</v>
      </c>
      <c r="B314" s="1" t="s">
        <v>479</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220</v>
      </c>
      <c r="B315" s="1" t="s">
        <v>480</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220</v>
      </c>
      <c r="B316" s="1" t="s">
        <v>481</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220</v>
      </c>
      <c r="B317" s="1" t="s">
        <v>482</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220</v>
      </c>
      <c r="B318" s="1" t="s">
        <v>483</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220</v>
      </c>
      <c r="B319" s="1" t="s">
        <v>484</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220</v>
      </c>
      <c r="B320" s="1" t="s">
        <v>485</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220</v>
      </c>
      <c r="B321" s="1" t="s">
        <v>486</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220</v>
      </c>
      <c r="B322" s="1" t="s">
        <v>487</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220</v>
      </c>
      <c r="B323" s="1" t="s">
        <v>488</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220</v>
      </c>
      <c r="B324" s="1" t="s">
        <v>489</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220</v>
      </c>
      <c r="B325" s="1" t="s">
        <v>490</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220</v>
      </c>
      <c r="B326" s="1" t="s">
        <v>491</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220</v>
      </c>
      <c r="B327" s="1" t="s">
        <v>492</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220</v>
      </c>
      <c r="B328" s="1" t="s">
        <v>493</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220</v>
      </c>
      <c r="B329" s="1" t="s">
        <v>494</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220</v>
      </c>
      <c r="B330" s="1" t="s">
        <v>495</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220</v>
      </c>
      <c r="B331" s="1" t="s">
        <v>496</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220</v>
      </c>
      <c r="B332" s="1" t="s">
        <v>497</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220</v>
      </c>
      <c r="B333" s="1" t="s">
        <v>498</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220</v>
      </c>
      <c r="B334" s="1" t="s">
        <v>499</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220</v>
      </c>
      <c r="B335" s="1" t="s">
        <v>500</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220</v>
      </c>
      <c r="B336" s="1" t="s">
        <v>501</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220</v>
      </c>
      <c r="B337" s="1" t="s">
        <v>502</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220</v>
      </c>
      <c r="B338" s="1" t="s">
        <v>503</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220</v>
      </c>
      <c r="B339" s="1" t="s">
        <v>504</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220</v>
      </c>
      <c r="B340" s="1" t="s">
        <v>505</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220</v>
      </c>
      <c r="B341" s="1" t="s">
        <v>506</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220</v>
      </c>
      <c r="B342" s="1" t="s">
        <v>507</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220</v>
      </c>
      <c r="B343" s="1" t="s">
        <v>508</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220</v>
      </c>
      <c r="B344" s="1" t="s">
        <v>509</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220</v>
      </c>
      <c r="B345" s="1" t="s">
        <v>510</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220</v>
      </c>
      <c r="B346" s="1" t="s">
        <v>511</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220</v>
      </c>
      <c r="B347" s="1" t="s">
        <v>512</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220</v>
      </c>
      <c r="B348" s="1" t="s">
        <v>513</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220</v>
      </c>
      <c r="B349" s="1" t="s">
        <v>514</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220</v>
      </c>
      <c r="B350" s="1" t="s">
        <v>515</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220</v>
      </c>
      <c r="B351" s="1" t="s">
        <v>516</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220</v>
      </c>
      <c r="B352" s="1" t="s">
        <v>517</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220</v>
      </c>
      <c r="B353" s="1" t="s">
        <v>518</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220</v>
      </c>
      <c r="B354" s="1" t="s">
        <v>519</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220</v>
      </c>
      <c r="B355" s="1" t="s">
        <v>520</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220</v>
      </c>
      <c r="B356" s="1" t="s">
        <v>521</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220</v>
      </c>
      <c r="B357" s="1" t="s">
        <v>522</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220</v>
      </c>
      <c r="B358" s="1" t="s">
        <v>523</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220</v>
      </c>
      <c r="B359" s="1" t="s">
        <v>524</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220</v>
      </c>
      <c r="B360" s="1" t="s">
        <v>525</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220</v>
      </c>
      <c r="B361" s="1" t="s">
        <v>526</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220</v>
      </c>
      <c r="B362" s="1" t="s">
        <v>527</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220</v>
      </c>
      <c r="B363" s="1" t="s">
        <v>528</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220</v>
      </c>
      <c r="B364" s="1" t="s">
        <v>529</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220</v>
      </c>
      <c r="B365" s="1" t="s">
        <v>530</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220</v>
      </c>
      <c r="B366" s="1" t="s">
        <v>531</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220</v>
      </c>
      <c r="B367" s="1" t="s">
        <v>532</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220</v>
      </c>
      <c r="B368" s="1" t="s">
        <v>533</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220</v>
      </c>
      <c r="B369" s="1" t="s">
        <v>534</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220</v>
      </c>
      <c r="B370" s="1" t="s">
        <v>535</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220</v>
      </c>
      <c r="B371" s="1" t="s">
        <v>868</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220</v>
      </c>
      <c r="B372" s="1" t="s">
        <v>536</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220</v>
      </c>
      <c r="B373" s="1" t="s">
        <v>537</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220</v>
      </c>
      <c r="B374" s="1" t="s">
        <v>538</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220</v>
      </c>
      <c r="B375" s="1" t="s">
        <v>539</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220</v>
      </c>
      <c r="B376" s="1" t="s">
        <v>869</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220</v>
      </c>
      <c r="B377" s="1" t="s">
        <v>540</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220</v>
      </c>
      <c r="B378" s="1" t="s">
        <v>541</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220</v>
      </c>
      <c r="B379" s="1" t="s">
        <v>542</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220</v>
      </c>
      <c r="B380" s="1" t="s">
        <v>543</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220</v>
      </c>
      <c r="B381" s="1" t="s">
        <v>544</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220</v>
      </c>
      <c r="B382" s="1" t="s">
        <v>545</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220</v>
      </c>
      <c r="B383" s="1" t="s">
        <v>546</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220</v>
      </c>
      <c r="B384" s="1" t="s">
        <v>547</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220</v>
      </c>
      <c r="B385" s="1" t="s">
        <v>548</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220</v>
      </c>
      <c r="B386" s="1" t="s">
        <v>549</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220</v>
      </c>
      <c r="B387" s="1" t="s">
        <v>550</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220</v>
      </c>
      <c r="B388" s="1" t="s">
        <v>551</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220</v>
      </c>
      <c r="B389" s="1" t="s">
        <v>552</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220</v>
      </c>
      <c r="B390" s="1" t="s">
        <v>553</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220</v>
      </c>
      <c r="B391" s="1" t="s">
        <v>554</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220</v>
      </c>
      <c r="B392" s="1" t="s">
        <v>555</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220</v>
      </c>
      <c r="B393" s="1" t="s">
        <v>556</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220</v>
      </c>
      <c r="B394" s="1" t="s">
        <v>557</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220</v>
      </c>
      <c r="B395" s="1" t="s">
        <v>558</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220</v>
      </c>
      <c r="B396" s="1" t="s">
        <v>559</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220</v>
      </c>
      <c r="B397" s="1" t="s">
        <v>560</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220</v>
      </c>
      <c r="B398" s="1" t="s">
        <v>561</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220</v>
      </c>
      <c r="B399" s="1" t="s">
        <v>562</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220</v>
      </c>
      <c r="B400" s="1" t="s">
        <v>563</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220</v>
      </c>
      <c r="B401" s="1" t="s">
        <v>564</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220</v>
      </c>
      <c r="B402" s="1" t="s">
        <v>565</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220</v>
      </c>
      <c r="B403" s="1" t="s">
        <v>566</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220</v>
      </c>
      <c r="B404" s="1" t="s">
        <v>567</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220</v>
      </c>
      <c r="B405" s="1" t="s">
        <v>568</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220</v>
      </c>
      <c r="B406" s="1" t="s">
        <v>569</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220</v>
      </c>
      <c r="B407" s="1" t="s">
        <v>570</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220</v>
      </c>
      <c r="B408" s="1" t="s">
        <v>571</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220</v>
      </c>
      <c r="B409" s="1" t="s">
        <v>572</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220</v>
      </c>
      <c r="B410" s="1" t="s">
        <v>573</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220</v>
      </c>
      <c r="B411" s="1" t="s">
        <v>574</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220</v>
      </c>
      <c r="B412" s="1" t="s">
        <v>575</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220</v>
      </c>
      <c r="B413" s="1" t="s">
        <v>576</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220</v>
      </c>
      <c r="B414" s="1" t="s">
        <v>367</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220</v>
      </c>
      <c r="B415" s="1" t="s">
        <v>577</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220</v>
      </c>
      <c r="B416" s="1" t="s">
        <v>578</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220</v>
      </c>
      <c r="B417" s="1" t="s">
        <v>579</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220</v>
      </c>
      <c r="B418" s="1" t="s">
        <v>580</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220</v>
      </c>
      <c r="B419" s="1" t="s">
        <v>581</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220</v>
      </c>
      <c r="B420" s="1" t="s">
        <v>582</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220</v>
      </c>
      <c r="B421" s="1" t="s">
        <v>583</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220</v>
      </c>
      <c r="B422" s="1" t="s">
        <v>584</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220</v>
      </c>
      <c r="B423" s="1" t="s">
        <v>585</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220</v>
      </c>
      <c r="B424" s="1" t="s">
        <v>586</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220</v>
      </c>
      <c r="B425" s="1" t="s">
        <v>587</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220</v>
      </c>
      <c r="B426" s="1" t="s">
        <v>588</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220</v>
      </c>
      <c r="B427" s="1" t="s">
        <v>589</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220</v>
      </c>
      <c r="B428" s="1" t="s">
        <v>590</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220</v>
      </c>
      <c r="B429" s="1" t="s">
        <v>591</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220</v>
      </c>
      <c r="B430" s="1" t="s">
        <v>592</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220</v>
      </c>
      <c r="B431" s="1" t="s">
        <v>593</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220</v>
      </c>
      <c r="B432" s="1" t="s">
        <v>594</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220</v>
      </c>
      <c r="B433" s="1" t="s">
        <v>595</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220</v>
      </c>
      <c r="B434" s="1" t="s">
        <v>596</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220</v>
      </c>
      <c r="B435" s="1" t="s">
        <v>597</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220</v>
      </c>
      <c r="B436" s="1" t="s">
        <v>598</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220</v>
      </c>
      <c r="B437" s="1" t="s">
        <v>599</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220</v>
      </c>
      <c r="B438" s="1" t="s">
        <v>600</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220</v>
      </c>
      <c r="B439" s="1" t="s">
        <v>601</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220</v>
      </c>
      <c r="B440" s="1" t="s">
        <v>602</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220</v>
      </c>
      <c r="B441" s="1" t="s">
        <v>603</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220</v>
      </c>
      <c r="B442" s="1" t="s">
        <v>604</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220</v>
      </c>
      <c r="B443" s="1" t="s">
        <v>605</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220</v>
      </c>
      <c r="B444" s="1" t="s">
        <v>606</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220</v>
      </c>
      <c r="B445" s="1" t="s">
        <v>607</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220</v>
      </c>
      <c r="B446" s="1" t="s">
        <v>608</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220</v>
      </c>
      <c r="B447" s="1" t="s">
        <v>609</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220</v>
      </c>
      <c r="B448" s="1" t="s">
        <v>610</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220</v>
      </c>
      <c r="B449" s="1" t="s">
        <v>611</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220</v>
      </c>
      <c r="B450" s="1" t="s">
        <v>612</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220</v>
      </c>
      <c r="B451" s="1" t="s">
        <v>613</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220</v>
      </c>
      <c r="B452" s="1" t="s">
        <v>614</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220</v>
      </c>
      <c r="B453" s="1" t="s">
        <v>615</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220</v>
      </c>
      <c r="B454" s="1" t="s">
        <v>616</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220</v>
      </c>
      <c r="B455" s="1" t="s">
        <v>617</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220</v>
      </c>
      <c r="B456" s="1" t="s">
        <v>618</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220</v>
      </c>
      <c r="B457" s="1" t="s">
        <v>619</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220</v>
      </c>
      <c r="B458" s="1" t="s">
        <v>620</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220</v>
      </c>
      <c r="B459" s="1" t="s">
        <v>621</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220</v>
      </c>
      <c r="B460" s="1" t="s">
        <v>622</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220</v>
      </c>
      <c r="B461" s="1" t="s">
        <v>623</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220</v>
      </c>
      <c r="B462" s="1" t="s">
        <v>624</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220</v>
      </c>
      <c r="B463" s="1" t="s">
        <v>625</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220</v>
      </c>
      <c r="B464" s="1" t="s">
        <v>626</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220</v>
      </c>
      <c r="B465" s="1" t="s">
        <v>627</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220</v>
      </c>
      <c r="B466" s="1" t="s">
        <v>628</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220</v>
      </c>
      <c r="B467" s="1" t="s">
        <v>629</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220</v>
      </c>
      <c r="B468" s="1" t="s">
        <v>630</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220</v>
      </c>
      <c r="B469" s="1" t="s">
        <v>631</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220</v>
      </c>
      <c r="B470" s="1" t="s">
        <v>632</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220</v>
      </c>
      <c r="B471" s="1" t="s">
        <v>633</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220</v>
      </c>
      <c r="B472" s="1" t="s">
        <v>634</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220</v>
      </c>
      <c r="B473" s="1" t="s">
        <v>635</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220</v>
      </c>
      <c r="B474" s="1" t="s">
        <v>636</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220</v>
      </c>
      <c r="B475" s="1" t="s">
        <v>637</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220</v>
      </c>
      <c r="B476" s="1" t="s">
        <v>638</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220</v>
      </c>
      <c r="B477" s="1" t="s">
        <v>639</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220</v>
      </c>
      <c r="B478" s="1" t="s">
        <v>870</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220</v>
      </c>
      <c r="B479" s="1" t="s">
        <v>640</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220</v>
      </c>
      <c r="B480" s="1" t="s">
        <v>641</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220</v>
      </c>
      <c r="B481" s="1" t="s">
        <v>642</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220</v>
      </c>
      <c r="B482" s="1" t="s">
        <v>871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220</v>
      </c>
      <c r="B483" s="1" t="s">
        <v>643</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220</v>
      </c>
      <c r="B484" s="1" t="s">
        <v>644</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220</v>
      </c>
      <c r="B485" s="1" t="s">
        <v>645</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220</v>
      </c>
      <c r="B486" s="1" t="s">
        <v>646</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220</v>
      </c>
      <c r="B487" s="1" t="s">
        <v>647</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220</v>
      </c>
      <c r="B488" s="1" t="s">
        <v>648</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220</v>
      </c>
      <c r="B489" s="1" t="s">
        <v>649</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220</v>
      </c>
      <c r="B490" s="1" t="s">
        <v>650</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220</v>
      </c>
      <c r="B491" s="1" t="s">
        <v>651</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220</v>
      </c>
      <c r="B492" s="1" t="s">
        <v>652</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220</v>
      </c>
      <c r="B493" s="1" t="s">
        <v>653</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220</v>
      </c>
      <c r="B494" s="1" t="s">
        <v>654</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220</v>
      </c>
      <c r="B495" s="1" t="s">
        <v>655</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220</v>
      </c>
      <c r="B496" s="1" t="s">
        <v>656</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657</v>
      </c>
      <c r="B498" s="1" t="s">
        <v>658</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50">
        <v>391</v>
      </c>
      <c r="N498" s="550">
        <v>334</v>
      </c>
      <c r="O498" s="550">
        <v>374</v>
      </c>
      <c r="P498" s="550">
        <v>393</v>
      </c>
      <c r="Q498" s="550">
        <v>365</v>
      </c>
      <c r="R498" s="550">
        <v>333</v>
      </c>
      <c r="S498" s="550">
        <v>365</v>
      </c>
      <c r="T498" s="550">
        <v>388</v>
      </c>
      <c r="U498" s="550">
        <v>394</v>
      </c>
      <c r="V498" s="550">
        <v>392</v>
      </c>
      <c r="W498" s="550">
        <v>375</v>
      </c>
      <c r="X498" s="550">
        <v>423</v>
      </c>
      <c r="Y498" s="550">
        <v>403</v>
      </c>
      <c r="Z498" s="550">
        <v>425</v>
      </c>
      <c r="AA498" s="550">
        <v>394</v>
      </c>
      <c r="AB498" s="550">
        <v>319</v>
      </c>
      <c r="AC498" s="550">
        <v>337</v>
      </c>
      <c r="AD498" s="550">
        <v>363</v>
      </c>
      <c r="AE498" s="550">
        <v>363</v>
      </c>
      <c r="AF498" s="550">
        <v>317</v>
      </c>
      <c r="AG498" s="550">
        <v>288</v>
      </c>
      <c r="AH498" s="550">
        <v>332</v>
      </c>
      <c r="AI498" s="550">
        <v>374</v>
      </c>
      <c r="AJ498" s="550">
        <v>338</v>
      </c>
      <c r="AK498" s="550">
        <v>389</v>
      </c>
      <c r="AL498" s="550">
        <v>412</v>
      </c>
      <c r="AM498" s="550">
        <v>367</v>
      </c>
      <c r="AN498" s="550">
        <v>361</v>
      </c>
      <c r="AO498" s="550">
        <v>441</v>
      </c>
      <c r="AP498" s="550">
        <v>438</v>
      </c>
      <c r="AQ498" s="550">
        <v>468</v>
      </c>
      <c r="AR498" s="550">
        <v>465</v>
      </c>
      <c r="AS498" s="550">
        <v>442</v>
      </c>
      <c r="AT498" s="550">
        <v>467</v>
      </c>
      <c r="AU498" s="550">
        <v>398</v>
      </c>
      <c r="AV498" s="550">
        <v>423</v>
      </c>
      <c r="AW498" s="550">
        <v>418</v>
      </c>
      <c r="AX498" s="550">
        <v>449</v>
      </c>
      <c r="AY498" s="550">
        <v>389</v>
      </c>
      <c r="AZ498" s="550">
        <v>409</v>
      </c>
      <c r="BA498" s="550">
        <v>365</v>
      </c>
      <c r="BB498" s="550">
        <v>396</v>
      </c>
      <c r="BC498" s="550">
        <v>373</v>
      </c>
      <c r="BD498" s="550">
        <v>369</v>
      </c>
      <c r="BE498" s="550">
        <v>348</v>
      </c>
      <c r="BF498" s="550">
        <v>299</v>
      </c>
      <c r="BG498" s="550">
        <v>345</v>
      </c>
      <c r="BH498" s="550">
        <v>417</v>
      </c>
      <c r="BI498" s="550">
        <v>386</v>
      </c>
      <c r="BJ498" s="550">
        <v>430</v>
      </c>
      <c r="BK498" s="550">
        <v>495</v>
      </c>
      <c r="BL498" s="550">
        <v>469</v>
      </c>
      <c r="BM498" s="550">
        <v>471</v>
      </c>
      <c r="BN498" s="550">
        <v>521</v>
      </c>
      <c r="BO498" s="550">
        <v>498</v>
      </c>
      <c r="BP498" s="550">
        <v>491</v>
      </c>
      <c r="BQ498" s="550">
        <v>525</v>
      </c>
      <c r="BR498" s="550">
        <v>529</v>
      </c>
      <c r="BS498" s="550">
        <v>512</v>
      </c>
      <c r="BT498" s="550">
        <v>493</v>
      </c>
      <c r="BU498" s="550">
        <v>503</v>
      </c>
      <c r="BV498" s="550">
        <v>432</v>
      </c>
      <c r="BW498" s="550">
        <v>445</v>
      </c>
      <c r="BX498" s="550">
        <v>434</v>
      </c>
      <c r="BY498" s="550">
        <v>364</v>
      </c>
      <c r="BZ498" s="550">
        <v>441</v>
      </c>
      <c r="CA498" s="550">
        <v>389</v>
      </c>
      <c r="CB498" s="550">
        <v>372</v>
      </c>
      <c r="CC498" s="550">
        <v>364</v>
      </c>
      <c r="CD498" s="550">
        <v>375</v>
      </c>
      <c r="CE498" s="550">
        <v>341</v>
      </c>
      <c r="CF498" s="550">
        <v>358</v>
      </c>
      <c r="CG498" s="550">
        <v>351</v>
      </c>
      <c r="CH498" s="550">
        <v>359</v>
      </c>
      <c r="CI498" s="550">
        <v>343</v>
      </c>
      <c r="CJ498" s="550">
        <v>401</v>
      </c>
      <c r="CK498" s="550">
        <v>297</v>
      </c>
      <c r="CL498" s="550">
        <v>262</v>
      </c>
      <c r="CM498" s="550">
        <v>235</v>
      </c>
      <c r="CN498" s="550">
        <v>261</v>
      </c>
      <c r="CO498" s="550">
        <v>210</v>
      </c>
      <c r="CP498" s="550">
        <v>179</v>
      </c>
      <c r="CQ498" s="550">
        <v>155</v>
      </c>
      <c r="CR498" s="550">
        <v>164</v>
      </c>
      <c r="CS498" s="550">
        <v>135</v>
      </c>
      <c r="CT498" s="550">
        <v>101</v>
      </c>
      <c r="CU498" s="550">
        <v>100</v>
      </c>
      <c r="CV498" s="550">
        <v>87</v>
      </c>
      <c r="CW498" s="550">
        <v>55</v>
      </c>
      <c r="CX498" s="550">
        <v>58</v>
      </c>
      <c r="CY498" s="550">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209</v>
      </c>
      <c r="B499" s="1" t="s">
        <v>659</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50">
        <v>731</v>
      </c>
      <c r="N499" s="550">
        <v>689</v>
      </c>
      <c r="O499" s="550">
        <v>714</v>
      </c>
      <c r="P499" s="550">
        <v>751</v>
      </c>
      <c r="Q499" s="550">
        <v>788</v>
      </c>
      <c r="R499" s="550">
        <v>823</v>
      </c>
      <c r="S499" s="550">
        <v>811</v>
      </c>
      <c r="T499" s="550">
        <v>852</v>
      </c>
      <c r="U499" s="550">
        <v>862</v>
      </c>
      <c r="V499" s="550">
        <v>879</v>
      </c>
      <c r="W499" s="550">
        <v>884</v>
      </c>
      <c r="X499" s="550">
        <v>978</v>
      </c>
      <c r="Y499" s="550">
        <v>895</v>
      </c>
      <c r="Z499" s="550">
        <v>924</v>
      </c>
      <c r="AA499" s="550">
        <v>890</v>
      </c>
      <c r="AB499" s="550">
        <v>868</v>
      </c>
      <c r="AC499" s="550">
        <v>836</v>
      </c>
      <c r="AD499" s="550">
        <v>905</v>
      </c>
      <c r="AE499" s="550">
        <v>777</v>
      </c>
      <c r="AF499" s="550">
        <v>641</v>
      </c>
      <c r="AG499" s="550">
        <v>674</v>
      </c>
      <c r="AH499" s="550">
        <v>686</v>
      </c>
      <c r="AI499" s="550">
        <v>727</v>
      </c>
      <c r="AJ499" s="550">
        <v>840</v>
      </c>
      <c r="AK499" s="550">
        <v>858</v>
      </c>
      <c r="AL499" s="550">
        <v>945</v>
      </c>
      <c r="AM499" s="550">
        <v>890</v>
      </c>
      <c r="AN499" s="550">
        <v>816</v>
      </c>
      <c r="AO499" s="550">
        <v>944</v>
      </c>
      <c r="AP499" s="550">
        <v>857</v>
      </c>
      <c r="AQ499" s="550">
        <v>968</v>
      </c>
      <c r="AR499" s="550">
        <v>910</v>
      </c>
      <c r="AS499" s="550">
        <v>982</v>
      </c>
      <c r="AT499" s="550">
        <v>986</v>
      </c>
      <c r="AU499" s="550">
        <v>996</v>
      </c>
      <c r="AV499" s="550">
        <v>984</v>
      </c>
      <c r="AW499" s="550">
        <v>944</v>
      </c>
      <c r="AX499" s="550">
        <v>937</v>
      </c>
      <c r="AY499" s="550">
        <v>874</v>
      </c>
      <c r="AZ499" s="550">
        <v>882</v>
      </c>
      <c r="BA499" s="550">
        <v>860</v>
      </c>
      <c r="BB499" s="550">
        <v>916</v>
      </c>
      <c r="BC499" s="550">
        <v>935</v>
      </c>
      <c r="BD499" s="550">
        <v>885</v>
      </c>
      <c r="BE499" s="550">
        <v>798</v>
      </c>
      <c r="BF499" s="550">
        <v>764</v>
      </c>
      <c r="BG499" s="550">
        <v>821</v>
      </c>
      <c r="BH499" s="550">
        <v>816</v>
      </c>
      <c r="BI499" s="550">
        <v>884</v>
      </c>
      <c r="BJ499" s="550">
        <v>901</v>
      </c>
      <c r="BK499" s="550">
        <v>1009</v>
      </c>
      <c r="BL499" s="550">
        <v>1091</v>
      </c>
      <c r="BM499" s="550">
        <v>977</v>
      </c>
      <c r="BN499" s="550">
        <v>1017</v>
      </c>
      <c r="BO499" s="550">
        <v>1078</v>
      </c>
      <c r="BP499" s="550">
        <v>1056</v>
      </c>
      <c r="BQ499" s="550">
        <v>1081</v>
      </c>
      <c r="BR499" s="550">
        <v>1062</v>
      </c>
      <c r="BS499" s="550">
        <v>1067</v>
      </c>
      <c r="BT499" s="550">
        <v>1000</v>
      </c>
      <c r="BU499" s="550">
        <v>1035</v>
      </c>
      <c r="BV499" s="550">
        <v>984</v>
      </c>
      <c r="BW499" s="550">
        <v>918</v>
      </c>
      <c r="BX499" s="550">
        <v>903</v>
      </c>
      <c r="BY499" s="550">
        <v>907</v>
      </c>
      <c r="BZ499" s="550">
        <v>835</v>
      </c>
      <c r="CA499" s="550">
        <v>831</v>
      </c>
      <c r="CB499" s="550">
        <v>766</v>
      </c>
      <c r="CC499" s="550">
        <v>742</v>
      </c>
      <c r="CD499" s="550">
        <v>776</v>
      </c>
      <c r="CE499" s="550">
        <v>736</v>
      </c>
      <c r="CF499" s="550">
        <v>767</v>
      </c>
      <c r="CG499" s="550">
        <v>726</v>
      </c>
      <c r="CH499" s="550">
        <v>780</v>
      </c>
      <c r="CI499" s="550">
        <v>754</v>
      </c>
      <c r="CJ499" s="550">
        <v>809</v>
      </c>
      <c r="CK499" s="550">
        <v>632</v>
      </c>
      <c r="CL499" s="550">
        <v>617</v>
      </c>
      <c r="CM499" s="550">
        <v>572</v>
      </c>
      <c r="CN499" s="550">
        <v>506</v>
      </c>
      <c r="CO499" s="550">
        <v>443</v>
      </c>
      <c r="CP499" s="550">
        <v>449</v>
      </c>
      <c r="CQ499" s="550">
        <v>367</v>
      </c>
      <c r="CR499" s="550">
        <v>336</v>
      </c>
      <c r="CS499" s="550">
        <v>314</v>
      </c>
      <c r="CT499" s="550">
        <v>257</v>
      </c>
      <c r="CU499" s="550">
        <v>226</v>
      </c>
      <c r="CV499" s="550">
        <v>223</v>
      </c>
      <c r="CW499" s="550">
        <v>154</v>
      </c>
      <c r="CX499" s="550">
        <v>144</v>
      </c>
      <c r="CY499" s="550">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209</v>
      </c>
      <c r="B500" s="1" t="s">
        <v>660</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50">
        <v>834</v>
      </c>
      <c r="N500" s="550">
        <v>824</v>
      </c>
      <c r="O500" s="550">
        <v>908</v>
      </c>
      <c r="P500" s="550">
        <v>935</v>
      </c>
      <c r="Q500" s="550">
        <v>1007</v>
      </c>
      <c r="R500" s="550">
        <v>996</v>
      </c>
      <c r="S500" s="550">
        <v>1029</v>
      </c>
      <c r="T500" s="550">
        <v>1072</v>
      </c>
      <c r="U500" s="550">
        <v>1068</v>
      </c>
      <c r="V500" s="550">
        <v>1056</v>
      </c>
      <c r="W500" s="550">
        <v>1069</v>
      </c>
      <c r="X500" s="550">
        <v>1095</v>
      </c>
      <c r="Y500" s="550">
        <v>1148</v>
      </c>
      <c r="Z500" s="550">
        <v>1126</v>
      </c>
      <c r="AA500" s="550">
        <v>1141</v>
      </c>
      <c r="AB500" s="550">
        <v>1053</v>
      </c>
      <c r="AC500" s="550">
        <v>1026</v>
      </c>
      <c r="AD500" s="550">
        <v>1028</v>
      </c>
      <c r="AE500" s="550">
        <v>1108</v>
      </c>
      <c r="AF500" s="550">
        <v>875</v>
      </c>
      <c r="AG500" s="550">
        <v>817</v>
      </c>
      <c r="AH500" s="550">
        <v>888</v>
      </c>
      <c r="AI500" s="550">
        <v>942</v>
      </c>
      <c r="AJ500" s="550">
        <v>891</v>
      </c>
      <c r="AK500" s="550">
        <v>901</v>
      </c>
      <c r="AL500" s="550">
        <v>1103</v>
      </c>
      <c r="AM500" s="550">
        <v>1005</v>
      </c>
      <c r="AN500" s="550">
        <v>987</v>
      </c>
      <c r="AO500" s="550">
        <v>1032</v>
      </c>
      <c r="AP500" s="550">
        <v>1030</v>
      </c>
      <c r="AQ500" s="550">
        <v>1074</v>
      </c>
      <c r="AR500" s="550">
        <v>1182</v>
      </c>
      <c r="AS500" s="550">
        <v>1115</v>
      </c>
      <c r="AT500" s="550">
        <v>1132</v>
      </c>
      <c r="AU500" s="550">
        <v>1167</v>
      </c>
      <c r="AV500" s="550">
        <v>1071</v>
      </c>
      <c r="AW500" s="550">
        <v>1140</v>
      </c>
      <c r="AX500" s="550">
        <v>1077</v>
      </c>
      <c r="AY500" s="550">
        <v>1079</v>
      </c>
      <c r="AZ500" s="550">
        <v>1060</v>
      </c>
      <c r="BA500" s="550">
        <v>1012</v>
      </c>
      <c r="BB500" s="550">
        <v>1070</v>
      </c>
      <c r="BC500" s="550">
        <v>1085</v>
      </c>
      <c r="BD500" s="550">
        <v>1002</v>
      </c>
      <c r="BE500" s="550">
        <v>958</v>
      </c>
      <c r="BF500" s="550">
        <v>997</v>
      </c>
      <c r="BG500" s="550">
        <v>992</v>
      </c>
      <c r="BH500" s="550">
        <v>988</v>
      </c>
      <c r="BI500" s="550">
        <v>1077</v>
      </c>
      <c r="BJ500" s="550">
        <v>1113</v>
      </c>
      <c r="BK500" s="550">
        <v>1157</v>
      </c>
      <c r="BL500" s="550">
        <v>1232</v>
      </c>
      <c r="BM500" s="550">
        <v>1129</v>
      </c>
      <c r="BN500" s="550">
        <v>1299</v>
      </c>
      <c r="BO500" s="550">
        <v>1259</v>
      </c>
      <c r="BP500" s="550">
        <v>1214</v>
      </c>
      <c r="BQ500" s="550">
        <v>1265</v>
      </c>
      <c r="BR500" s="550">
        <v>1277</v>
      </c>
      <c r="BS500" s="550">
        <v>1255</v>
      </c>
      <c r="BT500" s="550">
        <v>1273</v>
      </c>
      <c r="BU500" s="550">
        <v>1181</v>
      </c>
      <c r="BV500" s="550">
        <v>1146</v>
      </c>
      <c r="BW500" s="550">
        <v>1118</v>
      </c>
      <c r="BX500" s="550">
        <v>1064</v>
      </c>
      <c r="BY500" s="550">
        <v>1058</v>
      </c>
      <c r="BZ500" s="550">
        <v>1029</v>
      </c>
      <c r="CA500" s="550">
        <v>925</v>
      </c>
      <c r="CB500" s="550">
        <v>870</v>
      </c>
      <c r="CC500" s="550">
        <v>989</v>
      </c>
      <c r="CD500" s="550">
        <v>948</v>
      </c>
      <c r="CE500" s="550">
        <v>880</v>
      </c>
      <c r="CF500" s="550">
        <v>910</v>
      </c>
      <c r="CG500" s="550">
        <v>938</v>
      </c>
      <c r="CH500" s="550">
        <v>837</v>
      </c>
      <c r="CI500" s="550">
        <v>970</v>
      </c>
      <c r="CJ500" s="550">
        <v>989</v>
      </c>
      <c r="CK500" s="550">
        <v>740</v>
      </c>
      <c r="CL500" s="550">
        <v>691</v>
      </c>
      <c r="CM500" s="550">
        <v>645</v>
      </c>
      <c r="CN500" s="550">
        <v>570</v>
      </c>
      <c r="CO500" s="550">
        <v>578</v>
      </c>
      <c r="CP500" s="550">
        <v>442</v>
      </c>
      <c r="CQ500" s="550">
        <v>426</v>
      </c>
      <c r="CR500" s="550">
        <v>410</v>
      </c>
      <c r="CS500" s="550">
        <v>355</v>
      </c>
      <c r="CT500" s="550">
        <v>296</v>
      </c>
      <c r="CU500" s="550">
        <v>259</v>
      </c>
      <c r="CV500" s="550">
        <v>215</v>
      </c>
      <c r="CW500" s="550">
        <v>176</v>
      </c>
      <c r="CX500" s="550">
        <v>150</v>
      </c>
      <c r="CY500" s="550">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209</v>
      </c>
      <c r="B501" s="1" t="s">
        <v>661</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50">
        <v>1950</v>
      </c>
      <c r="N501" s="550">
        <v>1875</v>
      </c>
      <c r="O501" s="550">
        <v>1880</v>
      </c>
      <c r="P501" s="550">
        <v>1977</v>
      </c>
      <c r="Q501" s="550">
        <v>2035</v>
      </c>
      <c r="R501" s="550">
        <v>2099</v>
      </c>
      <c r="S501" s="550">
        <v>2234</v>
      </c>
      <c r="T501" s="550">
        <v>2194</v>
      </c>
      <c r="U501" s="550">
        <v>2213</v>
      </c>
      <c r="V501" s="550">
        <v>2181</v>
      </c>
      <c r="W501" s="550">
        <v>2303</v>
      </c>
      <c r="X501" s="550">
        <v>2380</v>
      </c>
      <c r="Y501" s="550">
        <v>2271</v>
      </c>
      <c r="Z501" s="550">
        <v>2188</v>
      </c>
      <c r="AA501" s="550">
        <v>2173</v>
      </c>
      <c r="AB501" s="550">
        <v>2117</v>
      </c>
      <c r="AC501" s="550">
        <v>2130</v>
      </c>
      <c r="AD501" s="550">
        <v>2130</v>
      </c>
      <c r="AE501" s="550">
        <v>2327</v>
      </c>
      <c r="AF501" s="550">
        <v>4164</v>
      </c>
      <c r="AG501" s="550">
        <v>4565</v>
      </c>
      <c r="AH501" s="550">
        <v>4249</v>
      </c>
      <c r="AI501" s="550">
        <v>3797</v>
      </c>
      <c r="AJ501" s="550">
        <v>3628</v>
      </c>
      <c r="AK501" s="550">
        <v>3513</v>
      </c>
      <c r="AL501" s="550">
        <v>3439</v>
      </c>
      <c r="AM501" s="550">
        <v>3420</v>
      </c>
      <c r="AN501" s="550">
        <v>3228</v>
      </c>
      <c r="AO501" s="550">
        <v>3077</v>
      </c>
      <c r="AP501" s="550">
        <v>2999</v>
      </c>
      <c r="AQ501" s="550">
        <v>2824</v>
      </c>
      <c r="AR501" s="550">
        <v>2846</v>
      </c>
      <c r="AS501" s="550">
        <v>2776</v>
      </c>
      <c r="AT501" s="550">
        <v>2588</v>
      </c>
      <c r="AU501" s="550">
        <v>2705</v>
      </c>
      <c r="AV501" s="550">
        <v>2608</v>
      </c>
      <c r="AW501" s="550">
        <v>2669</v>
      </c>
      <c r="AX501" s="550">
        <v>2467</v>
      </c>
      <c r="AY501" s="550">
        <v>2494</v>
      </c>
      <c r="AZ501" s="550">
        <v>2498</v>
      </c>
      <c r="BA501" s="550">
        <v>2343</v>
      </c>
      <c r="BB501" s="550">
        <v>2361</v>
      </c>
      <c r="BC501" s="550">
        <v>2324</v>
      </c>
      <c r="BD501" s="550">
        <v>2260</v>
      </c>
      <c r="BE501" s="550">
        <v>2022</v>
      </c>
      <c r="BF501" s="550">
        <v>2128</v>
      </c>
      <c r="BG501" s="550">
        <v>2019</v>
      </c>
      <c r="BH501" s="550">
        <v>2027</v>
      </c>
      <c r="BI501" s="550">
        <v>2070</v>
      </c>
      <c r="BJ501" s="550">
        <v>1928</v>
      </c>
      <c r="BK501" s="550">
        <v>1966</v>
      </c>
      <c r="BL501" s="550">
        <v>2100</v>
      </c>
      <c r="BM501" s="550">
        <v>2061</v>
      </c>
      <c r="BN501" s="550">
        <v>2078</v>
      </c>
      <c r="BO501" s="550">
        <v>1992</v>
      </c>
      <c r="BP501" s="550">
        <v>2070</v>
      </c>
      <c r="BQ501" s="550">
        <v>1888</v>
      </c>
      <c r="BR501" s="550">
        <v>2027</v>
      </c>
      <c r="BS501" s="550">
        <v>1976</v>
      </c>
      <c r="BT501" s="550">
        <v>1918</v>
      </c>
      <c r="BU501" s="550">
        <v>1994</v>
      </c>
      <c r="BV501" s="550">
        <v>1814</v>
      </c>
      <c r="BW501" s="550">
        <v>1830</v>
      </c>
      <c r="BX501" s="550">
        <v>1808</v>
      </c>
      <c r="BY501" s="550">
        <v>1654</v>
      </c>
      <c r="BZ501" s="550">
        <v>1666</v>
      </c>
      <c r="CA501" s="550">
        <v>1538</v>
      </c>
      <c r="CB501" s="550">
        <v>1449</v>
      </c>
      <c r="CC501" s="550">
        <v>1467</v>
      </c>
      <c r="CD501" s="550">
        <v>1364</v>
      </c>
      <c r="CE501" s="550">
        <v>1286</v>
      </c>
      <c r="CF501" s="550">
        <v>1359</v>
      </c>
      <c r="CG501" s="550">
        <v>1353</v>
      </c>
      <c r="CH501" s="550">
        <v>1306</v>
      </c>
      <c r="CI501" s="550">
        <v>1244</v>
      </c>
      <c r="CJ501" s="550">
        <v>1342</v>
      </c>
      <c r="CK501" s="550">
        <v>991</v>
      </c>
      <c r="CL501" s="550">
        <v>942</v>
      </c>
      <c r="CM501" s="550">
        <v>905</v>
      </c>
      <c r="CN501" s="550">
        <v>742</v>
      </c>
      <c r="CO501" s="550">
        <v>691</v>
      </c>
      <c r="CP501" s="550">
        <v>611</v>
      </c>
      <c r="CQ501" s="550">
        <v>589</v>
      </c>
      <c r="CR501" s="550">
        <v>538</v>
      </c>
      <c r="CS501" s="550">
        <v>490</v>
      </c>
      <c r="CT501" s="550">
        <v>446</v>
      </c>
      <c r="CU501" s="550">
        <v>394</v>
      </c>
      <c r="CV501" s="550">
        <v>368</v>
      </c>
      <c r="CW501" s="550">
        <v>281</v>
      </c>
      <c r="CX501" s="550">
        <v>249</v>
      </c>
      <c r="CY501" s="550">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209</v>
      </c>
      <c r="B502" s="1" t="s">
        <v>662</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50">
        <v>856</v>
      </c>
      <c r="N502" s="550">
        <v>866</v>
      </c>
      <c r="O502" s="550">
        <v>854</v>
      </c>
      <c r="P502" s="550">
        <v>934</v>
      </c>
      <c r="Q502" s="550">
        <v>976</v>
      </c>
      <c r="R502" s="550">
        <v>1016</v>
      </c>
      <c r="S502" s="550">
        <v>1068</v>
      </c>
      <c r="T502" s="550">
        <v>1057</v>
      </c>
      <c r="U502" s="550">
        <v>1032</v>
      </c>
      <c r="V502" s="550">
        <v>1077</v>
      </c>
      <c r="W502" s="550">
        <v>1158</v>
      </c>
      <c r="X502" s="550">
        <v>1168</v>
      </c>
      <c r="Y502" s="550">
        <v>1148</v>
      </c>
      <c r="Z502" s="550">
        <v>1099</v>
      </c>
      <c r="AA502" s="550">
        <v>1137</v>
      </c>
      <c r="AB502" s="550">
        <v>1146</v>
      </c>
      <c r="AC502" s="550">
        <v>1150</v>
      </c>
      <c r="AD502" s="550">
        <v>1098</v>
      </c>
      <c r="AE502" s="550">
        <v>1071</v>
      </c>
      <c r="AF502" s="550">
        <v>898</v>
      </c>
      <c r="AG502" s="550">
        <v>829</v>
      </c>
      <c r="AH502" s="550">
        <v>834</v>
      </c>
      <c r="AI502" s="550">
        <v>847</v>
      </c>
      <c r="AJ502" s="550">
        <v>907</v>
      </c>
      <c r="AK502" s="550">
        <v>957</v>
      </c>
      <c r="AL502" s="550">
        <v>1013</v>
      </c>
      <c r="AM502" s="550">
        <v>1000</v>
      </c>
      <c r="AN502" s="550">
        <v>923</v>
      </c>
      <c r="AO502" s="550">
        <v>977</v>
      </c>
      <c r="AP502" s="550">
        <v>975</v>
      </c>
      <c r="AQ502" s="550">
        <v>1005</v>
      </c>
      <c r="AR502" s="550">
        <v>1049</v>
      </c>
      <c r="AS502" s="550">
        <v>1077</v>
      </c>
      <c r="AT502" s="550">
        <v>1035</v>
      </c>
      <c r="AU502" s="550">
        <v>1116</v>
      </c>
      <c r="AV502" s="550">
        <v>1060</v>
      </c>
      <c r="AW502" s="550">
        <v>1050</v>
      </c>
      <c r="AX502" s="550">
        <v>991</v>
      </c>
      <c r="AY502" s="550">
        <v>1021</v>
      </c>
      <c r="AZ502" s="550">
        <v>1015</v>
      </c>
      <c r="BA502" s="550">
        <v>996</v>
      </c>
      <c r="BB502" s="550">
        <v>1033</v>
      </c>
      <c r="BC502" s="550">
        <v>1042</v>
      </c>
      <c r="BD502" s="550">
        <v>1003</v>
      </c>
      <c r="BE502" s="550">
        <v>929</v>
      </c>
      <c r="BF502" s="550">
        <v>918</v>
      </c>
      <c r="BG502" s="550">
        <v>1008</v>
      </c>
      <c r="BH502" s="550">
        <v>1037</v>
      </c>
      <c r="BI502" s="550">
        <v>1074</v>
      </c>
      <c r="BJ502" s="550">
        <v>1130</v>
      </c>
      <c r="BK502" s="550">
        <v>1203</v>
      </c>
      <c r="BL502" s="550">
        <v>1281</v>
      </c>
      <c r="BM502" s="550">
        <v>1243</v>
      </c>
      <c r="BN502" s="550">
        <v>1231</v>
      </c>
      <c r="BO502" s="550">
        <v>1260</v>
      </c>
      <c r="BP502" s="550">
        <v>1356</v>
      </c>
      <c r="BQ502" s="550">
        <v>1372</v>
      </c>
      <c r="BR502" s="550">
        <v>1413</v>
      </c>
      <c r="BS502" s="550">
        <v>1455</v>
      </c>
      <c r="BT502" s="550">
        <v>1317</v>
      </c>
      <c r="BU502" s="550">
        <v>1416</v>
      </c>
      <c r="BV502" s="550">
        <v>1373</v>
      </c>
      <c r="BW502" s="550">
        <v>1349</v>
      </c>
      <c r="BX502" s="550">
        <v>1279</v>
      </c>
      <c r="BY502" s="550">
        <v>1311</v>
      </c>
      <c r="BZ502" s="550">
        <v>1261</v>
      </c>
      <c r="CA502" s="550">
        <v>1172</v>
      </c>
      <c r="CB502" s="550">
        <v>1270</v>
      </c>
      <c r="CC502" s="550">
        <v>1212</v>
      </c>
      <c r="CD502" s="550">
        <v>1197</v>
      </c>
      <c r="CE502" s="550">
        <v>1164</v>
      </c>
      <c r="CF502" s="550">
        <v>1112</v>
      </c>
      <c r="CG502" s="550">
        <v>1141</v>
      </c>
      <c r="CH502" s="550">
        <v>1175</v>
      </c>
      <c r="CI502" s="550">
        <v>1186</v>
      </c>
      <c r="CJ502" s="550">
        <v>1175</v>
      </c>
      <c r="CK502" s="550">
        <v>999</v>
      </c>
      <c r="CL502" s="550">
        <v>920</v>
      </c>
      <c r="CM502" s="550">
        <v>863</v>
      </c>
      <c r="CN502" s="550">
        <v>789</v>
      </c>
      <c r="CO502" s="550">
        <v>736</v>
      </c>
      <c r="CP502" s="550">
        <v>619</v>
      </c>
      <c r="CQ502" s="550">
        <v>561</v>
      </c>
      <c r="CR502" s="550">
        <v>506</v>
      </c>
      <c r="CS502" s="550">
        <v>445</v>
      </c>
      <c r="CT502" s="550">
        <v>454</v>
      </c>
      <c r="CU502" s="550">
        <v>361</v>
      </c>
      <c r="CV502" s="550">
        <v>330</v>
      </c>
      <c r="CW502" s="550">
        <v>265</v>
      </c>
      <c r="CX502" s="550">
        <v>198</v>
      </c>
      <c r="CY502" s="550">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209</v>
      </c>
      <c r="B503" s="1" t="s">
        <v>663</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50">
        <v>276</v>
      </c>
      <c r="N503" s="550">
        <v>237</v>
      </c>
      <c r="O503" s="550">
        <v>271</v>
      </c>
      <c r="P503" s="550">
        <v>294</v>
      </c>
      <c r="Q503" s="550">
        <v>285</v>
      </c>
      <c r="R503" s="550">
        <v>312</v>
      </c>
      <c r="S503" s="550">
        <v>341</v>
      </c>
      <c r="T503" s="550">
        <v>317</v>
      </c>
      <c r="U503" s="550">
        <v>309</v>
      </c>
      <c r="V503" s="550">
        <v>360</v>
      </c>
      <c r="W503" s="550">
        <v>360</v>
      </c>
      <c r="X503" s="550">
        <v>370</v>
      </c>
      <c r="Y503" s="550">
        <v>368</v>
      </c>
      <c r="Z503" s="550">
        <v>326</v>
      </c>
      <c r="AA503" s="550">
        <v>334</v>
      </c>
      <c r="AB503" s="550">
        <v>346</v>
      </c>
      <c r="AC503" s="550">
        <v>355</v>
      </c>
      <c r="AD503" s="550">
        <v>378</v>
      </c>
      <c r="AE503" s="550">
        <v>435</v>
      </c>
      <c r="AF503" s="550">
        <v>855</v>
      </c>
      <c r="AG503" s="550">
        <v>809</v>
      </c>
      <c r="AH503" s="550">
        <v>767</v>
      </c>
      <c r="AI503" s="550">
        <v>615</v>
      </c>
      <c r="AJ503" s="550">
        <v>548</v>
      </c>
      <c r="AK503" s="550">
        <v>432</v>
      </c>
      <c r="AL503" s="550">
        <v>350</v>
      </c>
      <c r="AM503" s="550">
        <v>336</v>
      </c>
      <c r="AN503" s="550">
        <v>361</v>
      </c>
      <c r="AO503" s="550">
        <v>363</v>
      </c>
      <c r="AP503" s="550">
        <v>307</v>
      </c>
      <c r="AQ503" s="550">
        <v>338</v>
      </c>
      <c r="AR503" s="550">
        <v>347</v>
      </c>
      <c r="AS503" s="550">
        <v>354</v>
      </c>
      <c r="AT503" s="550">
        <v>356</v>
      </c>
      <c r="AU503" s="550">
        <v>352</v>
      </c>
      <c r="AV503" s="550">
        <v>311</v>
      </c>
      <c r="AW503" s="550">
        <v>316</v>
      </c>
      <c r="AX503" s="550">
        <v>334</v>
      </c>
      <c r="AY503" s="550">
        <v>320</v>
      </c>
      <c r="AZ503" s="550">
        <v>335</v>
      </c>
      <c r="BA503" s="550">
        <v>353</v>
      </c>
      <c r="BB503" s="550">
        <v>347</v>
      </c>
      <c r="BC503" s="550">
        <v>316</v>
      </c>
      <c r="BD503" s="550">
        <v>308</v>
      </c>
      <c r="BE503" s="550">
        <v>280</v>
      </c>
      <c r="BF503" s="550">
        <v>309</v>
      </c>
      <c r="BG503" s="550">
        <v>342</v>
      </c>
      <c r="BH503" s="550">
        <v>348</v>
      </c>
      <c r="BI503" s="550">
        <v>356</v>
      </c>
      <c r="BJ503" s="550">
        <v>339</v>
      </c>
      <c r="BK503" s="550">
        <v>402</v>
      </c>
      <c r="BL503" s="550">
        <v>431</v>
      </c>
      <c r="BM503" s="550">
        <v>435</v>
      </c>
      <c r="BN503" s="550">
        <v>504</v>
      </c>
      <c r="BO503" s="550">
        <v>475</v>
      </c>
      <c r="BP503" s="550">
        <v>496</v>
      </c>
      <c r="BQ503" s="550">
        <v>511</v>
      </c>
      <c r="BR503" s="550">
        <v>501</v>
      </c>
      <c r="BS503" s="550">
        <v>541</v>
      </c>
      <c r="BT503" s="550">
        <v>553</v>
      </c>
      <c r="BU503" s="550">
        <v>538</v>
      </c>
      <c r="BV503" s="550">
        <v>517</v>
      </c>
      <c r="BW503" s="550">
        <v>495</v>
      </c>
      <c r="BX503" s="550">
        <v>529</v>
      </c>
      <c r="BY503" s="550">
        <v>518</v>
      </c>
      <c r="BZ503" s="550">
        <v>495</v>
      </c>
      <c r="CA503" s="550">
        <v>519</v>
      </c>
      <c r="CB503" s="550">
        <v>491</v>
      </c>
      <c r="CC503" s="550">
        <v>490</v>
      </c>
      <c r="CD503" s="550">
        <v>448</v>
      </c>
      <c r="CE503" s="550">
        <v>472</v>
      </c>
      <c r="CF503" s="550">
        <v>453</v>
      </c>
      <c r="CG503" s="550">
        <v>454</v>
      </c>
      <c r="CH503" s="550">
        <v>509</v>
      </c>
      <c r="CI503" s="550">
        <v>531</v>
      </c>
      <c r="CJ503" s="550">
        <v>500</v>
      </c>
      <c r="CK503" s="550">
        <v>376</v>
      </c>
      <c r="CL503" s="550">
        <v>376</v>
      </c>
      <c r="CM503" s="550">
        <v>354</v>
      </c>
      <c r="CN503" s="550">
        <v>347</v>
      </c>
      <c r="CO503" s="550">
        <v>289</v>
      </c>
      <c r="CP503" s="550">
        <v>213</v>
      </c>
      <c r="CQ503" s="550">
        <v>241</v>
      </c>
      <c r="CR503" s="550">
        <v>198</v>
      </c>
      <c r="CS503" s="550">
        <v>175</v>
      </c>
      <c r="CT503" s="550">
        <v>168</v>
      </c>
      <c r="CU503" s="550">
        <v>134</v>
      </c>
      <c r="CV503" s="550">
        <v>115</v>
      </c>
      <c r="CW503" s="550">
        <v>97</v>
      </c>
      <c r="CX503" s="550">
        <v>84</v>
      </c>
      <c r="CY503" s="550">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209</v>
      </c>
      <c r="B504" s="1" t="s">
        <v>664</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50">
        <v>483</v>
      </c>
      <c r="N504" s="550">
        <v>469</v>
      </c>
      <c r="O504" s="550">
        <v>522</v>
      </c>
      <c r="P504" s="550">
        <v>523</v>
      </c>
      <c r="Q504" s="550">
        <v>549</v>
      </c>
      <c r="R504" s="550">
        <v>540</v>
      </c>
      <c r="S504" s="550">
        <v>563</v>
      </c>
      <c r="T504" s="550">
        <v>620</v>
      </c>
      <c r="U504" s="550">
        <v>583</v>
      </c>
      <c r="V504" s="550">
        <v>622</v>
      </c>
      <c r="W504" s="550">
        <v>611</v>
      </c>
      <c r="X504" s="550">
        <v>686</v>
      </c>
      <c r="Y504" s="550">
        <v>621</v>
      </c>
      <c r="Z504" s="550">
        <v>634</v>
      </c>
      <c r="AA504" s="550">
        <v>601</v>
      </c>
      <c r="AB504" s="550">
        <v>642</v>
      </c>
      <c r="AC504" s="550">
        <v>627</v>
      </c>
      <c r="AD504" s="550">
        <v>641</v>
      </c>
      <c r="AE504" s="550">
        <v>613</v>
      </c>
      <c r="AF504" s="550">
        <v>404</v>
      </c>
      <c r="AG504" s="550">
        <v>422</v>
      </c>
      <c r="AH504" s="550">
        <v>441</v>
      </c>
      <c r="AI504" s="550">
        <v>543</v>
      </c>
      <c r="AJ504" s="550">
        <v>525</v>
      </c>
      <c r="AK504" s="550">
        <v>583</v>
      </c>
      <c r="AL504" s="550">
        <v>572</v>
      </c>
      <c r="AM504" s="550">
        <v>471</v>
      </c>
      <c r="AN504" s="550">
        <v>561</v>
      </c>
      <c r="AO504" s="550">
        <v>538</v>
      </c>
      <c r="AP504" s="550">
        <v>526</v>
      </c>
      <c r="AQ504" s="550">
        <v>576</v>
      </c>
      <c r="AR504" s="550">
        <v>623</v>
      </c>
      <c r="AS504" s="550">
        <v>576</v>
      </c>
      <c r="AT504" s="550">
        <v>615</v>
      </c>
      <c r="AU504" s="550">
        <v>597</v>
      </c>
      <c r="AV504" s="550">
        <v>594</v>
      </c>
      <c r="AW504" s="550">
        <v>552</v>
      </c>
      <c r="AX504" s="550">
        <v>589</v>
      </c>
      <c r="AY504" s="550">
        <v>559</v>
      </c>
      <c r="AZ504" s="550">
        <v>543</v>
      </c>
      <c r="BA504" s="550">
        <v>551</v>
      </c>
      <c r="BB504" s="550">
        <v>596</v>
      </c>
      <c r="BC504" s="550">
        <v>626</v>
      </c>
      <c r="BD504" s="550">
        <v>555</v>
      </c>
      <c r="BE504" s="550">
        <v>470</v>
      </c>
      <c r="BF504" s="550">
        <v>555</v>
      </c>
      <c r="BG504" s="550">
        <v>559</v>
      </c>
      <c r="BH504" s="550">
        <v>569</v>
      </c>
      <c r="BI504" s="550">
        <v>603</v>
      </c>
      <c r="BJ504" s="550">
        <v>679</v>
      </c>
      <c r="BK504" s="550">
        <v>788</v>
      </c>
      <c r="BL504" s="550">
        <v>775</v>
      </c>
      <c r="BM504" s="550">
        <v>750</v>
      </c>
      <c r="BN504" s="550">
        <v>805</v>
      </c>
      <c r="BO504" s="550">
        <v>775</v>
      </c>
      <c r="BP504" s="550">
        <v>819</v>
      </c>
      <c r="BQ504" s="550">
        <v>862</v>
      </c>
      <c r="BR504" s="550">
        <v>890</v>
      </c>
      <c r="BS504" s="550">
        <v>870</v>
      </c>
      <c r="BT504" s="550">
        <v>881</v>
      </c>
      <c r="BU504" s="550">
        <v>879</v>
      </c>
      <c r="BV504" s="550">
        <v>894</v>
      </c>
      <c r="BW504" s="550">
        <v>876</v>
      </c>
      <c r="BX504" s="550">
        <v>830</v>
      </c>
      <c r="BY504" s="550">
        <v>792</v>
      </c>
      <c r="BZ504" s="550">
        <v>785</v>
      </c>
      <c r="CA504" s="550">
        <v>740</v>
      </c>
      <c r="CB504" s="550">
        <v>717</v>
      </c>
      <c r="CC504" s="550">
        <v>789</v>
      </c>
      <c r="CD504" s="550">
        <v>744</v>
      </c>
      <c r="CE504" s="550">
        <v>734</v>
      </c>
      <c r="CF504" s="550">
        <v>780</v>
      </c>
      <c r="CG504" s="550">
        <v>723</v>
      </c>
      <c r="CH504" s="550">
        <v>809</v>
      </c>
      <c r="CI504" s="550">
        <v>853</v>
      </c>
      <c r="CJ504" s="550">
        <v>851</v>
      </c>
      <c r="CK504" s="550">
        <v>673</v>
      </c>
      <c r="CL504" s="550">
        <v>628</v>
      </c>
      <c r="CM504" s="550">
        <v>602</v>
      </c>
      <c r="CN504" s="550">
        <v>548</v>
      </c>
      <c r="CO504" s="550">
        <v>479</v>
      </c>
      <c r="CP504" s="550">
        <v>400</v>
      </c>
      <c r="CQ504" s="550">
        <v>367</v>
      </c>
      <c r="CR504" s="550">
        <v>373</v>
      </c>
      <c r="CS504" s="550">
        <v>296</v>
      </c>
      <c r="CT504" s="550">
        <v>289</v>
      </c>
      <c r="CU504" s="550">
        <v>267</v>
      </c>
      <c r="CV504" s="550">
        <v>251</v>
      </c>
      <c r="CW504" s="550">
        <v>195</v>
      </c>
      <c r="CX504" s="550">
        <v>194</v>
      </c>
      <c r="CY504" s="550">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209</v>
      </c>
      <c r="B505" s="1" t="s">
        <v>665</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50">
        <v>457</v>
      </c>
      <c r="N505" s="550">
        <v>493</v>
      </c>
      <c r="O505" s="550">
        <v>520</v>
      </c>
      <c r="P505" s="550">
        <v>480</v>
      </c>
      <c r="Q505" s="550">
        <v>486</v>
      </c>
      <c r="R505" s="550">
        <v>551</v>
      </c>
      <c r="S505" s="550">
        <v>523</v>
      </c>
      <c r="T505" s="550">
        <v>558</v>
      </c>
      <c r="U505" s="550">
        <v>524</v>
      </c>
      <c r="V505" s="550">
        <v>561</v>
      </c>
      <c r="W505" s="550">
        <v>567</v>
      </c>
      <c r="X505" s="550">
        <v>592</v>
      </c>
      <c r="Y505" s="550">
        <v>615</v>
      </c>
      <c r="Z505" s="550">
        <v>593</v>
      </c>
      <c r="AA505" s="550">
        <v>609</v>
      </c>
      <c r="AB505" s="550">
        <v>587</v>
      </c>
      <c r="AC505" s="550">
        <v>587</v>
      </c>
      <c r="AD505" s="550">
        <v>627</v>
      </c>
      <c r="AE505" s="550">
        <v>551</v>
      </c>
      <c r="AF505" s="550">
        <v>439</v>
      </c>
      <c r="AG505" s="550">
        <v>422</v>
      </c>
      <c r="AH505" s="550">
        <v>434</v>
      </c>
      <c r="AI505" s="550">
        <v>423</v>
      </c>
      <c r="AJ505" s="550">
        <v>470</v>
      </c>
      <c r="AK505" s="550">
        <v>490</v>
      </c>
      <c r="AL505" s="550">
        <v>482</v>
      </c>
      <c r="AM505" s="550">
        <v>514</v>
      </c>
      <c r="AN505" s="550">
        <v>470</v>
      </c>
      <c r="AO505" s="550">
        <v>500</v>
      </c>
      <c r="AP505" s="550">
        <v>483</v>
      </c>
      <c r="AQ505" s="550">
        <v>507</v>
      </c>
      <c r="AR505" s="550">
        <v>516</v>
      </c>
      <c r="AS505" s="550">
        <v>511</v>
      </c>
      <c r="AT505" s="550">
        <v>471</v>
      </c>
      <c r="AU505" s="550">
        <v>530</v>
      </c>
      <c r="AV505" s="550">
        <v>513</v>
      </c>
      <c r="AW505" s="550">
        <v>510</v>
      </c>
      <c r="AX505" s="550">
        <v>477</v>
      </c>
      <c r="AY505" s="550">
        <v>509</v>
      </c>
      <c r="AZ505" s="550">
        <v>424</v>
      </c>
      <c r="BA505" s="550">
        <v>488</v>
      </c>
      <c r="BB505" s="550">
        <v>496</v>
      </c>
      <c r="BC505" s="550">
        <v>500</v>
      </c>
      <c r="BD505" s="550">
        <v>478</v>
      </c>
      <c r="BE505" s="550">
        <v>422</v>
      </c>
      <c r="BF505" s="550">
        <v>464</v>
      </c>
      <c r="BG505" s="550">
        <v>515</v>
      </c>
      <c r="BH505" s="550">
        <v>516</v>
      </c>
      <c r="BI505" s="550">
        <v>525</v>
      </c>
      <c r="BJ505" s="550">
        <v>532</v>
      </c>
      <c r="BK505" s="550">
        <v>646</v>
      </c>
      <c r="BL505" s="550">
        <v>654</v>
      </c>
      <c r="BM505" s="550">
        <v>645</v>
      </c>
      <c r="BN505" s="550">
        <v>662</v>
      </c>
      <c r="BO505" s="550">
        <v>643</v>
      </c>
      <c r="BP505" s="550">
        <v>715</v>
      </c>
      <c r="BQ505" s="550">
        <v>681</v>
      </c>
      <c r="BR505" s="550">
        <v>758</v>
      </c>
      <c r="BS505" s="550">
        <v>746</v>
      </c>
      <c r="BT505" s="550">
        <v>697</v>
      </c>
      <c r="BU505" s="550">
        <v>737</v>
      </c>
      <c r="BV505" s="550">
        <v>654</v>
      </c>
      <c r="BW505" s="550">
        <v>713</v>
      </c>
      <c r="BX505" s="550">
        <v>665</v>
      </c>
      <c r="BY505" s="550">
        <v>635</v>
      </c>
      <c r="BZ505" s="550">
        <v>637</v>
      </c>
      <c r="CA505" s="550">
        <v>603</v>
      </c>
      <c r="CB505" s="550">
        <v>603</v>
      </c>
      <c r="CC505" s="550">
        <v>596</v>
      </c>
      <c r="CD505" s="550">
        <v>599</v>
      </c>
      <c r="CE505" s="550">
        <v>543</v>
      </c>
      <c r="CF505" s="550">
        <v>547</v>
      </c>
      <c r="CG505" s="550">
        <v>614</v>
      </c>
      <c r="CH505" s="550">
        <v>653</v>
      </c>
      <c r="CI505" s="550">
        <v>674</v>
      </c>
      <c r="CJ505" s="550">
        <v>666</v>
      </c>
      <c r="CK505" s="550">
        <v>469</v>
      </c>
      <c r="CL505" s="550">
        <v>446</v>
      </c>
      <c r="CM505" s="550">
        <v>473</v>
      </c>
      <c r="CN505" s="550">
        <v>443</v>
      </c>
      <c r="CO505" s="550">
        <v>359</v>
      </c>
      <c r="CP505" s="550">
        <v>328</v>
      </c>
      <c r="CQ505" s="550">
        <v>290</v>
      </c>
      <c r="CR505" s="550">
        <v>259</v>
      </c>
      <c r="CS505" s="550">
        <v>236</v>
      </c>
      <c r="CT505" s="550">
        <v>224</v>
      </c>
      <c r="CU505" s="550">
        <v>181</v>
      </c>
      <c r="CV505" s="550">
        <v>162</v>
      </c>
      <c r="CW505" s="550">
        <v>127</v>
      </c>
      <c r="CX505" s="550">
        <v>108</v>
      </c>
      <c r="CY505" s="550">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209</v>
      </c>
      <c r="B506" s="1" t="s">
        <v>666</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50">
        <v>701</v>
      </c>
      <c r="N506" s="550">
        <v>780</v>
      </c>
      <c r="O506" s="550">
        <v>775</v>
      </c>
      <c r="P506" s="550">
        <v>770</v>
      </c>
      <c r="Q506" s="550">
        <v>817</v>
      </c>
      <c r="R506" s="550">
        <v>825</v>
      </c>
      <c r="S506" s="550">
        <v>849</v>
      </c>
      <c r="T506" s="550">
        <v>888</v>
      </c>
      <c r="U506" s="550">
        <v>904</v>
      </c>
      <c r="V506" s="550">
        <v>899</v>
      </c>
      <c r="W506" s="550">
        <v>971</v>
      </c>
      <c r="X506" s="550">
        <v>933</v>
      </c>
      <c r="Y506" s="550">
        <v>1008</v>
      </c>
      <c r="Z506" s="550">
        <v>933</v>
      </c>
      <c r="AA506" s="550">
        <v>1033</v>
      </c>
      <c r="AB506" s="550">
        <v>950</v>
      </c>
      <c r="AC506" s="550">
        <v>903</v>
      </c>
      <c r="AD506" s="550">
        <v>944</v>
      </c>
      <c r="AE506" s="550">
        <v>881</v>
      </c>
      <c r="AF506" s="550">
        <v>661</v>
      </c>
      <c r="AG506" s="550">
        <v>648</v>
      </c>
      <c r="AH506" s="550">
        <v>673</v>
      </c>
      <c r="AI506" s="550">
        <v>728</v>
      </c>
      <c r="AJ506" s="550">
        <v>844</v>
      </c>
      <c r="AK506" s="550">
        <v>853</v>
      </c>
      <c r="AL506" s="550">
        <v>829</v>
      </c>
      <c r="AM506" s="550">
        <v>799</v>
      </c>
      <c r="AN506" s="550">
        <v>822</v>
      </c>
      <c r="AO506" s="550">
        <v>837</v>
      </c>
      <c r="AP506" s="550">
        <v>879</v>
      </c>
      <c r="AQ506" s="550">
        <v>1004</v>
      </c>
      <c r="AR506" s="550">
        <v>928</v>
      </c>
      <c r="AS506" s="550">
        <v>919</v>
      </c>
      <c r="AT506" s="550">
        <v>961</v>
      </c>
      <c r="AU506" s="550">
        <v>970</v>
      </c>
      <c r="AV506" s="550">
        <v>947</v>
      </c>
      <c r="AW506" s="550">
        <v>978</v>
      </c>
      <c r="AX506" s="550">
        <v>903</v>
      </c>
      <c r="AY506" s="550">
        <v>860</v>
      </c>
      <c r="AZ506" s="550">
        <v>889</v>
      </c>
      <c r="BA506" s="550">
        <v>925</v>
      </c>
      <c r="BB506" s="550">
        <v>916</v>
      </c>
      <c r="BC506" s="550">
        <v>930</v>
      </c>
      <c r="BD506" s="550">
        <v>875</v>
      </c>
      <c r="BE506" s="550">
        <v>855</v>
      </c>
      <c r="BF506" s="550">
        <v>802</v>
      </c>
      <c r="BG506" s="550">
        <v>825</v>
      </c>
      <c r="BH506" s="550">
        <v>925</v>
      </c>
      <c r="BI506" s="550">
        <v>970</v>
      </c>
      <c r="BJ506" s="550">
        <v>989</v>
      </c>
      <c r="BK506" s="550">
        <v>1124</v>
      </c>
      <c r="BL506" s="550">
        <v>1159</v>
      </c>
      <c r="BM506" s="550">
        <v>1172</v>
      </c>
      <c r="BN506" s="550">
        <v>1222</v>
      </c>
      <c r="BO506" s="550">
        <v>1193</v>
      </c>
      <c r="BP506" s="550">
        <v>1115</v>
      </c>
      <c r="BQ506" s="550">
        <v>1116</v>
      </c>
      <c r="BR506" s="550">
        <v>1156</v>
      </c>
      <c r="BS506" s="550">
        <v>1196</v>
      </c>
      <c r="BT506" s="550">
        <v>1096</v>
      </c>
      <c r="BU506" s="550">
        <v>1149</v>
      </c>
      <c r="BV506" s="550">
        <v>1060</v>
      </c>
      <c r="BW506" s="550">
        <v>1024</v>
      </c>
      <c r="BX506" s="550">
        <v>1036</v>
      </c>
      <c r="BY506" s="550">
        <v>912</v>
      </c>
      <c r="BZ506" s="550">
        <v>883</v>
      </c>
      <c r="CA506" s="550">
        <v>867</v>
      </c>
      <c r="CB506" s="550">
        <v>793</v>
      </c>
      <c r="CC506" s="550">
        <v>812</v>
      </c>
      <c r="CD506" s="550">
        <v>850</v>
      </c>
      <c r="CE506" s="550">
        <v>761</v>
      </c>
      <c r="CF506" s="550">
        <v>877</v>
      </c>
      <c r="CG506" s="550">
        <v>832</v>
      </c>
      <c r="CH506" s="550">
        <v>891</v>
      </c>
      <c r="CI506" s="550">
        <v>922</v>
      </c>
      <c r="CJ506" s="550">
        <v>1006</v>
      </c>
      <c r="CK506" s="550">
        <v>637</v>
      </c>
      <c r="CL506" s="550">
        <v>646</v>
      </c>
      <c r="CM506" s="550">
        <v>660</v>
      </c>
      <c r="CN506" s="550">
        <v>553</v>
      </c>
      <c r="CO506" s="550">
        <v>481</v>
      </c>
      <c r="CP506" s="550">
        <v>430</v>
      </c>
      <c r="CQ506" s="550">
        <v>426</v>
      </c>
      <c r="CR506" s="550">
        <v>354</v>
      </c>
      <c r="CS506" s="550">
        <v>350</v>
      </c>
      <c r="CT506" s="550">
        <v>287</v>
      </c>
      <c r="CU506" s="550">
        <v>257</v>
      </c>
      <c r="CV506" s="550">
        <v>212</v>
      </c>
      <c r="CW506" s="550">
        <v>170</v>
      </c>
      <c r="CX506" s="550">
        <v>138</v>
      </c>
      <c r="CY506" s="550">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209</v>
      </c>
      <c r="B507" s="1" t="s">
        <v>667</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50">
        <v>554</v>
      </c>
      <c r="N507" s="550">
        <v>518</v>
      </c>
      <c r="O507" s="550">
        <v>550</v>
      </c>
      <c r="P507" s="550">
        <v>548</v>
      </c>
      <c r="Q507" s="550">
        <v>593</v>
      </c>
      <c r="R507" s="550">
        <v>563</v>
      </c>
      <c r="S507" s="550">
        <v>656</v>
      </c>
      <c r="T507" s="550">
        <v>596</v>
      </c>
      <c r="U507" s="550">
        <v>662</v>
      </c>
      <c r="V507" s="550">
        <v>660</v>
      </c>
      <c r="W507" s="550">
        <v>664</v>
      </c>
      <c r="X507" s="550">
        <v>666</v>
      </c>
      <c r="Y507" s="550">
        <v>714</v>
      </c>
      <c r="Z507" s="550">
        <v>665</v>
      </c>
      <c r="AA507" s="550">
        <v>674</v>
      </c>
      <c r="AB507" s="550">
        <v>671</v>
      </c>
      <c r="AC507" s="550">
        <v>653</v>
      </c>
      <c r="AD507" s="550">
        <v>618</v>
      </c>
      <c r="AE507" s="550">
        <v>660</v>
      </c>
      <c r="AF507" s="550">
        <v>869</v>
      </c>
      <c r="AG507" s="550">
        <v>893</v>
      </c>
      <c r="AH507" s="550">
        <v>930</v>
      </c>
      <c r="AI507" s="550">
        <v>871</v>
      </c>
      <c r="AJ507" s="550">
        <v>777</v>
      </c>
      <c r="AK507" s="550">
        <v>709</v>
      </c>
      <c r="AL507" s="550">
        <v>648</v>
      </c>
      <c r="AM507" s="550">
        <v>637</v>
      </c>
      <c r="AN507" s="550">
        <v>635</v>
      </c>
      <c r="AO507" s="550">
        <v>676</v>
      </c>
      <c r="AP507" s="550">
        <v>659</v>
      </c>
      <c r="AQ507" s="550">
        <v>661</v>
      </c>
      <c r="AR507" s="550">
        <v>643</v>
      </c>
      <c r="AS507" s="550">
        <v>663</v>
      </c>
      <c r="AT507" s="550">
        <v>677</v>
      </c>
      <c r="AU507" s="550">
        <v>680</v>
      </c>
      <c r="AV507" s="550">
        <v>704</v>
      </c>
      <c r="AW507" s="550">
        <v>572</v>
      </c>
      <c r="AX507" s="550">
        <v>595</v>
      </c>
      <c r="AY507" s="550">
        <v>582</v>
      </c>
      <c r="AZ507" s="550">
        <v>586</v>
      </c>
      <c r="BA507" s="550">
        <v>589</v>
      </c>
      <c r="BB507" s="550">
        <v>603</v>
      </c>
      <c r="BC507" s="550">
        <v>613</v>
      </c>
      <c r="BD507" s="550">
        <v>569</v>
      </c>
      <c r="BE507" s="550">
        <v>557</v>
      </c>
      <c r="BF507" s="550">
        <v>575</v>
      </c>
      <c r="BG507" s="550">
        <v>581</v>
      </c>
      <c r="BH507" s="550">
        <v>606</v>
      </c>
      <c r="BI507" s="550">
        <v>678</v>
      </c>
      <c r="BJ507" s="550">
        <v>722</v>
      </c>
      <c r="BK507" s="550">
        <v>767</v>
      </c>
      <c r="BL507" s="550">
        <v>811</v>
      </c>
      <c r="BM507" s="550">
        <v>804</v>
      </c>
      <c r="BN507" s="550">
        <v>775</v>
      </c>
      <c r="BO507" s="550">
        <v>801</v>
      </c>
      <c r="BP507" s="550">
        <v>799</v>
      </c>
      <c r="BQ507" s="550">
        <v>858</v>
      </c>
      <c r="BR507" s="550">
        <v>866</v>
      </c>
      <c r="BS507" s="550">
        <v>874</v>
      </c>
      <c r="BT507" s="550">
        <v>888</v>
      </c>
      <c r="BU507" s="550">
        <v>867</v>
      </c>
      <c r="BV507" s="550">
        <v>849</v>
      </c>
      <c r="BW507" s="550">
        <v>771</v>
      </c>
      <c r="BX507" s="550">
        <v>768</v>
      </c>
      <c r="BY507" s="550">
        <v>811</v>
      </c>
      <c r="BZ507" s="550">
        <v>756</v>
      </c>
      <c r="CA507" s="550">
        <v>711</v>
      </c>
      <c r="CB507" s="550">
        <v>727</v>
      </c>
      <c r="CC507" s="550">
        <v>675</v>
      </c>
      <c r="CD507" s="550">
        <v>709</v>
      </c>
      <c r="CE507" s="550">
        <v>650</v>
      </c>
      <c r="CF507" s="550">
        <v>649</v>
      </c>
      <c r="CG507" s="550">
        <v>649</v>
      </c>
      <c r="CH507" s="550">
        <v>729</v>
      </c>
      <c r="CI507" s="550">
        <v>764</v>
      </c>
      <c r="CJ507" s="550">
        <v>736</v>
      </c>
      <c r="CK507" s="550">
        <v>589</v>
      </c>
      <c r="CL507" s="550">
        <v>522</v>
      </c>
      <c r="CM507" s="550">
        <v>521</v>
      </c>
      <c r="CN507" s="550">
        <v>483</v>
      </c>
      <c r="CO507" s="550">
        <v>379</v>
      </c>
      <c r="CP507" s="550">
        <v>308</v>
      </c>
      <c r="CQ507" s="550">
        <v>331</v>
      </c>
      <c r="CR507" s="550">
        <v>327</v>
      </c>
      <c r="CS507" s="550">
        <v>274</v>
      </c>
      <c r="CT507" s="550">
        <v>248</v>
      </c>
      <c r="CU507" s="550">
        <v>221</v>
      </c>
      <c r="CV507" s="550">
        <v>181</v>
      </c>
      <c r="CW507" s="550">
        <v>162</v>
      </c>
      <c r="CX507" s="550">
        <v>135</v>
      </c>
      <c r="CY507" s="550">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209</v>
      </c>
      <c r="B508" s="1" t="s">
        <v>668</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50">
        <v>273</v>
      </c>
      <c r="N508" s="550">
        <v>322</v>
      </c>
      <c r="O508" s="550">
        <v>305</v>
      </c>
      <c r="P508" s="550">
        <v>320</v>
      </c>
      <c r="Q508" s="550">
        <v>334</v>
      </c>
      <c r="R508" s="550">
        <v>383</v>
      </c>
      <c r="S508" s="550">
        <v>383</v>
      </c>
      <c r="T508" s="550">
        <v>361</v>
      </c>
      <c r="U508" s="550">
        <v>383</v>
      </c>
      <c r="V508" s="550">
        <v>411</v>
      </c>
      <c r="W508" s="550">
        <v>394</v>
      </c>
      <c r="X508" s="550">
        <v>440</v>
      </c>
      <c r="Y508" s="550">
        <v>405</v>
      </c>
      <c r="Z508" s="550">
        <v>438</v>
      </c>
      <c r="AA508" s="550">
        <v>385</v>
      </c>
      <c r="AB508" s="550">
        <v>392</v>
      </c>
      <c r="AC508" s="550">
        <v>391</v>
      </c>
      <c r="AD508" s="550">
        <v>389</v>
      </c>
      <c r="AE508" s="550">
        <v>348</v>
      </c>
      <c r="AF508" s="550">
        <v>299</v>
      </c>
      <c r="AG508" s="550">
        <v>302</v>
      </c>
      <c r="AH508" s="550">
        <v>273</v>
      </c>
      <c r="AI508" s="550">
        <v>297</v>
      </c>
      <c r="AJ508" s="550">
        <v>367</v>
      </c>
      <c r="AK508" s="550">
        <v>299</v>
      </c>
      <c r="AL508" s="550">
        <v>316</v>
      </c>
      <c r="AM508" s="550">
        <v>341</v>
      </c>
      <c r="AN508" s="550">
        <v>319</v>
      </c>
      <c r="AO508" s="550">
        <v>363</v>
      </c>
      <c r="AP508" s="550">
        <v>338</v>
      </c>
      <c r="AQ508" s="550">
        <v>332</v>
      </c>
      <c r="AR508" s="550">
        <v>349</v>
      </c>
      <c r="AS508" s="550">
        <v>346</v>
      </c>
      <c r="AT508" s="550">
        <v>349</v>
      </c>
      <c r="AU508" s="550">
        <v>381</v>
      </c>
      <c r="AV508" s="550">
        <v>373</v>
      </c>
      <c r="AW508" s="550">
        <v>310</v>
      </c>
      <c r="AX508" s="550">
        <v>347</v>
      </c>
      <c r="AY508" s="550">
        <v>371</v>
      </c>
      <c r="AZ508" s="550">
        <v>328</v>
      </c>
      <c r="BA508" s="550">
        <v>331</v>
      </c>
      <c r="BB508" s="550">
        <v>346</v>
      </c>
      <c r="BC508" s="550">
        <v>345</v>
      </c>
      <c r="BD508" s="550">
        <v>373</v>
      </c>
      <c r="BE508" s="550">
        <v>321</v>
      </c>
      <c r="BF508" s="550">
        <v>306</v>
      </c>
      <c r="BG508" s="550">
        <v>326</v>
      </c>
      <c r="BH508" s="550">
        <v>357</v>
      </c>
      <c r="BI508" s="550">
        <v>373</v>
      </c>
      <c r="BJ508" s="550">
        <v>436</v>
      </c>
      <c r="BK508" s="550">
        <v>448</v>
      </c>
      <c r="BL508" s="550">
        <v>493</v>
      </c>
      <c r="BM508" s="550">
        <v>440</v>
      </c>
      <c r="BN508" s="550">
        <v>466</v>
      </c>
      <c r="BO508" s="550">
        <v>481</v>
      </c>
      <c r="BP508" s="550">
        <v>523</v>
      </c>
      <c r="BQ508" s="550">
        <v>490</v>
      </c>
      <c r="BR508" s="550">
        <v>546</v>
      </c>
      <c r="BS508" s="550">
        <v>515</v>
      </c>
      <c r="BT508" s="550">
        <v>563</v>
      </c>
      <c r="BU508" s="550">
        <v>503</v>
      </c>
      <c r="BV508" s="550">
        <v>511</v>
      </c>
      <c r="BW508" s="550">
        <v>539</v>
      </c>
      <c r="BX508" s="550">
        <v>521</v>
      </c>
      <c r="BY508" s="550">
        <v>482</v>
      </c>
      <c r="BZ508" s="550">
        <v>468</v>
      </c>
      <c r="CA508" s="550">
        <v>489</v>
      </c>
      <c r="CB508" s="550">
        <v>476</v>
      </c>
      <c r="CC508" s="550">
        <v>458</v>
      </c>
      <c r="CD508" s="550">
        <v>460</v>
      </c>
      <c r="CE508" s="550">
        <v>458</v>
      </c>
      <c r="CF508" s="550">
        <v>438</v>
      </c>
      <c r="CG508" s="550">
        <v>468</v>
      </c>
      <c r="CH508" s="550">
        <v>490</v>
      </c>
      <c r="CI508" s="550">
        <v>504</v>
      </c>
      <c r="CJ508" s="550">
        <v>484</v>
      </c>
      <c r="CK508" s="550">
        <v>343</v>
      </c>
      <c r="CL508" s="550">
        <v>365</v>
      </c>
      <c r="CM508" s="550">
        <v>374</v>
      </c>
      <c r="CN508" s="550">
        <v>344</v>
      </c>
      <c r="CO508" s="550">
        <v>273</v>
      </c>
      <c r="CP508" s="550">
        <v>244</v>
      </c>
      <c r="CQ508" s="550">
        <v>233</v>
      </c>
      <c r="CR508" s="550">
        <v>249</v>
      </c>
      <c r="CS508" s="550">
        <v>194</v>
      </c>
      <c r="CT508" s="550">
        <v>174</v>
      </c>
      <c r="CU508" s="550">
        <v>143</v>
      </c>
      <c r="CV508" s="550">
        <v>115</v>
      </c>
      <c r="CW508" s="550">
        <v>82</v>
      </c>
      <c r="CX508" s="550">
        <v>77</v>
      </c>
      <c r="CY508" s="550">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209</v>
      </c>
      <c r="B509" s="1" t="s">
        <v>669</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50">
        <v>322</v>
      </c>
      <c r="N509" s="550">
        <v>325</v>
      </c>
      <c r="O509" s="550">
        <v>329</v>
      </c>
      <c r="P509" s="550">
        <v>309</v>
      </c>
      <c r="Q509" s="550">
        <v>371</v>
      </c>
      <c r="R509" s="550">
        <v>402</v>
      </c>
      <c r="S509" s="550">
        <v>381</v>
      </c>
      <c r="T509" s="550">
        <v>384</v>
      </c>
      <c r="U509" s="550">
        <v>350</v>
      </c>
      <c r="V509" s="550">
        <v>355</v>
      </c>
      <c r="W509" s="550">
        <v>378</v>
      </c>
      <c r="X509" s="550">
        <v>405</v>
      </c>
      <c r="Y509" s="550">
        <v>360</v>
      </c>
      <c r="Z509" s="550">
        <v>363</v>
      </c>
      <c r="AA509" s="550">
        <v>375</v>
      </c>
      <c r="AB509" s="550">
        <v>379</v>
      </c>
      <c r="AC509" s="550">
        <v>337</v>
      </c>
      <c r="AD509" s="550">
        <v>307</v>
      </c>
      <c r="AE509" s="550">
        <v>319</v>
      </c>
      <c r="AF509" s="550">
        <v>333</v>
      </c>
      <c r="AG509" s="550">
        <v>297</v>
      </c>
      <c r="AH509" s="550">
        <v>289</v>
      </c>
      <c r="AI509" s="550">
        <v>333</v>
      </c>
      <c r="AJ509" s="550">
        <v>329</v>
      </c>
      <c r="AK509" s="550">
        <v>314</v>
      </c>
      <c r="AL509" s="550">
        <v>356</v>
      </c>
      <c r="AM509" s="550">
        <v>342</v>
      </c>
      <c r="AN509" s="550">
        <v>329</v>
      </c>
      <c r="AO509" s="550">
        <v>375</v>
      </c>
      <c r="AP509" s="550">
        <v>373</v>
      </c>
      <c r="AQ509" s="550">
        <v>362</v>
      </c>
      <c r="AR509" s="550">
        <v>382</v>
      </c>
      <c r="AS509" s="550">
        <v>390</v>
      </c>
      <c r="AT509" s="550">
        <v>371</v>
      </c>
      <c r="AU509" s="550">
        <v>386</v>
      </c>
      <c r="AV509" s="550">
        <v>397</v>
      </c>
      <c r="AW509" s="550">
        <v>396</v>
      </c>
      <c r="AX509" s="550">
        <v>417</v>
      </c>
      <c r="AY509" s="550">
        <v>405</v>
      </c>
      <c r="AZ509" s="550">
        <v>353</v>
      </c>
      <c r="BA509" s="550">
        <v>345</v>
      </c>
      <c r="BB509" s="550">
        <v>368</v>
      </c>
      <c r="BC509" s="550">
        <v>386</v>
      </c>
      <c r="BD509" s="550">
        <v>340</v>
      </c>
      <c r="BE509" s="550">
        <v>284</v>
      </c>
      <c r="BF509" s="550">
        <v>280</v>
      </c>
      <c r="BG509" s="550">
        <v>319</v>
      </c>
      <c r="BH509" s="550">
        <v>331</v>
      </c>
      <c r="BI509" s="550">
        <v>303</v>
      </c>
      <c r="BJ509" s="550">
        <v>340</v>
      </c>
      <c r="BK509" s="550">
        <v>362</v>
      </c>
      <c r="BL509" s="550">
        <v>394</v>
      </c>
      <c r="BM509" s="550">
        <v>378</v>
      </c>
      <c r="BN509" s="550">
        <v>423</v>
      </c>
      <c r="BO509" s="550">
        <v>387</v>
      </c>
      <c r="BP509" s="550">
        <v>385</v>
      </c>
      <c r="BQ509" s="550">
        <v>419</v>
      </c>
      <c r="BR509" s="550">
        <v>416</v>
      </c>
      <c r="BS509" s="550">
        <v>421</v>
      </c>
      <c r="BT509" s="550">
        <v>381</v>
      </c>
      <c r="BU509" s="550">
        <v>405</v>
      </c>
      <c r="BV509" s="550">
        <v>379</v>
      </c>
      <c r="BW509" s="550">
        <v>383</v>
      </c>
      <c r="BX509" s="550">
        <v>405</v>
      </c>
      <c r="BY509" s="550">
        <v>393</v>
      </c>
      <c r="BZ509" s="550">
        <v>324</v>
      </c>
      <c r="CA509" s="550">
        <v>306</v>
      </c>
      <c r="CB509" s="550">
        <v>295</v>
      </c>
      <c r="CC509" s="550">
        <v>323</v>
      </c>
      <c r="CD509" s="550">
        <v>301</v>
      </c>
      <c r="CE509" s="550">
        <v>295</v>
      </c>
      <c r="CF509" s="550">
        <v>300</v>
      </c>
      <c r="CG509" s="550">
        <v>276</v>
      </c>
      <c r="CH509" s="550">
        <v>314</v>
      </c>
      <c r="CI509" s="550">
        <v>295</v>
      </c>
      <c r="CJ509" s="550">
        <v>264</v>
      </c>
      <c r="CK509" s="550">
        <v>208</v>
      </c>
      <c r="CL509" s="550">
        <v>225</v>
      </c>
      <c r="CM509" s="550">
        <v>219</v>
      </c>
      <c r="CN509" s="550">
        <v>190</v>
      </c>
      <c r="CO509" s="550">
        <v>177</v>
      </c>
      <c r="CP509" s="550">
        <v>123</v>
      </c>
      <c r="CQ509" s="550">
        <v>131</v>
      </c>
      <c r="CR509" s="550">
        <v>119</v>
      </c>
      <c r="CS509" s="550">
        <v>109</v>
      </c>
      <c r="CT509" s="550">
        <v>95</v>
      </c>
      <c r="CU509" s="550">
        <v>84</v>
      </c>
      <c r="CV509" s="550">
        <v>76</v>
      </c>
      <c r="CW509" s="550">
        <v>50</v>
      </c>
      <c r="CX509" s="550">
        <v>44</v>
      </c>
      <c r="CY509" s="550">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209</v>
      </c>
      <c r="B510" s="1" t="s">
        <v>670</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50">
        <v>377</v>
      </c>
      <c r="N510" s="550">
        <v>383</v>
      </c>
      <c r="O510" s="550">
        <v>404</v>
      </c>
      <c r="P510" s="550">
        <v>394</v>
      </c>
      <c r="Q510" s="550">
        <v>447</v>
      </c>
      <c r="R510" s="550">
        <v>478</v>
      </c>
      <c r="S510" s="550">
        <v>490</v>
      </c>
      <c r="T510" s="550">
        <v>485</v>
      </c>
      <c r="U510" s="550">
        <v>489</v>
      </c>
      <c r="V510" s="550">
        <v>501</v>
      </c>
      <c r="W510" s="550">
        <v>531</v>
      </c>
      <c r="X510" s="550">
        <v>542</v>
      </c>
      <c r="Y510" s="550">
        <v>515</v>
      </c>
      <c r="Z510" s="550">
        <v>563</v>
      </c>
      <c r="AA510" s="550">
        <v>550</v>
      </c>
      <c r="AB510" s="550">
        <v>559</v>
      </c>
      <c r="AC510" s="550">
        <v>524</v>
      </c>
      <c r="AD510" s="550">
        <v>545</v>
      </c>
      <c r="AE510" s="550">
        <v>490</v>
      </c>
      <c r="AF510" s="550">
        <v>319</v>
      </c>
      <c r="AG510" s="550">
        <v>335</v>
      </c>
      <c r="AH510" s="550">
        <v>372</v>
      </c>
      <c r="AI510" s="550">
        <v>418</v>
      </c>
      <c r="AJ510" s="550">
        <v>441</v>
      </c>
      <c r="AK510" s="550">
        <v>398</v>
      </c>
      <c r="AL510" s="550">
        <v>495</v>
      </c>
      <c r="AM510" s="550">
        <v>449</v>
      </c>
      <c r="AN510" s="550">
        <v>462</v>
      </c>
      <c r="AO510" s="550">
        <v>457</v>
      </c>
      <c r="AP510" s="550">
        <v>442</v>
      </c>
      <c r="AQ510" s="550">
        <v>500</v>
      </c>
      <c r="AR510" s="550">
        <v>537</v>
      </c>
      <c r="AS510" s="550">
        <v>477</v>
      </c>
      <c r="AT510" s="550">
        <v>516</v>
      </c>
      <c r="AU510" s="550">
        <v>453</v>
      </c>
      <c r="AV510" s="550">
        <v>485</v>
      </c>
      <c r="AW510" s="550">
        <v>490</v>
      </c>
      <c r="AX510" s="550">
        <v>484</v>
      </c>
      <c r="AY510" s="550">
        <v>482</v>
      </c>
      <c r="AZ510" s="550">
        <v>486</v>
      </c>
      <c r="BA510" s="550">
        <v>499</v>
      </c>
      <c r="BB510" s="550">
        <v>471</v>
      </c>
      <c r="BC510" s="550">
        <v>509</v>
      </c>
      <c r="BD510" s="550">
        <v>520</v>
      </c>
      <c r="BE510" s="550">
        <v>463</v>
      </c>
      <c r="BF510" s="550">
        <v>519</v>
      </c>
      <c r="BG510" s="550">
        <v>496</v>
      </c>
      <c r="BH510" s="550">
        <v>549</v>
      </c>
      <c r="BI510" s="550">
        <v>538</v>
      </c>
      <c r="BJ510" s="550">
        <v>592</v>
      </c>
      <c r="BK510" s="550">
        <v>667</v>
      </c>
      <c r="BL510" s="550">
        <v>708</v>
      </c>
      <c r="BM510" s="550">
        <v>648</v>
      </c>
      <c r="BN510" s="550">
        <v>693</v>
      </c>
      <c r="BO510" s="550">
        <v>749</v>
      </c>
      <c r="BP510" s="550">
        <v>752</v>
      </c>
      <c r="BQ510" s="550">
        <v>784</v>
      </c>
      <c r="BR510" s="550">
        <v>766</v>
      </c>
      <c r="BS510" s="550">
        <v>756</v>
      </c>
      <c r="BT510" s="550">
        <v>782</v>
      </c>
      <c r="BU510" s="550">
        <v>721</v>
      </c>
      <c r="BV510" s="550">
        <v>717</v>
      </c>
      <c r="BW510" s="550">
        <v>665</v>
      </c>
      <c r="BX510" s="550">
        <v>635</v>
      </c>
      <c r="BY510" s="550">
        <v>685</v>
      </c>
      <c r="BZ510" s="550">
        <v>628</v>
      </c>
      <c r="CA510" s="550">
        <v>575</v>
      </c>
      <c r="CB510" s="550">
        <v>602</v>
      </c>
      <c r="CC510" s="550">
        <v>554</v>
      </c>
      <c r="CD510" s="550">
        <v>603</v>
      </c>
      <c r="CE510" s="550">
        <v>611</v>
      </c>
      <c r="CF510" s="550">
        <v>578</v>
      </c>
      <c r="CG510" s="550">
        <v>625</v>
      </c>
      <c r="CH510" s="550">
        <v>605</v>
      </c>
      <c r="CI510" s="550">
        <v>606</v>
      </c>
      <c r="CJ510" s="550">
        <v>658</v>
      </c>
      <c r="CK510" s="550">
        <v>487</v>
      </c>
      <c r="CL510" s="550">
        <v>470</v>
      </c>
      <c r="CM510" s="550">
        <v>490</v>
      </c>
      <c r="CN510" s="550">
        <v>437</v>
      </c>
      <c r="CO510" s="550">
        <v>368</v>
      </c>
      <c r="CP510" s="550">
        <v>310</v>
      </c>
      <c r="CQ510" s="550">
        <v>342</v>
      </c>
      <c r="CR510" s="550">
        <v>275</v>
      </c>
      <c r="CS510" s="550">
        <v>241</v>
      </c>
      <c r="CT510" s="550">
        <v>224</v>
      </c>
      <c r="CU510" s="550">
        <v>217</v>
      </c>
      <c r="CV510" s="550">
        <v>168</v>
      </c>
      <c r="CW510" s="550">
        <v>170</v>
      </c>
      <c r="CX510" s="550">
        <v>145</v>
      </c>
      <c r="CY510" s="550">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209</v>
      </c>
      <c r="B511" s="1" t="s">
        <v>671</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50">
        <v>636</v>
      </c>
      <c r="N511" s="550">
        <v>642</v>
      </c>
      <c r="O511" s="550">
        <v>647</v>
      </c>
      <c r="P511" s="550">
        <v>707</v>
      </c>
      <c r="Q511" s="550">
        <v>762</v>
      </c>
      <c r="R511" s="550">
        <v>761</v>
      </c>
      <c r="S511" s="550">
        <v>825</v>
      </c>
      <c r="T511" s="550">
        <v>811</v>
      </c>
      <c r="U511" s="550">
        <v>818</v>
      </c>
      <c r="V511" s="550">
        <v>783</v>
      </c>
      <c r="W511" s="550">
        <v>915</v>
      </c>
      <c r="X511" s="550">
        <v>922</v>
      </c>
      <c r="Y511" s="550">
        <v>869</v>
      </c>
      <c r="Z511" s="550">
        <v>864</v>
      </c>
      <c r="AA511" s="550">
        <v>873</v>
      </c>
      <c r="AB511" s="550">
        <v>854</v>
      </c>
      <c r="AC511" s="550">
        <v>858</v>
      </c>
      <c r="AD511" s="550">
        <v>823</v>
      </c>
      <c r="AE511" s="550">
        <v>958</v>
      </c>
      <c r="AF511" s="550">
        <v>1502</v>
      </c>
      <c r="AG511" s="550">
        <v>878</v>
      </c>
      <c r="AH511" s="550">
        <v>667</v>
      </c>
      <c r="AI511" s="550">
        <v>607</v>
      </c>
      <c r="AJ511" s="550">
        <v>701</v>
      </c>
      <c r="AK511" s="550">
        <v>688</v>
      </c>
      <c r="AL511" s="550">
        <v>776</v>
      </c>
      <c r="AM511" s="550">
        <v>789</v>
      </c>
      <c r="AN511" s="550">
        <v>806</v>
      </c>
      <c r="AO511" s="550">
        <v>797</v>
      </c>
      <c r="AP511" s="550">
        <v>829</v>
      </c>
      <c r="AQ511" s="550">
        <v>904</v>
      </c>
      <c r="AR511" s="550">
        <v>851</v>
      </c>
      <c r="AS511" s="550">
        <v>855</v>
      </c>
      <c r="AT511" s="550">
        <v>855</v>
      </c>
      <c r="AU511" s="550">
        <v>825</v>
      </c>
      <c r="AV511" s="550">
        <v>845</v>
      </c>
      <c r="AW511" s="550">
        <v>903</v>
      </c>
      <c r="AX511" s="550">
        <v>859</v>
      </c>
      <c r="AY511" s="550">
        <v>868</v>
      </c>
      <c r="AZ511" s="550">
        <v>830</v>
      </c>
      <c r="BA511" s="550">
        <v>830</v>
      </c>
      <c r="BB511" s="550">
        <v>850</v>
      </c>
      <c r="BC511" s="550">
        <v>826</v>
      </c>
      <c r="BD511" s="550">
        <v>853</v>
      </c>
      <c r="BE511" s="550">
        <v>809</v>
      </c>
      <c r="BF511" s="550">
        <v>756</v>
      </c>
      <c r="BG511" s="550">
        <v>746</v>
      </c>
      <c r="BH511" s="550">
        <v>825</v>
      </c>
      <c r="BI511" s="550">
        <v>777</v>
      </c>
      <c r="BJ511" s="550">
        <v>849</v>
      </c>
      <c r="BK511" s="550">
        <v>862</v>
      </c>
      <c r="BL511" s="550">
        <v>954</v>
      </c>
      <c r="BM511" s="550">
        <v>904</v>
      </c>
      <c r="BN511" s="550">
        <v>948</v>
      </c>
      <c r="BO511" s="550">
        <v>1003</v>
      </c>
      <c r="BP511" s="550">
        <v>945</v>
      </c>
      <c r="BQ511" s="550">
        <v>984</v>
      </c>
      <c r="BR511" s="550">
        <v>991</v>
      </c>
      <c r="BS511" s="550">
        <v>1043</v>
      </c>
      <c r="BT511" s="550">
        <v>992</v>
      </c>
      <c r="BU511" s="550">
        <v>975</v>
      </c>
      <c r="BV511" s="550">
        <v>943</v>
      </c>
      <c r="BW511" s="550">
        <v>960</v>
      </c>
      <c r="BX511" s="550">
        <v>888</v>
      </c>
      <c r="BY511" s="550">
        <v>1006</v>
      </c>
      <c r="BZ511" s="550">
        <v>870</v>
      </c>
      <c r="CA511" s="550">
        <v>796</v>
      </c>
      <c r="CB511" s="550">
        <v>802</v>
      </c>
      <c r="CC511" s="550">
        <v>793</v>
      </c>
      <c r="CD511" s="550">
        <v>815</v>
      </c>
      <c r="CE511" s="550">
        <v>772</v>
      </c>
      <c r="CF511" s="550">
        <v>725</v>
      </c>
      <c r="CG511" s="550">
        <v>778</v>
      </c>
      <c r="CH511" s="550">
        <v>746</v>
      </c>
      <c r="CI511" s="550">
        <v>847</v>
      </c>
      <c r="CJ511" s="550">
        <v>799</v>
      </c>
      <c r="CK511" s="550">
        <v>579</v>
      </c>
      <c r="CL511" s="550">
        <v>577</v>
      </c>
      <c r="CM511" s="550">
        <v>556</v>
      </c>
      <c r="CN511" s="550">
        <v>505</v>
      </c>
      <c r="CO511" s="550">
        <v>452</v>
      </c>
      <c r="CP511" s="550">
        <v>360</v>
      </c>
      <c r="CQ511" s="550">
        <v>384</v>
      </c>
      <c r="CR511" s="550">
        <v>318</v>
      </c>
      <c r="CS511" s="550">
        <v>294</v>
      </c>
      <c r="CT511" s="550">
        <v>260</v>
      </c>
      <c r="CU511" s="550">
        <v>226</v>
      </c>
      <c r="CV511" s="550">
        <v>183</v>
      </c>
      <c r="CW511" s="550">
        <v>177</v>
      </c>
      <c r="CX511" s="550">
        <v>127</v>
      </c>
      <c r="CY511" s="550">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209</v>
      </c>
      <c r="B512" s="1" t="s">
        <v>672</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50">
        <v>1002</v>
      </c>
      <c r="N512" s="550">
        <v>958</v>
      </c>
      <c r="O512" s="550">
        <v>993</v>
      </c>
      <c r="P512" s="550">
        <v>1033</v>
      </c>
      <c r="Q512" s="550">
        <v>1002</v>
      </c>
      <c r="R512" s="550">
        <v>1014</v>
      </c>
      <c r="S512" s="550">
        <v>1196</v>
      </c>
      <c r="T512" s="550">
        <v>1083</v>
      </c>
      <c r="U512" s="550">
        <v>1043</v>
      </c>
      <c r="V512" s="550">
        <v>1089</v>
      </c>
      <c r="W512" s="550">
        <v>1039</v>
      </c>
      <c r="X512" s="550">
        <v>1059</v>
      </c>
      <c r="Y512" s="550">
        <v>1048</v>
      </c>
      <c r="Z512" s="550">
        <v>1123</v>
      </c>
      <c r="AA512" s="550">
        <v>1128</v>
      </c>
      <c r="AB512" s="550">
        <v>945</v>
      </c>
      <c r="AC512" s="550">
        <v>940</v>
      </c>
      <c r="AD512" s="550">
        <v>952</v>
      </c>
      <c r="AE512" s="550">
        <v>969</v>
      </c>
      <c r="AF512" s="550">
        <v>782</v>
      </c>
      <c r="AG512" s="550">
        <v>699</v>
      </c>
      <c r="AH512" s="550">
        <v>774</v>
      </c>
      <c r="AI512" s="550">
        <v>881</v>
      </c>
      <c r="AJ512" s="550">
        <v>985</v>
      </c>
      <c r="AK512" s="550">
        <v>959</v>
      </c>
      <c r="AL512" s="550">
        <v>1027</v>
      </c>
      <c r="AM512" s="550">
        <v>1005</v>
      </c>
      <c r="AN512" s="550">
        <v>1020</v>
      </c>
      <c r="AO512" s="550">
        <v>1076</v>
      </c>
      <c r="AP512" s="550">
        <v>1245</v>
      </c>
      <c r="AQ512" s="550">
        <v>1220</v>
      </c>
      <c r="AR512" s="550">
        <v>1265</v>
      </c>
      <c r="AS512" s="550">
        <v>1169</v>
      </c>
      <c r="AT512" s="550">
        <v>1279</v>
      </c>
      <c r="AU512" s="550">
        <v>1332</v>
      </c>
      <c r="AV512" s="550">
        <v>1215</v>
      </c>
      <c r="AW512" s="550">
        <v>1185</v>
      </c>
      <c r="AX512" s="550">
        <v>1259</v>
      </c>
      <c r="AY512" s="550">
        <v>1143</v>
      </c>
      <c r="AZ512" s="550">
        <v>1017</v>
      </c>
      <c r="BA512" s="550">
        <v>1038</v>
      </c>
      <c r="BB512" s="550">
        <v>1044</v>
      </c>
      <c r="BC512" s="550">
        <v>1120</v>
      </c>
      <c r="BD512" s="550">
        <v>1055</v>
      </c>
      <c r="BE512" s="550">
        <v>942</v>
      </c>
      <c r="BF512" s="550">
        <v>907</v>
      </c>
      <c r="BG512" s="550">
        <v>917</v>
      </c>
      <c r="BH512" s="550">
        <v>953</v>
      </c>
      <c r="BI512" s="550">
        <v>944</v>
      </c>
      <c r="BJ512" s="550">
        <v>996</v>
      </c>
      <c r="BK512" s="550">
        <v>980</v>
      </c>
      <c r="BL512" s="550">
        <v>1095</v>
      </c>
      <c r="BM512" s="550">
        <v>1067</v>
      </c>
      <c r="BN512" s="550">
        <v>1100</v>
      </c>
      <c r="BO512" s="550">
        <v>948</v>
      </c>
      <c r="BP512" s="550">
        <v>1070</v>
      </c>
      <c r="BQ512" s="550">
        <v>1067</v>
      </c>
      <c r="BR512" s="550">
        <v>1053</v>
      </c>
      <c r="BS512" s="550">
        <v>1041</v>
      </c>
      <c r="BT512" s="550">
        <v>1021</v>
      </c>
      <c r="BU512" s="550">
        <v>935</v>
      </c>
      <c r="BV512" s="550">
        <v>982</v>
      </c>
      <c r="BW512" s="550">
        <v>893</v>
      </c>
      <c r="BX512" s="550">
        <v>964</v>
      </c>
      <c r="BY512" s="550">
        <v>829</v>
      </c>
      <c r="BZ512" s="550">
        <v>800</v>
      </c>
      <c r="CA512" s="550">
        <v>680</v>
      </c>
      <c r="CB512" s="550">
        <v>675</v>
      </c>
      <c r="CC512" s="550">
        <v>724</v>
      </c>
      <c r="CD512" s="550">
        <v>751</v>
      </c>
      <c r="CE512" s="550">
        <v>678</v>
      </c>
      <c r="CF512" s="550">
        <v>607</v>
      </c>
      <c r="CG512" s="550">
        <v>654</v>
      </c>
      <c r="CH512" s="550">
        <v>620</v>
      </c>
      <c r="CI512" s="550">
        <v>701</v>
      </c>
      <c r="CJ512" s="550">
        <v>753</v>
      </c>
      <c r="CK512" s="550">
        <v>517</v>
      </c>
      <c r="CL512" s="550">
        <v>519</v>
      </c>
      <c r="CM512" s="550">
        <v>492</v>
      </c>
      <c r="CN512" s="550">
        <v>470</v>
      </c>
      <c r="CO512" s="550">
        <v>374</v>
      </c>
      <c r="CP512" s="550">
        <v>319</v>
      </c>
      <c r="CQ512" s="550">
        <v>324</v>
      </c>
      <c r="CR512" s="550">
        <v>314</v>
      </c>
      <c r="CS512" s="550">
        <v>256</v>
      </c>
      <c r="CT512" s="550">
        <v>240</v>
      </c>
      <c r="CU512" s="550">
        <v>230</v>
      </c>
      <c r="CV512" s="550">
        <v>172</v>
      </c>
      <c r="CW512" s="550">
        <v>142</v>
      </c>
      <c r="CX512" s="550">
        <v>117</v>
      </c>
      <c r="CY512" s="550">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209</v>
      </c>
      <c r="B513" s="1" t="s">
        <v>673</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50">
        <v>547</v>
      </c>
      <c r="N513" s="550">
        <v>541</v>
      </c>
      <c r="O513" s="550">
        <v>560</v>
      </c>
      <c r="P513" s="550">
        <v>587</v>
      </c>
      <c r="Q513" s="550">
        <v>646</v>
      </c>
      <c r="R513" s="550">
        <v>630</v>
      </c>
      <c r="S513" s="550">
        <v>657</v>
      </c>
      <c r="T513" s="550">
        <v>695</v>
      </c>
      <c r="U513" s="550">
        <v>700</v>
      </c>
      <c r="V513" s="550">
        <v>693</v>
      </c>
      <c r="W513" s="550">
        <v>704</v>
      </c>
      <c r="X513" s="550">
        <v>745</v>
      </c>
      <c r="Y513" s="550">
        <v>723</v>
      </c>
      <c r="Z513" s="550">
        <v>691</v>
      </c>
      <c r="AA513" s="550">
        <v>785</v>
      </c>
      <c r="AB513" s="550">
        <v>690</v>
      </c>
      <c r="AC513" s="550">
        <v>779</v>
      </c>
      <c r="AD513" s="550">
        <v>726</v>
      </c>
      <c r="AE513" s="550">
        <v>659</v>
      </c>
      <c r="AF513" s="550">
        <v>545</v>
      </c>
      <c r="AG513" s="550">
        <v>505</v>
      </c>
      <c r="AH513" s="550">
        <v>573</v>
      </c>
      <c r="AI513" s="550">
        <v>608</v>
      </c>
      <c r="AJ513" s="550">
        <v>603</v>
      </c>
      <c r="AK513" s="550">
        <v>650</v>
      </c>
      <c r="AL513" s="550">
        <v>681</v>
      </c>
      <c r="AM513" s="550">
        <v>604</v>
      </c>
      <c r="AN513" s="550">
        <v>539</v>
      </c>
      <c r="AO513" s="550">
        <v>615</v>
      </c>
      <c r="AP513" s="550">
        <v>649</v>
      </c>
      <c r="AQ513" s="550">
        <v>715</v>
      </c>
      <c r="AR513" s="550">
        <v>687</v>
      </c>
      <c r="AS513" s="550">
        <v>631</v>
      </c>
      <c r="AT513" s="550">
        <v>601</v>
      </c>
      <c r="AU513" s="550">
        <v>686</v>
      </c>
      <c r="AV513" s="550">
        <v>659</v>
      </c>
      <c r="AW513" s="550">
        <v>623</v>
      </c>
      <c r="AX513" s="550">
        <v>623</v>
      </c>
      <c r="AY513" s="550">
        <v>614</v>
      </c>
      <c r="AZ513" s="550">
        <v>608</v>
      </c>
      <c r="BA513" s="550">
        <v>609</v>
      </c>
      <c r="BB513" s="550">
        <v>629</v>
      </c>
      <c r="BC513" s="550">
        <v>647</v>
      </c>
      <c r="BD513" s="550">
        <v>626</v>
      </c>
      <c r="BE513" s="550">
        <v>583</v>
      </c>
      <c r="BF513" s="550">
        <v>542</v>
      </c>
      <c r="BG513" s="550">
        <v>580</v>
      </c>
      <c r="BH513" s="550">
        <v>603</v>
      </c>
      <c r="BI513" s="550">
        <v>639</v>
      </c>
      <c r="BJ513" s="550">
        <v>703</v>
      </c>
      <c r="BK513" s="550">
        <v>754</v>
      </c>
      <c r="BL513" s="550">
        <v>757</v>
      </c>
      <c r="BM513" s="550">
        <v>818</v>
      </c>
      <c r="BN513" s="550">
        <v>808</v>
      </c>
      <c r="BO513" s="550">
        <v>855</v>
      </c>
      <c r="BP513" s="550">
        <v>905</v>
      </c>
      <c r="BQ513" s="550">
        <v>926</v>
      </c>
      <c r="BR513" s="550">
        <v>915</v>
      </c>
      <c r="BS513" s="550">
        <v>887</v>
      </c>
      <c r="BT513" s="550">
        <v>1009</v>
      </c>
      <c r="BU513" s="550">
        <v>967</v>
      </c>
      <c r="BV513" s="550">
        <v>914</v>
      </c>
      <c r="BW513" s="550">
        <v>904</v>
      </c>
      <c r="BX513" s="550">
        <v>952</v>
      </c>
      <c r="BY513" s="550">
        <v>893</v>
      </c>
      <c r="BZ513" s="550">
        <v>866</v>
      </c>
      <c r="CA513" s="550">
        <v>855</v>
      </c>
      <c r="CB513" s="550">
        <v>857</v>
      </c>
      <c r="CC513" s="550">
        <v>882</v>
      </c>
      <c r="CD513" s="550">
        <v>875</v>
      </c>
      <c r="CE513" s="550">
        <v>807</v>
      </c>
      <c r="CF513" s="550">
        <v>838</v>
      </c>
      <c r="CG513" s="550">
        <v>832</v>
      </c>
      <c r="CH513" s="550">
        <v>800</v>
      </c>
      <c r="CI513" s="550">
        <v>838</v>
      </c>
      <c r="CJ513" s="550">
        <v>882</v>
      </c>
      <c r="CK513" s="550">
        <v>614</v>
      </c>
      <c r="CL513" s="550">
        <v>659</v>
      </c>
      <c r="CM513" s="550">
        <v>627</v>
      </c>
      <c r="CN513" s="550">
        <v>545</v>
      </c>
      <c r="CO513" s="550">
        <v>490</v>
      </c>
      <c r="CP513" s="550">
        <v>469</v>
      </c>
      <c r="CQ513" s="550">
        <v>418</v>
      </c>
      <c r="CR513" s="550">
        <v>376</v>
      </c>
      <c r="CS513" s="550">
        <v>328</v>
      </c>
      <c r="CT513" s="550">
        <v>268</v>
      </c>
      <c r="CU513" s="550">
        <v>254</v>
      </c>
      <c r="CV513" s="550">
        <v>224</v>
      </c>
      <c r="CW513" s="550">
        <v>142</v>
      </c>
      <c r="CX513" s="550">
        <v>181</v>
      </c>
      <c r="CY513" s="550">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209</v>
      </c>
      <c r="B514" s="1" t="s">
        <v>674</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50">
        <v>542</v>
      </c>
      <c r="N514" s="550">
        <v>558</v>
      </c>
      <c r="O514" s="550">
        <v>557</v>
      </c>
      <c r="P514" s="550">
        <v>623</v>
      </c>
      <c r="Q514" s="550">
        <v>680</v>
      </c>
      <c r="R514" s="550">
        <v>640</v>
      </c>
      <c r="S514" s="550">
        <v>636</v>
      </c>
      <c r="T514" s="550">
        <v>702</v>
      </c>
      <c r="U514" s="550">
        <v>710</v>
      </c>
      <c r="V514" s="550">
        <v>708</v>
      </c>
      <c r="W514" s="550">
        <v>684</v>
      </c>
      <c r="X514" s="550">
        <v>699</v>
      </c>
      <c r="Y514" s="550">
        <v>687</v>
      </c>
      <c r="Z514" s="550">
        <v>724</v>
      </c>
      <c r="AA514" s="550">
        <v>813</v>
      </c>
      <c r="AB514" s="550">
        <v>726</v>
      </c>
      <c r="AC514" s="550">
        <v>720</v>
      </c>
      <c r="AD514" s="550">
        <v>759</v>
      </c>
      <c r="AE514" s="550">
        <v>677</v>
      </c>
      <c r="AF514" s="550">
        <v>546</v>
      </c>
      <c r="AG514" s="550">
        <v>497</v>
      </c>
      <c r="AH514" s="550">
        <v>540</v>
      </c>
      <c r="AI514" s="550">
        <v>576</v>
      </c>
      <c r="AJ514" s="550">
        <v>708</v>
      </c>
      <c r="AK514" s="550">
        <v>659</v>
      </c>
      <c r="AL514" s="550">
        <v>640</v>
      </c>
      <c r="AM514" s="550">
        <v>700</v>
      </c>
      <c r="AN514" s="550">
        <v>643</v>
      </c>
      <c r="AO514" s="550">
        <v>676</v>
      </c>
      <c r="AP514" s="550">
        <v>655</v>
      </c>
      <c r="AQ514" s="550">
        <v>689</v>
      </c>
      <c r="AR514" s="550">
        <v>681</v>
      </c>
      <c r="AS514" s="550">
        <v>678</v>
      </c>
      <c r="AT514" s="550">
        <v>691</v>
      </c>
      <c r="AU514" s="550">
        <v>706</v>
      </c>
      <c r="AV514" s="550">
        <v>621</v>
      </c>
      <c r="AW514" s="550">
        <v>641</v>
      </c>
      <c r="AX514" s="550">
        <v>683</v>
      </c>
      <c r="AY514" s="550">
        <v>629</v>
      </c>
      <c r="AZ514" s="550">
        <v>628</v>
      </c>
      <c r="BA514" s="550">
        <v>668</v>
      </c>
      <c r="BB514" s="550">
        <v>643</v>
      </c>
      <c r="BC514" s="550">
        <v>674</v>
      </c>
      <c r="BD514" s="550">
        <v>652</v>
      </c>
      <c r="BE514" s="550">
        <v>622</v>
      </c>
      <c r="BF514" s="550">
        <v>638</v>
      </c>
      <c r="BG514" s="550">
        <v>646</v>
      </c>
      <c r="BH514" s="550">
        <v>721</v>
      </c>
      <c r="BI514" s="550">
        <v>733</v>
      </c>
      <c r="BJ514" s="550">
        <v>732</v>
      </c>
      <c r="BK514" s="550">
        <v>904</v>
      </c>
      <c r="BL514" s="550">
        <v>916</v>
      </c>
      <c r="BM514" s="550">
        <v>874</v>
      </c>
      <c r="BN514" s="550">
        <v>967</v>
      </c>
      <c r="BO514" s="550">
        <v>918</v>
      </c>
      <c r="BP514" s="550">
        <v>1049</v>
      </c>
      <c r="BQ514" s="550">
        <v>1027</v>
      </c>
      <c r="BR514" s="550">
        <v>1085</v>
      </c>
      <c r="BS514" s="550">
        <v>1055</v>
      </c>
      <c r="BT514" s="550">
        <v>1079</v>
      </c>
      <c r="BU514" s="550">
        <v>1083</v>
      </c>
      <c r="BV514" s="550">
        <v>1072</v>
      </c>
      <c r="BW514" s="550">
        <v>1062</v>
      </c>
      <c r="BX514" s="550">
        <v>1068</v>
      </c>
      <c r="BY514" s="550">
        <v>970</v>
      </c>
      <c r="BZ514" s="550">
        <v>1004</v>
      </c>
      <c r="CA514" s="550">
        <v>1048</v>
      </c>
      <c r="CB514" s="550">
        <v>920</v>
      </c>
      <c r="CC514" s="550">
        <v>981</v>
      </c>
      <c r="CD514" s="550">
        <v>986</v>
      </c>
      <c r="CE514" s="550">
        <v>946</v>
      </c>
      <c r="CF514" s="550">
        <v>909</v>
      </c>
      <c r="CG514" s="550">
        <v>957</v>
      </c>
      <c r="CH514" s="550">
        <v>966</v>
      </c>
      <c r="CI514" s="550">
        <v>1053</v>
      </c>
      <c r="CJ514" s="550">
        <v>1016</v>
      </c>
      <c r="CK514" s="550">
        <v>762</v>
      </c>
      <c r="CL514" s="550">
        <v>697</v>
      </c>
      <c r="CM514" s="550">
        <v>815</v>
      </c>
      <c r="CN514" s="550">
        <v>676</v>
      </c>
      <c r="CO514" s="550">
        <v>565</v>
      </c>
      <c r="CP514" s="550">
        <v>480</v>
      </c>
      <c r="CQ514" s="550">
        <v>484</v>
      </c>
      <c r="CR514" s="550">
        <v>421</v>
      </c>
      <c r="CS514" s="550">
        <v>402</v>
      </c>
      <c r="CT514" s="550">
        <v>348</v>
      </c>
      <c r="CU514" s="550">
        <v>295</v>
      </c>
      <c r="CV514" s="550">
        <v>283</v>
      </c>
      <c r="CW514" s="550">
        <v>234</v>
      </c>
      <c r="CX514" s="550">
        <v>151</v>
      </c>
      <c r="CY514" s="550">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209</v>
      </c>
      <c r="B515" s="1" t="s">
        <v>675</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50">
        <v>1182</v>
      </c>
      <c r="N515" s="550">
        <v>1192</v>
      </c>
      <c r="O515" s="550">
        <v>1246</v>
      </c>
      <c r="P515" s="550">
        <v>1330</v>
      </c>
      <c r="Q515" s="550">
        <v>1390</v>
      </c>
      <c r="R515" s="550">
        <v>1335</v>
      </c>
      <c r="S515" s="550">
        <v>1349</v>
      </c>
      <c r="T515" s="550">
        <v>1424</v>
      </c>
      <c r="U515" s="550">
        <v>1454</v>
      </c>
      <c r="V515" s="550">
        <v>1448</v>
      </c>
      <c r="W515" s="550">
        <v>1470</v>
      </c>
      <c r="X515" s="550">
        <v>1500</v>
      </c>
      <c r="Y515" s="550">
        <v>1414</v>
      </c>
      <c r="Z515" s="550">
        <v>1599</v>
      </c>
      <c r="AA515" s="550">
        <v>1471</v>
      </c>
      <c r="AB515" s="550">
        <v>1487</v>
      </c>
      <c r="AC515" s="550">
        <v>1400</v>
      </c>
      <c r="AD515" s="550">
        <v>1425</v>
      </c>
      <c r="AE515" s="550">
        <v>1383</v>
      </c>
      <c r="AF515" s="550">
        <v>1430</v>
      </c>
      <c r="AG515" s="550">
        <v>1361</v>
      </c>
      <c r="AH515" s="550">
        <v>1470</v>
      </c>
      <c r="AI515" s="550">
        <v>1333</v>
      </c>
      <c r="AJ515" s="550">
        <v>1508</v>
      </c>
      <c r="AK515" s="550">
        <v>1349</v>
      </c>
      <c r="AL515" s="550">
        <v>1510</v>
      </c>
      <c r="AM515" s="550">
        <v>1397</v>
      </c>
      <c r="AN515" s="550">
        <v>1501</v>
      </c>
      <c r="AO515" s="550">
        <v>1440</v>
      </c>
      <c r="AP515" s="550">
        <v>1561</v>
      </c>
      <c r="AQ515" s="550">
        <v>1531</v>
      </c>
      <c r="AR515" s="550">
        <v>1507</v>
      </c>
      <c r="AS515" s="550">
        <v>1666</v>
      </c>
      <c r="AT515" s="550">
        <v>1646</v>
      </c>
      <c r="AU515" s="550">
        <v>1508</v>
      </c>
      <c r="AV515" s="550">
        <v>1576</v>
      </c>
      <c r="AW515" s="550">
        <v>1511</v>
      </c>
      <c r="AX515" s="550">
        <v>1573</v>
      </c>
      <c r="AY515" s="550">
        <v>1526</v>
      </c>
      <c r="AZ515" s="550">
        <v>1487</v>
      </c>
      <c r="BA515" s="550">
        <v>1448</v>
      </c>
      <c r="BB515" s="550">
        <v>1387</v>
      </c>
      <c r="BC515" s="550">
        <v>1473</v>
      </c>
      <c r="BD515" s="550">
        <v>1436</v>
      </c>
      <c r="BE515" s="550">
        <v>1292</v>
      </c>
      <c r="BF515" s="550">
        <v>1234</v>
      </c>
      <c r="BG515" s="550">
        <v>1228</v>
      </c>
      <c r="BH515" s="550">
        <v>1344</v>
      </c>
      <c r="BI515" s="550">
        <v>1265</v>
      </c>
      <c r="BJ515" s="550">
        <v>1525</v>
      </c>
      <c r="BK515" s="550">
        <v>1616</v>
      </c>
      <c r="BL515" s="550">
        <v>1695</v>
      </c>
      <c r="BM515" s="550">
        <v>1558</v>
      </c>
      <c r="BN515" s="550">
        <v>1611</v>
      </c>
      <c r="BO515" s="550">
        <v>1667</v>
      </c>
      <c r="BP515" s="550">
        <v>1659</v>
      </c>
      <c r="BQ515" s="550">
        <v>1692</v>
      </c>
      <c r="BR515" s="550">
        <v>1734</v>
      </c>
      <c r="BS515" s="550">
        <v>1649</v>
      </c>
      <c r="BT515" s="550">
        <v>1594</v>
      </c>
      <c r="BU515" s="550">
        <v>1607</v>
      </c>
      <c r="BV515" s="550">
        <v>1496</v>
      </c>
      <c r="BW515" s="550">
        <v>1364</v>
      </c>
      <c r="BX515" s="550">
        <v>1434</v>
      </c>
      <c r="BY515" s="550">
        <v>1372</v>
      </c>
      <c r="BZ515" s="550">
        <v>1354</v>
      </c>
      <c r="CA515" s="550">
        <v>1261</v>
      </c>
      <c r="CB515" s="550">
        <v>1184</v>
      </c>
      <c r="CC515" s="550">
        <v>1223</v>
      </c>
      <c r="CD515" s="550">
        <v>1163</v>
      </c>
      <c r="CE515" s="550">
        <v>1238</v>
      </c>
      <c r="CF515" s="550">
        <v>1171</v>
      </c>
      <c r="CG515" s="550">
        <v>1232</v>
      </c>
      <c r="CH515" s="550">
        <v>1244</v>
      </c>
      <c r="CI515" s="550">
        <v>1280</v>
      </c>
      <c r="CJ515" s="550">
        <v>1272</v>
      </c>
      <c r="CK515" s="550">
        <v>1071</v>
      </c>
      <c r="CL515" s="550">
        <v>988</v>
      </c>
      <c r="CM515" s="550">
        <v>843</v>
      </c>
      <c r="CN515" s="550">
        <v>708</v>
      </c>
      <c r="CO515" s="550">
        <v>680</v>
      </c>
      <c r="CP515" s="550">
        <v>591</v>
      </c>
      <c r="CQ515" s="550">
        <v>536</v>
      </c>
      <c r="CR515" s="550">
        <v>480</v>
      </c>
      <c r="CS515" s="550">
        <v>454</v>
      </c>
      <c r="CT515" s="550">
        <v>366</v>
      </c>
      <c r="CU515" s="550">
        <v>342</v>
      </c>
      <c r="CV515" s="550">
        <v>288</v>
      </c>
      <c r="CW515" s="550">
        <v>231</v>
      </c>
      <c r="CX515" s="550">
        <v>183</v>
      </c>
      <c r="CY515" s="550">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209</v>
      </c>
      <c r="B516" s="1" t="s">
        <v>676</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50">
        <v>1134</v>
      </c>
      <c r="N516" s="550">
        <v>1063</v>
      </c>
      <c r="O516" s="550">
        <v>1133</v>
      </c>
      <c r="P516" s="550">
        <v>1224</v>
      </c>
      <c r="Q516" s="550">
        <v>1266</v>
      </c>
      <c r="R516" s="550">
        <v>1252</v>
      </c>
      <c r="S516" s="550">
        <v>1374</v>
      </c>
      <c r="T516" s="550">
        <v>1363</v>
      </c>
      <c r="U516" s="550">
        <v>1342</v>
      </c>
      <c r="V516" s="550">
        <v>1419</v>
      </c>
      <c r="W516" s="550">
        <v>1459</v>
      </c>
      <c r="X516" s="550">
        <v>1510</v>
      </c>
      <c r="Y516" s="550">
        <v>1407</v>
      </c>
      <c r="Z516" s="550">
        <v>1464</v>
      </c>
      <c r="AA516" s="550">
        <v>1527</v>
      </c>
      <c r="AB516" s="550">
        <v>1392</v>
      </c>
      <c r="AC516" s="550">
        <v>1385</v>
      </c>
      <c r="AD516" s="550">
        <v>1426</v>
      </c>
      <c r="AE516" s="550">
        <v>1459</v>
      </c>
      <c r="AF516" s="550">
        <v>1896</v>
      </c>
      <c r="AG516" s="550">
        <v>2522</v>
      </c>
      <c r="AH516" s="550">
        <v>2615</v>
      </c>
      <c r="AI516" s="550">
        <v>2280</v>
      </c>
      <c r="AJ516" s="550">
        <v>1910</v>
      </c>
      <c r="AK516" s="550">
        <v>1501</v>
      </c>
      <c r="AL516" s="550">
        <v>1507</v>
      </c>
      <c r="AM516" s="550">
        <v>1486</v>
      </c>
      <c r="AN516" s="550">
        <v>1351</v>
      </c>
      <c r="AO516" s="550">
        <v>1422</v>
      </c>
      <c r="AP516" s="550">
        <v>1448</v>
      </c>
      <c r="AQ516" s="550">
        <v>1520</v>
      </c>
      <c r="AR516" s="550">
        <v>1551</v>
      </c>
      <c r="AS516" s="550">
        <v>1644</v>
      </c>
      <c r="AT516" s="550">
        <v>1442</v>
      </c>
      <c r="AU516" s="550">
        <v>1501</v>
      </c>
      <c r="AV516" s="550">
        <v>1514</v>
      </c>
      <c r="AW516" s="550">
        <v>1498</v>
      </c>
      <c r="AX516" s="550">
        <v>1597</v>
      </c>
      <c r="AY516" s="550">
        <v>1396</v>
      </c>
      <c r="AZ516" s="550">
        <v>1455</v>
      </c>
      <c r="BA516" s="550">
        <v>1397</v>
      </c>
      <c r="BB516" s="550">
        <v>1417</v>
      </c>
      <c r="BC516" s="550">
        <v>1584</v>
      </c>
      <c r="BD516" s="550">
        <v>1343</v>
      </c>
      <c r="BE516" s="550">
        <v>1273</v>
      </c>
      <c r="BF516" s="550">
        <v>1289</v>
      </c>
      <c r="BG516" s="550">
        <v>1339</v>
      </c>
      <c r="BH516" s="550">
        <v>1379</v>
      </c>
      <c r="BI516" s="550">
        <v>1335</v>
      </c>
      <c r="BJ516" s="550">
        <v>1336</v>
      </c>
      <c r="BK516" s="550">
        <v>1462</v>
      </c>
      <c r="BL516" s="550">
        <v>1510</v>
      </c>
      <c r="BM516" s="550">
        <v>1509</v>
      </c>
      <c r="BN516" s="550">
        <v>1691</v>
      </c>
      <c r="BO516" s="550">
        <v>1552</v>
      </c>
      <c r="BP516" s="550">
        <v>1528</v>
      </c>
      <c r="BQ516" s="550">
        <v>1522</v>
      </c>
      <c r="BR516" s="550">
        <v>1665</v>
      </c>
      <c r="BS516" s="550">
        <v>1640</v>
      </c>
      <c r="BT516" s="550">
        <v>1484</v>
      </c>
      <c r="BU516" s="550">
        <v>1519</v>
      </c>
      <c r="BV516" s="550">
        <v>1456</v>
      </c>
      <c r="BW516" s="550">
        <v>1447</v>
      </c>
      <c r="BX516" s="550">
        <v>1394</v>
      </c>
      <c r="BY516" s="550">
        <v>1349</v>
      </c>
      <c r="BZ516" s="550">
        <v>1273</v>
      </c>
      <c r="CA516" s="550">
        <v>1240</v>
      </c>
      <c r="CB516" s="550">
        <v>1189</v>
      </c>
      <c r="CC516" s="550">
        <v>1181</v>
      </c>
      <c r="CD516" s="550">
        <v>1218</v>
      </c>
      <c r="CE516" s="550">
        <v>1171</v>
      </c>
      <c r="CF516" s="550">
        <v>1093</v>
      </c>
      <c r="CG516" s="550">
        <v>1212</v>
      </c>
      <c r="CH516" s="550">
        <v>1187</v>
      </c>
      <c r="CI516" s="550">
        <v>1233</v>
      </c>
      <c r="CJ516" s="550">
        <v>1340</v>
      </c>
      <c r="CK516" s="550">
        <v>889</v>
      </c>
      <c r="CL516" s="550">
        <v>905</v>
      </c>
      <c r="CM516" s="550">
        <v>899</v>
      </c>
      <c r="CN516" s="550">
        <v>852</v>
      </c>
      <c r="CO516" s="550">
        <v>748</v>
      </c>
      <c r="CP516" s="550">
        <v>612</v>
      </c>
      <c r="CQ516" s="550">
        <v>591</v>
      </c>
      <c r="CR516" s="550">
        <v>524</v>
      </c>
      <c r="CS516" s="550">
        <v>525</v>
      </c>
      <c r="CT516" s="550">
        <v>455</v>
      </c>
      <c r="CU516" s="550">
        <v>393</v>
      </c>
      <c r="CV516" s="550">
        <v>348</v>
      </c>
      <c r="CW516" s="550">
        <v>276</v>
      </c>
      <c r="CX516" s="550">
        <v>244</v>
      </c>
      <c r="CY516" s="550">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209</v>
      </c>
      <c r="B517" s="1" t="s">
        <v>677</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50">
        <v>514</v>
      </c>
      <c r="N517" s="550">
        <v>466</v>
      </c>
      <c r="O517" s="550">
        <v>537</v>
      </c>
      <c r="P517" s="550">
        <v>540</v>
      </c>
      <c r="Q517" s="550">
        <v>516</v>
      </c>
      <c r="R517" s="550">
        <v>556</v>
      </c>
      <c r="S517" s="550">
        <v>581</v>
      </c>
      <c r="T517" s="550">
        <v>514</v>
      </c>
      <c r="U517" s="550">
        <v>551</v>
      </c>
      <c r="V517" s="550">
        <v>551</v>
      </c>
      <c r="W517" s="550">
        <v>588</v>
      </c>
      <c r="X517" s="550">
        <v>600</v>
      </c>
      <c r="Y517" s="550">
        <v>586</v>
      </c>
      <c r="Z517" s="550">
        <v>625</v>
      </c>
      <c r="AA517" s="550">
        <v>581</v>
      </c>
      <c r="AB517" s="550">
        <v>557</v>
      </c>
      <c r="AC517" s="550">
        <v>592</v>
      </c>
      <c r="AD517" s="550">
        <v>585</v>
      </c>
      <c r="AE517" s="550">
        <v>488</v>
      </c>
      <c r="AF517" s="550">
        <v>425</v>
      </c>
      <c r="AG517" s="550">
        <v>404</v>
      </c>
      <c r="AH517" s="550">
        <v>418</v>
      </c>
      <c r="AI517" s="550">
        <v>438</v>
      </c>
      <c r="AJ517" s="550">
        <v>462</v>
      </c>
      <c r="AK517" s="550">
        <v>507</v>
      </c>
      <c r="AL517" s="550">
        <v>598</v>
      </c>
      <c r="AM517" s="550">
        <v>533</v>
      </c>
      <c r="AN517" s="550">
        <v>576</v>
      </c>
      <c r="AO517" s="550">
        <v>555</v>
      </c>
      <c r="AP517" s="550">
        <v>540</v>
      </c>
      <c r="AQ517" s="550">
        <v>596</v>
      </c>
      <c r="AR517" s="550">
        <v>615</v>
      </c>
      <c r="AS517" s="550">
        <v>622</v>
      </c>
      <c r="AT517" s="550">
        <v>617</v>
      </c>
      <c r="AU517" s="550">
        <v>553</v>
      </c>
      <c r="AV517" s="550">
        <v>586</v>
      </c>
      <c r="AW517" s="550">
        <v>593</v>
      </c>
      <c r="AX517" s="550">
        <v>574</v>
      </c>
      <c r="AY517" s="550">
        <v>532</v>
      </c>
      <c r="AZ517" s="550">
        <v>548</v>
      </c>
      <c r="BA517" s="550">
        <v>555</v>
      </c>
      <c r="BB517" s="550">
        <v>493</v>
      </c>
      <c r="BC517" s="550">
        <v>523</v>
      </c>
      <c r="BD517" s="550">
        <v>539</v>
      </c>
      <c r="BE517" s="550">
        <v>428</v>
      </c>
      <c r="BF517" s="550">
        <v>504</v>
      </c>
      <c r="BG517" s="550">
        <v>432</v>
      </c>
      <c r="BH517" s="550">
        <v>497</v>
      </c>
      <c r="BI517" s="550">
        <v>493</v>
      </c>
      <c r="BJ517" s="550">
        <v>561</v>
      </c>
      <c r="BK517" s="550">
        <v>569</v>
      </c>
      <c r="BL517" s="550">
        <v>636</v>
      </c>
      <c r="BM517" s="550">
        <v>634</v>
      </c>
      <c r="BN517" s="550">
        <v>601</v>
      </c>
      <c r="BO517" s="550">
        <v>597</v>
      </c>
      <c r="BP517" s="550">
        <v>623</v>
      </c>
      <c r="BQ517" s="550">
        <v>631</v>
      </c>
      <c r="BR517" s="550">
        <v>707</v>
      </c>
      <c r="BS517" s="550">
        <v>646</v>
      </c>
      <c r="BT517" s="550">
        <v>672</v>
      </c>
      <c r="BU517" s="550">
        <v>661</v>
      </c>
      <c r="BV517" s="550">
        <v>655</v>
      </c>
      <c r="BW517" s="550">
        <v>574</v>
      </c>
      <c r="BX517" s="550">
        <v>580</v>
      </c>
      <c r="BY517" s="550">
        <v>594</v>
      </c>
      <c r="BZ517" s="550">
        <v>511</v>
      </c>
      <c r="CA517" s="550">
        <v>490</v>
      </c>
      <c r="CB517" s="550">
        <v>470</v>
      </c>
      <c r="CC517" s="550">
        <v>535</v>
      </c>
      <c r="CD517" s="550">
        <v>469</v>
      </c>
      <c r="CE517" s="550">
        <v>488</v>
      </c>
      <c r="CF517" s="550">
        <v>479</v>
      </c>
      <c r="CG517" s="550">
        <v>457</v>
      </c>
      <c r="CH517" s="550">
        <v>484</v>
      </c>
      <c r="CI517" s="550">
        <v>455</v>
      </c>
      <c r="CJ517" s="550">
        <v>541</v>
      </c>
      <c r="CK517" s="550">
        <v>404</v>
      </c>
      <c r="CL517" s="550">
        <v>398</v>
      </c>
      <c r="CM517" s="550">
        <v>348</v>
      </c>
      <c r="CN517" s="550">
        <v>298</v>
      </c>
      <c r="CO517" s="550">
        <v>266</v>
      </c>
      <c r="CP517" s="550">
        <v>246</v>
      </c>
      <c r="CQ517" s="550">
        <v>224</v>
      </c>
      <c r="CR517" s="550">
        <v>223</v>
      </c>
      <c r="CS517" s="550">
        <v>187</v>
      </c>
      <c r="CT517" s="550">
        <v>157</v>
      </c>
      <c r="CU517" s="550">
        <v>143</v>
      </c>
      <c r="CV517" s="550">
        <v>129</v>
      </c>
      <c r="CW517" s="550">
        <v>118</v>
      </c>
      <c r="CX517" s="550">
        <v>110</v>
      </c>
      <c r="CY517" s="550">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209</v>
      </c>
      <c r="B518" s="1" t="s">
        <v>678</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50">
        <v>642</v>
      </c>
      <c r="N518" s="550">
        <v>670</v>
      </c>
      <c r="O518" s="550">
        <v>666</v>
      </c>
      <c r="P518" s="550">
        <v>745</v>
      </c>
      <c r="Q518" s="550">
        <v>708</v>
      </c>
      <c r="R518" s="550">
        <v>814</v>
      </c>
      <c r="S518" s="550">
        <v>772</v>
      </c>
      <c r="T518" s="550">
        <v>756</v>
      </c>
      <c r="U518" s="550">
        <v>790</v>
      </c>
      <c r="V518" s="550">
        <v>869</v>
      </c>
      <c r="W518" s="550">
        <v>878</v>
      </c>
      <c r="X518" s="550">
        <v>861</v>
      </c>
      <c r="Y518" s="550">
        <v>888</v>
      </c>
      <c r="Z518" s="550">
        <v>889</v>
      </c>
      <c r="AA518" s="550">
        <v>863</v>
      </c>
      <c r="AB518" s="550">
        <v>841</v>
      </c>
      <c r="AC518" s="550">
        <v>775</v>
      </c>
      <c r="AD518" s="550">
        <v>759</v>
      </c>
      <c r="AE518" s="550">
        <v>728</v>
      </c>
      <c r="AF518" s="550">
        <v>587</v>
      </c>
      <c r="AG518" s="550">
        <v>503</v>
      </c>
      <c r="AH518" s="550">
        <v>620</v>
      </c>
      <c r="AI518" s="550">
        <v>676</v>
      </c>
      <c r="AJ518" s="550">
        <v>666</v>
      </c>
      <c r="AK518" s="550">
        <v>621</v>
      </c>
      <c r="AL518" s="550">
        <v>702</v>
      </c>
      <c r="AM518" s="550">
        <v>663</v>
      </c>
      <c r="AN518" s="550">
        <v>711</v>
      </c>
      <c r="AO518" s="550">
        <v>738</v>
      </c>
      <c r="AP518" s="550">
        <v>687</v>
      </c>
      <c r="AQ518" s="550">
        <v>701</v>
      </c>
      <c r="AR518" s="550">
        <v>728</v>
      </c>
      <c r="AS518" s="550">
        <v>706</v>
      </c>
      <c r="AT518" s="550">
        <v>774</v>
      </c>
      <c r="AU518" s="550">
        <v>806</v>
      </c>
      <c r="AV518" s="550">
        <v>800</v>
      </c>
      <c r="AW518" s="550">
        <v>846</v>
      </c>
      <c r="AX518" s="550">
        <v>741</v>
      </c>
      <c r="AY518" s="550">
        <v>762</v>
      </c>
      <c r="AZ518" s="550">
        <v>802</v>
      </c>
      <c r="BA518" s="550">
        <v>818</v>
      </c>
      <c r="BB518" s="550">
        <v>893</v>
      </c>
      <c r="BC518" s="550">
        <v>884</v>
      </c>
      <c r="BD518" s="550">
        <v>832</v>
      </c>
      <c r="BE518" s="550">
        <v>669</v>
      </c>
      <c r="BF518" s="550">
        <v>732</v>
      </c>
      <c r="BG518" s="550">
        <v>722</v>
      </c>
      <c r="BH518" s="550">
        <v>807</v>
      </c>
      <c r="BI518" s="550">
        <v>781</v>
      </c>
      <c r="BJ518" s="550">
        <v>815</v>
      </c>
      <c r="BK518" s="550">
        <v>842</v>
      </c>
      <c r="BL518" s="550">
        <v>880</v>
      </c>
      <c r="BM518" s="550">
        <v>853</v>
      </c>
      <c r="BN518" s="550">
        <v>916</v>
      </c>
      <c r="BO518" s="550">
        <v>871</v>
      </c>
      <c r="BP518" s="550">
        <v>920</v>
      </c>
      <c r="BQ518" s="550">
        <v>867</v>
      </c>
      <c r="BR518" s="550">
        <v>906</v>
      </c>
      <c r="BS518" s="550">
        <v>932</v>
      </c>
      <c r="BT518" s="550">
        <v>907</v>
      </c>
      <c r="BU518" s="550">
        <v>934</v>
      </c>
      <c r="BV518" s="550">
        <v>904</v>
      </c>
      <c r="BW518" s="550">
        <v>828</v>
      </c>
      <c r="BX518" s="550">
        <v>857</v>
      </c>
      <c r="BY518" s="550">
        <v>763</v>
      </c>
      <c r="BZ518" s="550">
        <v>786</v>
      </c>
      <c r="CA518" s="550">
        <v>761</v>
      </c>
      <c r="CB518" s="550">
        <v>745</v>
      </c>
      <c r="CC518" s="550">
        <v>753</v>
      </c>
      <c r="CD518" s="550">
        <v>754</v>
      </c>
      <c r="CE518" s="550">
        <v>696</v>
      </c>
      <c r="CF518" s="550">
        <v>706</v>
      </c>
      <c r="CG518" s="550">
        <v>707</v>
      </c>
      <c r="CH518" s="550">
        <v>714</v>
      </c>
      <c r="CI518" s="550">
        <v>737</v>
      </c>
      <c r="CJ518" s="550">
        <v>775</v>
      </c>
      <c r="CK518" s="550">
        <v>562</v>
      </c>
      <c r="CL518" s="550">
        <v>555</v>
      </c>
      <c r="CM518" s="550">
        <v>563</v>
      </c>
      <c r="CN518" s="550">
        <v>468</v>
      </c>
      <c r="CO518" s="550">
        <v>410</v>
      </c>
      <c r="CP518" s="550">
        <v>391</v>
      </c>
      <c r="CQ518" s="550">
        <v>349</v>
      </c>
      <c r="CR518" s="550">
        <v>336</v>
      </c>
      <c r="CS518" s="550">
        <v>307</v>
      </c>
      <c r="CT518" s="550">
        <v>239</v>
      </c>
      <c r="CU518" s="550">
        <v>231</v>
      </c>
      <c r="CV518" s="550">
        <v>180</v>
      </c>
      <c r="CW518" s="550">
        <v>170</v>
      </c>
      <c r="CX518" s="550">
        <v>135</v>
      </c>
      <c r="CY518" s="550">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209</v>
      </c>
      <c r="B519" s="1" t="s">
        <v>679</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50">
        <v>673</v>
      </c>
      <c r="N519" s="550">
        <v>647</v>
      </c>
      <c r="O519" s="550">
        <v>740</v>
      </c>
      <c r="P519" s="550">
        <v>723</v>
      </c>
      <c r="Q519" s="550">
        <v>730</v>
      </c>
      <c r="R519" s="550">
        <v>761</v>
      </c>
      <c r="S519" s="550">
        <v>793</v>
      </c>
      <c r="T519" s="550">
        <v>761</v>
      </c>
      <c r="U519" s="550">
        <v>814</v>
      </c>
      <c r="V519" s="550">
        <v>862</v>
      </c>
      <c r="W519" s="550">
        <v>831</v>
      </c>
      <c r="X519" s="550">
        <v>858</v>
      </c>
      <c r="Y519" s="550">
        <v>859</v>
      </c>
      <c r="Z519" s="550">
        <v>879</v>
      </c>
      <c r="AA519" s="550">
        <v>845</v>
      </c>
      <c r="AB519" s="550">
        <v>853</v>
      </c>
      <c r="AC519" s="550">
        <v>831</v>
      </c>
      <c r="AD519" s="550">
        <v>839</v>
      </c>
      <c r="AE519" s="550">
        <v>753</v>
      </c>
      <c r="AF519" s="550">
        <v>630</v>
      </c>
      <c r="AG519" s="550">
        <v>619</v>
      </c>
      <c r="AH519" s="550">
        <v>629</v>
      </c>
      <c r="AI519" s="550">
        <v>670</v>
      </c>
      <c r="AJ519" s="550">
        <v>758</v>
      </c>
      <c r="AK519" s="550">
        <v>790</v>
      </c>
      <c r="AL519" s="550">
        <v>832</v>
      </c>
      <c r="AM519" s="550">
        <v>753</v>
      </c>
      <c r="AN519" s="550">
        <v>823</v>
      </c>
      <c r="AO519" s="550">
        <v>819</v>
      </c>
      <c r="AP519" s="550">
        <v>821</v>
      </c>
      <c r="AQ519" s="550">
        <v>786</v>
      </c>
      <c r="AR519" s="550">
        <v>853</v>
      </c>
      <c r="AS519" s="550">
        <v>859</v>
      </c>
      <c r="AT519" s="550">
        <v>835</v>
      </c>
      <c r="AU519" s="550">
        <v>874</v>
      </c>
      <c r="AV519" s="550">
        <v>850</v>
      </c>
      <c r="AW519" s="550">
        <v>902</v>
      </c>
      <c r="AX519" s="550">
        <v>921</v>
      </c>
      <c r="AY519" s="550">
        <v>825</v>
      </c>
      <c r="AZ519" s="550">
        <v>847</v>
      </c>
      <c r="BA519" s="550">
        <v>842</v>
      </c>
      <c r="BB519" s="550">
        <v>901</v>
      </c>
      <c r="BC519" s="550">
        <v>918</v>
      </c>
      <c r="BD519" s="550">
        <v>874</v>
      </c>
      <c r="BE519" s="550">
        <v>746</v>
      </c>
      <c r="BF519" s="550">
        <v>759</v>
      </c>
      <c r="BG519" s="550">
        <v>795</v>
      </c>
      <c r="BH519" s="550">
        <v>790</v>
      </c>
      <c r="BI519" s="550">
        <v>799</v>
      </c>
      <c r="BJ519" s="550">
        <v>915</v>
      </c>
      <c r="BK519" s="550">
        <v>955</v>
      </c>
      <c r="BL519" s="550">
        <v>1013</v>
      </c>
      <c r="BM519" s="550">
        <v>995</v>
      </c>
      <c r="BN519" s="550">
        <v>1003</v>
      </c>
      <c r="BO519" s="550">
        <v>969</v>
      </c>
      <c r="BP519" s="550">
        <v>960</v>
      </c>
      <c r="BQ519" s="550">
        <v>1007</v>
      </c>
      <c r="BR519" s="550">
        <v>986</v>
      </c>
      <c r="BS519" s="550">
        <v>968</v>
      </c>
      <c r="BT519" s="550">
        <v>965</v>
      </c>
      <c r="BU519" s="550">
        <v>916</v>
      </c>
      <c r="BV519" s="550">
        <v>884</v>
      </c>
      <c r="BW519" s="550">
        <v>833</v>
      </c>
      <c r="BX519" s="550">
        <v>743</v>
      </c>
      <c r="BY519" s="550">
        <v>790</v>
      </c>
      <c r="BZ519" s="550">
        <v>795</v>
      </c>
      <c r="CA519" s="550">
        <v>774</v>
      </c>
      <c r="CB519" s="550">
        <v>688</v>
      </c>
      <c r="CC519" s="550">
        <v>698</v>
      </c>
      <c r="CD519" s="550">
        <v>716</v>
      </c>
      <c r="CE519" s="550">
        <v>688</v>
      </c>
      <c r="CF519" s="550">
        <v>667</v>
      </c>
      <c r="CG519" s="550">
        <v>680</v>
      </c>
      <c r="CH519" s="550">
        <v>708</v>
      </c>
      <c r="CI519" s="550">
        <v>706</v>
      </c>
      <c r="CJ519" s="550">
        <v>754</v>
      </c>
      <c r="CK519" s="550">
        <v>572</v>
      </c>
      <c r="CL519" s="550">
        <v>512</v>
      </c>
      <c r="CM519" s="550">
        <v>519</v>
      </c>
      <c r="CN519" s="550">
        <v>494</v>
      </c>
      <c r="CO519" s="550">
        <v>429</v>
      </c>
      <c r="CP519" s="550">
        <v>357</v>
      </c>
      <c r="CQ519" s="550">
        <v>308</v>
      </c>
      <c r="CR519" s="550">
        <v>275</v>
      </c>
      <c r="CS519" s="550">
        <v>281</v>
      </c>
      <c r="CT519" s="550">
        <v>235</v>
      </c>
      <c r="CU519" s="550">
        <v>217</v>
      </c>
      <c r="CV519" s="550">
        <v>176</v>
      </c>
      <c r="CW519" s="550">
        <v>132</v>
      </c>
      <c r="CX519" s="550">
        <v>132</v>
      </c>
      <c r="CY519" s="550">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213</v>
      </c>
      <c r="B521" s="1" t="s">
        <v>680</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213</v>
      </c>
      <c r="B522" s="1" t="s">
        <v>681</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213</v>
      </c>
      <c r="B523" s="1" t="s">
        <v>682</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213</v>
      </c>
      <c r="B524" s="1" t="s">
        <v>683</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213</v>
      </c>
      <c r="B525" s="1" t="s">
        <v>684</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213</v>
      </c>
      <c r="B526" s="1" t="s">
        <v>685</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213</v>
      </c>
      <c r="B527" s="1" t="s">
        <v>686</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213</v>
      </c>
      <c r="B528" s="1" t="s">
        <v>687</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213</v>
      </c>
      <c r="B529" s="1" t="s">
        <v>688</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213</v>
      </c>
      <c r="B530" s="1" t="s">
        <v>689</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213</v>
      </c>
      <c r="B531" s="1" t="s">
        <v>690</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570" t="s">
        <v>873</v>
      </c>
      <c r="B535" s="571"/>
      <c r="C535" s="572"/>
      <c r="D535" s="573"/>
      <c r="E535" s="573"/>
      <c r="F535" s="573"/>
      <c r="G535" s="574"/>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575" t="s">
        <v>874</v>
      </c>
      <c r="E537" s="576" t="s">
        <v>875</v>
      </c>
      <c r="F537" s="575" t="s">
        <v>876</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577" t="s">
        <v>877</v>
      </c>
      <c r="E538" s="578" t="s">
        <v>878</v>
      </c>
      <c r="F538" s="577" t="s">
        <v>879</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577" t="s">
        <v>880</v>
      </c>
      <c r="E539" s="578" t="s">
        <v>881</v>
      </c>
      <c r="F539" s="577" t="s">
        <v>882</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883</v>
      </c>
      <c r="D540" s="579">
        <v>60238038</v>
      </c>
      <c r="E540" s="580"/>
      <c r="F540" s="581"/>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582" t="s">
        <v>884</v>
      </c>
      <c r="D541" s="583"/>
      <c r="E541" s="584">
        <v>60856434</v>
      </c>
      <c r="F541" s="579">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582" t="s">
        <v>885</v>
      </c>
      <c r="D542" s="583"/>
      <c r="E542" s="585">
        <f>(E541-D540)/D540</f>
        <v>1.0265872205200309E-2</v>
      </c>
      <c r="F542" s="586">
        <f>(F541-D540)/D540</f>
        <v>2.0553358660187437E-2</v>
      </c>
      <c r="G542" s="587">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582" t="s">
        <v>886</v>
      </c>
      <c r="D543" s="583"/>
      <c r="E543" s="588"/>
      <c r="F543" s="579">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582" t="s">
        <v>887</v>
      </c>
      <c r="D544" s="583"/>
      <c r="E544" s="588"/>
      <c r="F544" s="579">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566"/>
      <c r="B547" s="567"/>
      <c r="C547" s="21" t="s">
        <v>691</v>
      </c>
      <c r="D547" s="139" t="s">
        <v>692</v>
      </c>
      <c r="E547" s="139" t="s">
        <v>693</v>
      </c>
      <c r="F547" s="139" t="s">
        <v>694</v>
      </c>
      <c r="G547" s="139" t="s">
        <v>695</v>
      </c>
      <c r="H547" s="139" t="s">
        <v>696</v>
      </c>
      <c r="I547" s="139" t="s">
        <v>697</v>
      </c>
      <c r="J547" s="512" t="s">
        <v>698</v>
      </c>
      <c r="K547" s="515" t="s">
        <v>699</v>
      </c>
      <c r="L547" s="340" t="s">
        <v>700</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568" t="s">
        <v>872</v>
      </c>
      <c r="C548" s="21" t="s">
        <v>701</v>
      </c>
      <c r="D548" s="819" t="s">
        <v>702</v>
      </c>
      <c r="E548" s="820"/>
      <c r="F548" s="820"/>
      <c r="G548" s="820"/>
      <c r="H548" s="820"/>
      <c r="I548" s="821"/>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568" t="s">
        <v>872</v>
      </c>
      <c r="B549" s="11">
        <v>0</v>
      </c>
      <c r="C549" s="138" t="s">
        <v>703</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568" t="s">
        <v>872</v>
      </c>
      <c r="B550" s="11">
        <v>1</v>
      </c>
      <c r="C550" s="138" t="s">
        <v>704</v>
      </c>
      <c r="D550" s="142"/>
      <c r="E550" s="142">
        <v>1.0090702843828887</v>
      </c>
      <c r="F550" s="142">
        <v>1.0170393771683619</v>
      </c>
      <c r="G550" s="142">
        <v>1.0238793000184203</v>
      </c>
      <c r="H550" s="142">
        <v>1.0295635385778663</v>
      </c>
      <c r="I550" s="142">
        <v>1.0351195322438309</v>
      </c>
      <c r="J550" s="513">
        <f>(I550-100%)/5</f>
        <v>7.0239064487661821E-3</v>
      </c>
      <c r="K550" s="516">
        <f t="shared" ref="K550:K563" si="144">(I550/100%)^(1/5)-1</f>
        <v>6.9272652964273984E-3</v>
      </c>
      <c r="L550" s="511">
        <v>6.9272652964273984E-3</v>
      </c>
      <c r="M550" s="507"/>
      <c r="N550" s="507"/>
      <c r="O550" s="508"/>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568" t="s">
        <v>872</v>
      </c>
      <c r="B551" s="11">
        <v>2</v>
      </c>
      <c r="C551" s="138" t="s">
        <v>705</v>
      </c>
      <c r="D551" s="142"/>
      <c r="E551" s="142">
        <v>0.96173452499784384</v>
      </c>
      <c r="F551" s="142">
        <v>0.949547172001034</v>
      </c>
      <c r="G551" s="142">
        <v>0.93849673400054612</v>
      </c>
      <c r="H551" s="142">
        <v>0.92766778564091124</v>
      </c>
      <c r="I551" s="142">
        <v>0.91680012001884892</v>
      </c>
      <c r="J551" s="513">
        <f t="shared" ref="J551:J563" si="145">(I551-100%)/5</f>
        <v>-1.6639975996230218E-2</v>
      </c>
      <c r="K551" s="516">
        <f t="shared" si="144"/>
        <v>-1.7223117235316776E-2</v>
      </c>
      <c r="L551" s="511">
        <v>-1.7223117235316776E-2</v>
      </c>
      <c r="M551" s="507"/>
      <c r="N551" s="507"/>
      <c r="O551" s="508"/>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568" t="s">
        <v>872</v>
      </c>
      <c r="B552" s="11">
        <v>3</v>
      </c>
      <c r="C552" s="138" t="s">
        <v>706</v>
      </c>
      <c r="D552" s="142"/>
      <c r="E552" s="142">
        <v>1.0707061745580608</v>
      </c>
      <c r="F552" s="142">
        <v>1.0961797739954167</v>
      </c>
      <c r="G552" s="142">
        <v>1.1120352164720533</v>
      </c>
      <c r="H552" s="142">
        <v>1.1172916519636134</v>
      </c>
      <c r="I552" s="142">
        <v>1.1228072524832799</v>
      </c>
      <c r="J552" s="513">
        <f t="shared" si="145"/>
        <v>2.4561450496655989E-2</v>
      </c>
      <c r="K552" s="516">
        <f t="shared" si="144"/>
        <v>2.3436830336478032E-2</v>
      </c>
      <c r="L552" s="511">
        <v>2.3436830336478032E-2</v>
      </c>
      <c r="M552" s="507"/>
      <c r="N552" s="507"/>
      <c r="O552" s="508"/>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568" t="s">
        <v>872</v>
      </c>
      <c r="B553" s="11">
        <v>4</v>
      </c>
      <c r="C553" s="138" t="s">
        <v>707</v>
      </c>
      <c r="D553" s="142"/>
      <c r="E553" s="142">
        <v>0.99704312080608826</v>
      </c>
      <c r="F553" s="142">
        <v>0.99705853203848904</v>
      </c>
      <c r="G553" s="142">
        <v>0.99472603914083957</v>
      </c>
      <c r="H553" s="142">
        <v>0.9891090180954597</v>
      </c>
      <c r="I553" s="142">
        <v>0.98354979851924307</v>
      </c>
      <c r="J553" s="513">
        <f t="shared" si="145"/>
        <v>-3.2900402961513866E-3</v>
      </c>
      <c r="K553" s="516">
        <f t="shared" si="144"/>
        <v>-3.3119051937137156E-3</v>
      </c>
      <c r="L553" s="511">
        <v>-3.3119051937137156E-3</v>
      </c>
      <c r="M553" s="507"/>
      <c r="N553" s="507"/>
      <c r="O553" s="508"/>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568" t="s">
        <v>872</v>
      </c>
      <c r="B554" s="11">
        <v>5</v>
      </c>
      <c r="C554" s="138" t="s">
        <v>708</v>
      </c>
      <c r="D554" s="142"/>
      <c r="E554" s="142">
        <v>0.99263087643060499</v>
      </c>
      <c r="F554" s="142">
        <v>0.99530151668079492</v>
      </c>
      <c r="G554" s="142">
        <v>0.99708461172748208</v>
      </c>
      <c r="H554" s="142">
        <v>0.99857946574262668</v>
      </c>
      <c r="I554" s="142">
        <v>1.0006058081967233</v>
      </c>
      <c r="J554" s="513">
        <f t="shared" si="145"/>
        <v>1.2116163934465796E-4</v>
      </c>
      <c r="K554" s="516">
        <f t="shared" si="144"/>
        <v>1.2113228972654433E-4</v>
      </c>
      <c r="L554" s="511">
        <v>1.2113228972654433E-4</v>
      </c>
      <c r="M554" s="507"/>
      <c r="N554" s="507"/>
      <c r="O554" s="508"/>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568" t="s">
        <v>872</v>
      </c>
      <c r="B555" s="11">
        <v>6</v>
      </c>
      <c r="C555" s="505" t="s">
        <v>709</v>
      </c>
      <c r="D555" s="506"/>
      <c r="E555" s="506">
        <v>1.0123419501207302</v>
      </c>
      <c r="F555" s="506">
        <v>1.0224746276334522</v>
      </c>
      <c r="G555" s="506">
        <v>1.0318096590054313</v>
      </c>
      <c r="H555" s="506">
        <v>1.040568100689119</v>
      </c>
      <c r="I555" s="506">
        <v>1.0491476885800255</v>
      </c>
      <c r="J555" s="519">
        <f t="shared" si="145"/>
        <v>9.8295377160050983E-3</v>
      </c>
      <c r="K555" s="520">
        <f t="shared" si="144"/>
        <v>9.641807463928842E-3</v>
      </c>
      <c r="L555" s="569">
        <v>9.6418074639288403E-3</v>
      </c>
      <c r="M555" s="507"/>
      <c r="N555" s="507"/>
      <c r="O555" s="508"/>
      <c r="P555" s="13"/>
      <c r="Q555" s="509"/>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568" t="s">
        <v>872</v>
      </c>
      <c r="B556" s="11">
        <v>7</v>
      </c>
      <c r="C556" s="138" t="s">
        <v>710</v>
      </c>
      <c r="D556" s="142"/>
      <c r="E556" s="142">
        <v>1.0234861902526262</v>
      </c>
      <c r="F556" s="142">
        <v>1.0362595252458171</v>
      </c>
      <c r="G556" s="142">
        <v>1.0484007089616401</v>
      </c>
      <c r="H556" s="142">
        <v>1.0594741481215733</v>
      </c>
      <c r="I556" s="142">
        <v>1.0705464348984648</v>
      </c>
      <c r="J556" s="513">
        <f t="shared" si="145"/>
        <v>1.4109286979692959E-2</v>
      </c>
      <c r="K556" s="516">
        <f t="shared" si="144"/>
        <v>1.372720562144969E-2</v>
      </c>
      <c r="L556" s="511">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568" t="s">
        <v>872</v>
      </c>
      <c r="B557" s="11">
        <v>8</v>
      </c>
      <c r="C557" s="138" t="s">
        <v>711</v>
      </c>
      <c r="D557" s="142"/>
      <c r="E557" s="142">
        <v>1.0327181385810218</v>
      </c>
      <c r="F557" s="142">
        <v>1.0462000918268668</v>
      </c>
      <c r="G557" s="142">
        <v>1.0579618766687933</v>
      </c>
      <c r="H557" s="142">
        <v>1.0679645783102321</v>
      </c>
      <c r="I557" s="142">
        <v>1.0772361012999514</v>
      </c>
      <c r="J557" s="513">
        <f t="shared" si="145"/>
        <v>1.544722025999028E-2</v>
      </c>
      <c r="K557" s="516">
        <f t="shared" si="144"/>
        <v>1.4990973227517745E-2</v>
      </c>
      <c r="L557" s="511">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568" t="s">
        <v>872</v>
      </c>
      <c r="B558" s="11">
        <v>9</v>
      </c>
      <c r="C558" s="138" t="s">
        <v>712</v>
      </c>
      <c r="D558" s="142"/>
      <c r="E558" s="142">
        <v>1.0231841082591016</v>
      </c>
      <c r="F558" s="142">
        <v>1.0358890289056439</v>
      </c>
      <c r="G558" s="142">
        <v>1.0481652070229122</v>
      </c>
      <c r="H558" s="142">
        <v>1.0592891805745575</v>
      </c>
      <c r="I558" s="142">
        <v>1.069681907109314</v>
      </c>
      <c r="J558" s="513">
        <f t="shared" si="145"/>
        <v>1.3936381421862798E-2</v>
      </c>
      <c r="K558" s="516">
        <f t="shared" si="144"/>
        <v>1.3563424108683053E-2</v>
      </c>
      <c r="L558" s="511">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568" t="s">
        <v>872</v>
      </c>
      <c r="B559" s="11">
        <v>10</v>
      </c>
      <c r="C559" s="138" t="s">
        <v>713</v>
      </c>
      <c r="D559" s="142"/>
      <c r="E559" s="142">
        <v>1.0341666734322146</v>
      </c>
      <c r="F559" s="142">
        <v>1.0480179725760268</v>
      </c>
      <c r="G559" s="142">
        <v>1.0601012155156095</v>
      </c>
      <c r="H559" s="142">
        <v>1.0702848288878077</v>
      </c>
      <c r="I559" s="142">
        <v>1.0797421461131422</v>
      </c>
      <c r="J559" s="513">
        <f t="shared" si="145"/>
        <v>1.5948429222628447E-2</v>
      </c>
      <c r="K559" s="516">
        <f t="shared" si="144"/>
        <v>1.5462782371323147E-2</v>
      </c>
      <c r="L559" s="511">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568" t="s">
        <v>872</v>
      </c>
      <c r="B560" s="11">
        <v>11</v>
      </c>
      <c r="C560" s="138" t="s">
        <v>714</v>
      </c>
      <c r="D560" s="142"/>
      <c r="E560" s="142">
        <v>1.0233409873632719</v>
      </c>
      <c r="F560" s="142">
        <v>1.0360814373748364</v>
      </c>
      <c r="G560" s="142">
        <v>1.0482875093579402</v>
      </c>
      <c r="H560" s="142">
        <v>1.0593852390742311</v>
      </c>
      <c r="I560" s="142">
        <v>1.0701308790705675</v>
      </c>
      <c r="J560" s="513">
        <f t="shared" si="145"/>
        <v>1.4026175814113495E-2</v>
      </c>
      <c r="K560" s="516">
        <f t="shared" si="144"/>
        <v>1.364849335671825E-2</v>
      </c>
      <c r="L560" s="511">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568" t="s">
        <v>872</v>
      </c>
      <c r="B561" s="11">
        <v>12</v>
      </c>
      <c r="C561" s="138" t="s">
        <v>715</v>
      </c>
      <c r="D561" s="142"/>
      <c r="E561" s="142">
        <v>1.0334066911438702</v>
      </c>
      <c r="F561" s="142">
        <v>1.0470642108004322</v>
      </c>
      <c r="G561" s="142">
        <v>1.0589787988674986</v>
      </c>
      <c r="H561" s="142">
        <v>1.0690674958412283</v>
      </c>
      <c r="I561" s="142">
        <v>1.0784273350333435</v>
      </c>
      <c r="J561" s="513">
        <f t="shared" si="145"/>
        <v>1.5685467006668709E-2</v>
      </c>
      <c r="K561" s="516">
        <f t="shared" si="144"/>
        <v>1.5215354312122953E-2</v>
      </c>
      <c r="L561" s="511">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568" t="s">
        <v>872</v>
      </c>
      <c r="B562" s="11">
        <v>13</v>
      </c>
      <c r="C562" s="138" t="s">
        <v>716</v>
      </c>
      <c r="D562" s="142"/>
      <c r="E562" s="142">
        <v>1.0535754755454367</v>
      </c>
      <c r="F562" s="142">
        <v>1.079128927735721</v>
      </c>
      <c r="G562" s="142">
        <v>1.10377830980113</v>
      </c>
      <c r="H562" s="142">
        <v>1.1267313398994689</v>
      </c>
      <c r="I562" s="142">
        <v>1.1493400902365778</v>
      </c>
      <c r="J562" s="513">
        <f t="shared" si="145"/>
        <v>2.9868018047315557E-2</v>
      </c>
      <c r="K562" s="516">
        <f t="shared" si="144"/>
        <v>2.8228674820024224E-2</v>
      </c>
      <c r="L562" s="511">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402">
        <v>14</v>
      </c>
      <c r="C563" s="138" t="s">
        <v>717</v>
      </c>
      <c r="D563" s="142"/>
      <c r="E563" s="142">
        <v>1.0081055095898279</v>
      </c>
      <c r="F563" s="142">
        <v>1.0157451629461605</v>
      </c>
      <c r="G563" s="142">
        <v>1.0222827798035592</v>
      </c>
      <c r="H563" s="142">
        <v>1.0276922014787842</v>
      </c>
      <c r="I563" s="142">
        <v>1.032997413899986</v>
      </c>
      <c r="J563" s="513">
        <f t="shared" si="145"/>
        <v>6.5994827799972008E-3</v>
      </c>
      <c r="K563" s="516">
        <f t="shared" si="144"/>
        <v>6.5140621434043311E-3</v>
      </c>
      <c r="L563" s="511">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514" t="s">
        <v>718</v>
      </c>
      <c r="K564" s="6"/>
      <c r="L564" s="339" t="s">
        <v>719</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39" t="s">
        <v>720</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39" t="s">
        <v>721</v>
      </c>
      <c r="M566" s="13"/>
      <c r="N566" s="13"/>
      <c r="O566" s="13"/>
      <c r="P566" s="13"/>
      <c r="Q566" s="13"/>
      <c r="R566" s="510"/>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521" t="s">
        <v>722</v>
      </c>
      <c r="E567" s="15"/>
      <c r="L567" s="339" t="s">
        <v>723</v>
      </c>
      <c r="M567" s="13"/>
      <c r="N567" s="13"/>
      <c r="O567" s="13"/>
      <c r="P567" s="13"/>
      <c r="Q567" s="13"/>
      <c r="R567" s="510"/>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39" t="s">
        <v>724</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39"/>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39" t="s">
        <v>725</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39" t="s">
        <v>726</v>
      </c>
      <c r="M571" s="13"/>
      <c r="N571" s="13"/>
      <c r="O571" s="590"/>
      <c r="P571" s="591" t="s">
        <v>889</v>
      </c>
      <c r="Q571" s="592"/>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595" t="s">
        <v>698</v>
      </c>
      <c r="P572" s="595" t="s">
        <v>699</v>
      </c>
      <c r="Q572" s="596" t="s">
        <v>890</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566"/>
      <c r="B573" s="567"/>
      <c r="C573" s="138" t="s">
        <v>704</v>
      </c>
      <c r="D573" s="589"/>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13">
        <f>(N573-100%)/10</f>
        <v>6.0996339197137541E-3</v>
      </c>
      <c r="P573" s="516">
        <f>(N573/100%)^(1/10)-1</f>
        <v>5.9384037531065026E-3</v>
      </c>
      <c r="Q573" s="593">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568" t="s">
        <v>888</v>
      </c>
      <c r="C574" s="138" t="s">
        <v>705</v>
      </c>
      <c r="D574" s="589"/>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13">
        <f t="shared" ref="O574:O586" si="146">(N574-100%)/10</f>
        <v>-6.0280923298853817E-3</v>
      </c>
      <c r="P574" s="516">
        <f t="shared" ref="P574:P586" si="147">(N574/100%)^(1/10)-1</f>
        <v>-6.1981420710855994E-3</v>
      </c>
      <c r="Q574" s="593">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568" t="s">
        <v>888</v>
      </c>
      <c r="C575" s="138" t="s">
        <v>706</v>
      </c>
      <c r="D575" s="589"/>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13">
        <f t="shared" si="146"/>
        <v>1.5087615236704566E-2</v>
      </c>
      <c r="P575" s="516">
        <f t="shared" si="147"/>
        <v>1.4151550808456648E-2</v>
      </c>
      <c r="Q575" s="593">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568" t="s">
        <v>888</v>
      </c>
      <c r="C576" s="138" t="s">
        <v>707</v>
      </c>
      <c r="D576" s="589"/>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13">
        <f t="shared" si="146"/>
        <v>8.1374209845206378E-4</v>
      </c>
      <c r="P576" s="516">
        <f t="shared" si="147"/>
        <v>8.1077757246905691E-4</v>
      </c>
      <c r="Q576" s="593">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568" t="s">
        <v>888</v>
      </c>
      <c r="C577" s="138" t="s">
        <v>708</v>
      </c>
      <c r="D577" s="589"/>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13">
        <f t="shared" si="146"/>
        <v>2.5619811438394092E-3</v>
      </c>
      <c r="P577" s="516">
        <f t="shared" si="147"/>
        <v>2.5329148145079028E-3</v>
      </c>
      <c r="Q577" s="593">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568" t="s">
        <v>888</v>
      </c>
      <c r="C578" s="505" t="s">
        <v>709</v>
      </c>
      <c r="D578" s="506"/>
      <c r="E578" s="506">
        <v>1.0123419501207302</v>
      </c>
      <c r="F578" s="506">
        <v>1.0224746276334522</v>
      </c>
      <c r="G578" s="506">
        <v>1.0318096590054313</v>
      </c>
      <c r="H578" s="506">
        <v>1.040568100689119</v>
      </c>
      <c r="I578" s="506">
        <v>1.0491476885800255</v>
      </c>
      <c r="J578" s="506">
        <v>1.0546473961073131</v>
      </c>
      <c r="K578" s="506">
        <v>1.0600156863772707</v>
      </c>
      <c r="L578" s="506">
        <v>1.0652587749595908</v>
      </c>
      <c r="M578" s="506">
        <v>1.0703773048442411</v>
      </c>
      <c r="N578" s="506">
        <v>1.0753751834317971</v>
      </c>
      <c r="O578" s="519">
        <f t="shared" si="146"/>
        <v>7.5375183431797051E-3</v>
      </c>
      <c r="P578" s="520">
        <f t="shared" si="147"/>
        <v>7.2934292896156272E-3</v>
      </c>
      <c r="Q578" s="520">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568" t="s">
        <v>888</v>
      </c>
      <c r="C579" s="138" t="s">
        <v>710</v>
      </c>
      <c r="D579" s="589"/>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13">
        <f t="shared" si="146"/>
        <v>9.7308873986410305E-3</v>
      </c>
      <c r="P579" s="516">
        <f t="shared" si="147"/>
        <v>9.3293197294876951E-3</v>
      </c>
      <c r="Q579" s="593">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568" t="s">
        <v>888</v>
      </c>
      <c r="C580" s="138" t="s">
        <v>711</v>
      </c>
      <c r="D580" s="589"/>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13">
        <f t="shared" si="146"/>
        <v>1.0416577441320607E-2</v>
      </c>
      <c r="P580" s="516">
        <f t="shared" si="147"/>
        <v>9.95826625164975E-3</v>
      </c>
      <c r="Q580" s="593">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568" t="s">
        <v>888</v>
      </c>
      <c r="C581" s="138" t="s">
        <v>712</v>
      </c>
      <c r="D581" s="589"/>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13">
        <f t="shared" si="146"/>
        <v>9.64227339891921E-3</v>
      </c>
      <c r="P581" s="516">
        <f t="shared" si="147"/>
        <v>9.2477809488915597E-3</v>
      </c>
      <c r="Q581" s="593">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568" t="s">
        <v>888</v>
      </c>
      <c r="C582" s="138" t="s">
        <v>713</v>
      </c>
      <c r="D582" s="589"/>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13">
        <f t="shared" si="146"/>
        <v>1.0673446748664817E-2</v>
      </c>
      <c r="P582" s="516">
        <f t="shared" si="147"/>
        <v>1.0192973847719333E-2</v>
      </c>
      <c r="Q582" s="593">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568" t="s">
        <v>888</v>
      </c>
      <c r="C583" s="138" t="s">
        <v>714</v>
      </c>
      <c r="D583" s="589"/>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13">
        <f t="shared" si="146"/>
        <v>9.6882929737077683E-3</v>
      </c>
      <c r="P583" s="516">
        <f t="shared" si="147"/>
        <v>9.2901335764377091E-3</v>
      </c>
      <c r="Q583" s="593">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568" t="s">
        <v>888</v>
      </c>
      <c r="C584" s="138" t="s">
        <v>715</v>
      </c>
      <c r="D584" s="589"/>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13">
        <f t="shared" si="146"/>
        <v>1.0538678763041154E-2</v>
      </c>
      <c r="P584" s="516">
        <f t="shared" si="147"/>
        <v>1.0069894342066732E-2</v>
      </c>
      <c r="Q584" s="593">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568" t="s">
        <v>888</v>
      </c>
      <c r="C585" s="138" t="s">
        <v>716</v>
      </c>
      <c r="D585" s="589"/>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13">
        <f t="shared" si="146"/>
        <v>1.7807228078299507E-2</v>
      </c>
      <c r="P585" s="516">
        <f t="shared" si="147"/>
        <v>1.6522963134986579E-2</v>
      </c>
      <c r="Q585" s="593">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402"/>
      <c r="C586" s="138" t="s">
        <v>717</v>
      </c>
      <c r="D586" s="589"/>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13">
        <f t="shared" si="146"/>
        <v>5.8821170316610384E-3</v>
      </c>
      <c r="P586" s="516">
        <f t="shared" si="147"/>
        <v>5.7319838926312983E-3</v>
      </c>
      <c r="Q586" s="593">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514" t="s">
        <v>718</v>
      </c>
      <c r="P587" s="514" t="s">
        <v>718</v>
      </c>
      <c r="Q587" s="594"/>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514" t="s">
        <v>891</v>
      </c>
      <c r="P588" s="514" t="s">
        <v>891</v>
      </c>
      <c r="Q588" s="594"/>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594" t="s">
        <v>725</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594" t="s">
        <v>726</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24"/>
  <sheetViews>
    <sheetView showGridLines="0" tabSelected="1" zoomScale="70" zoomScaleNormal="70" workbookViewId="0">
      <selection activeCell="B1" sqref="B1"/>
    </sheetView>
  </sheetViews>
  <sheetFormatPr defaultRowHeight="15" x14ac:dyDescent="0.25"/>
  <cols>
    <col min="1" max="1" width="2.42578125" customWidth="1"/>
    <col min="2" max="2" width="5.85546875" customWidth="1"/>
    <col min="3" max="3" width="55.28515625" customWidth="1"/>
    <col min="4" max="4" width="19.42578125" customWidth="1"/>
    <col min="5" max="5" width="15.140625" customWidth="1"/>
    <col min="6" max="6" width="14.5703125" customWidth="1"/>
    <col min="7" max="7" width="15.42578125" customWidth="1"/>
    <col min="8" max="8" width="17.140625" customWidth="1"/>
    <col min="9" max="9" width="14.5703125" customWidth="1"/>
    <col min="10" max="10" width="18.28515625" customWidth="1"/>
    <col min="11" max="11" width="16.42578125" customWidth="1"/>
    <col min="12" max="18" width="13.42578125" customWidth="1"/>
    <col min="19" max="19" width="3.42578125" customWidth="1"/>
  </cols>
  <sheetData>
    <row r="1" spans="2:19" ht="30" customHeight="1" x14ac:dyDescent="0.25">
      <c r="B1" s="761" t="s">
        <v>1061</v>
      </c>
    </row>
    <row r="2" spans="2:19" ht="30" customHeight="1" x14ac:dyDescent="0.25">
      <c r="B2" s="154" t="s">
        <v>32</v>
      </c>
      <c r="C2" s="154"/>
      <c r="D2" s="153"/>
      <c r="E2" s="170"/>
      <c r="F2" s="153"/>
      <c r="G2" s="153"/>
      <c r="H2" s="153"/>
      <c r="I2" s="153"/>
      <c r="J2" s="153"/>
      <c r="K2" s="153"/>
      <c r="L2" s="153"/>
      <c r="M2" s="153"/>
      <c r="N2" s="153"/>
      <c r="O2" s="153"/>
      <c r="P2" s="153"/>
      <c r="Q2" s="153"/>
      <c r="R2" s="153"/>
    </row>
    <row r="4" spans="2:19" x14ac:dyDescent="0.25">
      <c r="B4" s="155" t="s">
        <v>33</v>
      </c>
      <c r="C4" s="329"/>
      <c r="D4" s="329"/>
      <c r="E4" s="329"/>
      <c r="F4" s="329"/>
      <c r="G4" s="329"/>
      <c r="H4" s="329"/>
      <c r="I4" s="329"/>
      <c r="J4" s="329"/>
      <c r="K4" s="329"/>
      <c r="L4" s="329"/>
      <c r="M4" s="329"/>
      <c r="N4" s="329"/>
      <c r="O4" s="329"/>
      <c r="P4" s="329"/>
      <c r="Q4" s="329"/>
      <c r="R4" s="329"/>
      <c r="S4" s="159"/>
    </row>
    <row r="5" spans="2:19" x14ac:dyDescent="0.25">
      <c r="B5" s="159"/>
      <c r="C5" t="s">
        <v>34</v>
      </c>
      <c r="S5" s="159"/>
    </row>
    <row r="6" spans="2:19" x14ac:dyDescent="0.25">
      <c r="B6" s="159"/>
      <c r="C6" t="s">
        <v>35</v>
      </c>
      <c r="S6" s="159"/>
    </row>
    <row r="7" spans="2:19" x14ac:dyDescent="0.25">
      <c r="B7" s="159"/>
      <c r="C7" t="s">
        <v>36</v>
      </c>
      <c r="S7" s="159"/>
    </row>
    <row r="8" spans="2:19" x14ac:dyDescent="0.25">
      <c r="B8" s="160"/>
      <c r="C8" s="161"/>
      <c r="D8" s="161"/>
      <c r="E8" s="161"/>
      <c r="F8" s="161"/>
      <c r="G8" s="161"/>
      <c r="H8" s="161"/>
      <c r="I8" s="161"/>
      <c r="J8" s="161"/>
      <c r="K8" s="161"/>
      <c r="L8" s="161"/>
      <c r="M8" s="161"/>
      <c r="N8" s="161"/>
      <c r="O8" s="161"/>
      <c r="P8" s="161"/>
      <c r="Q8" s="161"/>
      <c r="R8" s="161"/>
      <c r="S8" s="159"/>
    </row>
    <row r="10" spans="2:19" x14ac:dyDescent="0.25">
      <c r="B10" s="155" t="s">
        <v>37</v>
      </c>
      <c r="C10" s="329"/>
      <c r="D10" s="329"/>
      <c r="E10" s="329"/>
      <c r="F10" s="329"/>
      <c r="G10" s="329"/>
      <c r="H10" s="329"/>
      <c r="I10" s="329"/>
      <c r="J10" s="329"/>
      <c r="K10" s="329"/>
      <c r="L10" s="329"/>
      <c r="M10" s="329"/>
      <c r="N10" s="329"/>
      <c r="O10" s="329"/>
      <c r="P10" s="329"/>
      <c r="Q10" s="329"/>
      <c r="R10" s="329"/>
      <c r="S10" s="159"/>
    </row>
    <row r="11" spans="2:19" x14ac:dyDescent="0.25">
      <c r="B11" s="157"/>
      <c r="C11" t="s">
        <v>38</v>
      </c>
      <c r="E11" s="150" t="s">
        <v>39</v>
      </c>
      <c r="S11" s="159"/>
    </row>
    <row r="12" spans="2:19" x14ac:dyDescent="0.25">
      <c r="B12" s="157"/>
      <c r="C12" t="s">
        <v>40</v>
      </c>
      <c r="E12" s="150" t="s">
        <v>41</v>
      </c>
      <c r="G12" s="128">
        <f>'Population selection'!F14</f>
        <v>45219492</v>
      </c>
      <c r="H12" t="str">
        <f>C25&amp;" population based on selection on left using mid-2022 ONS data"</f>
        <v>Adult population population based on selection on left using mid-2022 ONS data</v>
      </c>
      <c r="S12" s="159"/>
    </row>
    <row r="13" spans="2:19" x14ac:dyDescent="0.25">
      <c r="B13" s="157"/>
      <c r="E13" s="597"/>
      <c r="G13" s="673">
        <f>2.05533586601874%</f>
        <v>2.0553358660187402E-2</v>
      </c>
      <c r="H13" t="s">
        <v>892</v>
      </c>
      <c r="S13" s="159"/>
    </row>
    <row r="14" spans="2:19" x14ac:dyDescent="0.25">
      <c r="B14" s="157"/>
      <c r="C14" s="148"/>
      <c r="G14" s="128">
        <f>(100%+G13)*G12</f>
        <v>46148904.437507473</v>
      </c>
      <c r="H14" t="s">
        <v>895</v>
      </c>
      <c r="S14" s="159"/>
    </row>
    <row r="15" spans="2:19" x14ac:dyDescent="0.25">
      <c r="B15" s="159"/>
      <c r="C15" t="s">
        <v>42</v>
      </c>
      <c r="E15" s="674" t="s">
        <v>43</v>
      </c>
      <c r="F15" s="169" t="str">
        <f>IF(E15="yes","","If no, enter current locality population below")</f>
        <v/>
      </c>
      <c r="S15" s="159"/>
    </row>
    <row r="16" spans="2:19" x14ac:dyDescent="0.25">
      <c r="B16" s="159"/>
      <c r="F16" s="169" t="str">
        <f>IF(AND(NOT(ISBLANK(E17)),E15="yes"),"error - change cell above to 'no'","")</f>
        <v/>
      </c>
      <c r="S16" s="159"/>
    </row>
    <row r="17" spans="2:19" x14ac:dyDescent="0.25">
      <c r="B17" s="159"/>
      <c r="C17" t="str">
        <f>"Manually entered current locality population "&amp;IF(E15="no","","(n/a)")</f>
        <v>Manually entered current locality population (n/a)</v>
      </c>
      <c r="E17" s="675"/>
      <c r="F17" s="169" t="str">
        <f>IF(E15="yes","Leave blue cell on left blank if NICE estimate is used","")</f>
        <v>Leave blue cell on left blank if NICE estimate is used</v>
      </c>
      <c r="S17" s="159"/>
    </row>
    <row r="18" spans="2:19" x14ac:dyDescent="0.25">
      <c r="B18" s="159"/>
      <c r="F18" s="169" t="str">
        <f>IF(AND(ISBLANK(E17),E15="no"),"error - enter current locality population above","")</f>
        <v/>
      </c>
      <c r="S18" s="159"/>
    </row>
    <row r="19" spans="2:19" x14ac:dyDescent="0.25">
      <c r="B19" s="159"/>
      <c r="C19" t="s">
        <v>893</v>
      </c>
      <c r="D19" s="151"/>
      <c r="E19" s="673">
        <v>9.6418074639288403E-3</v>
      </c>
      <c r="F19" t="str">
        <f>IF(E19=0.00964180746392884,"Enter local value or delete the NICE assumption if required","Local value")</f>
        <v>Enter local value or delete the NICE assumption if required</v>
      </c>
      <c r="S19" s="159"/>
    </row>
    <row r="20" spans="2:19" x14ac:dyDescent="0.25">
      <c r="B20" s="159"/>
      <c r="C20" t="s">
        <v>894</v>
      </c>
      <c r="D20" s="151"/>
      <c r="E20" s="673"/>
      <c r="F20" t="str">
        <f>IF(E20=0,"Enter local value or delete the NICE assumption if required","Local value")</f>
        <v>Enter local value or delete the NICE assumption if required</v>
      </c>
      <c r="S20" s="159"/>
    </row>
    <row r="21" spans="2:19" x14ac:dyDescent="0.25">
      <c r="B21" s="160"/>
      <c r="C21" s="161"/>
      <c r="D21" s="161"/>
      <c r="E21" s="161"/>
      <c r="F21" s="161"/>
      <c r="G21" s="161"/>
      <c r="H21" s="161"/>
      <c r="I21" s="161"/>
      <c r="J21" s="161"/>
      <c r="K21" s="161"/>
      <c r="L21" s="161"/>
      <c r="M21" s="161"/>
      <c r="N21" s="161"/>
      <c r="O21" s="161"/>
      <c r="P21" s="161"/>
      <c r="Q21" s="161"/>
      <c r="R21" s="161"/>
      <c r="S21" s="159"/>
    </row>
    <row r="23" spans="2:19" x14ac:dyDescent="0.25">
      <c r="B23" s="155" t="s">
        <v>44</v>
      </c>
      <c r="C23" s="329"/>
      <c r="D23" s="329"/>
      <c r="E23" s="329"/>
      <c r="F23" s="329"/>
      <c r="G23" s="329"/>
      <c r="H23" s="329"/>
      <c r="I23" s="329"/>
      <c r="J23" s="329"/>
      <c r="K23" s="329"/>
      <c r="L23" s="329"/>
      <c r="M23" s="329"/>
      <c r="N23" s="329"/>
      <c r="O23" s="329"/>
      <c r="P23" s="329"/>
      <c r="Q23" s="329"/>
      <c r="R23" s="329"/>
      <c r="S23" s="159"/>
    </row>
    <row r="24" spans="2:19" ht="84.95" customHeight="1" x14ac:dyDescent="0.25">
      <c r="B24" s="157"/>
      <c r="F24" s="240" t="s">
        <v>45</v>
      </c>
      <c r="G24" s="164" t="s">
        <v>46</v>
      </c>
      <c r="H24" s="228" t="s">
        <v>47</v>
      </c>
      <c r="I24" s="405"/>
      <c r="J24" s="405"/>
      <c r="K24" s="405"/>
      <c r="L24" s="405"/>
      <c r="M24" s="405"/>
      <c r="N24" s="405"/>
      <c r="O24" s="405"/>
      <c r="P24" s="405"/>
      <c r="Q24" s="405"/>
      <c r="R24" s="405"/>
      <c r="S24" s="159"/>
    </row>
    <row r="25" spans="2:19" x14ac:dyDescent="0.25">
      <c r="B25" s="157"/>
      <c r="C25" s="239" t="s">
        <v>1050</v>
      </c>
      <c r="D25" s="242"/>
      <c r="E25" s="167"/>
      <c r="F25" s="128">
        <f>IF(ISBLANK(E17),G14,'Population selection'!F16)</f>
        <v>46148904.437507473</v>
      </c>
      <c r="G25" s="241"/>
      <c r="H25" s="238" t="s">
        <v>48</v>
      </c>
      <c r="I25" s="197"/>
      <c r="J25" s="197"/>
      <c r="K25" s="197"/>
      <c r="L25" s="197"/>
      <c r="M25" s="197"/>
      <c r="N25" s="197"/>
      <c r="O25" s="197"/>
      <c r="P25" s="197"/>
      <c r="Q25" s="197"/>
      <c r="R25" s="197"/>
      <c r="S25" s="159"/>
    </row>
    <row r="26" spans="2:19" x14ac:dyDescent="0.25">
      <c r="B26" s="157"/>
      <c r="C26" s="598" t="s">
        <v>1051</v>
      </c>
      <c r="D26" s="243"/>
      <c r="E26" s="167"/>
      <c r="F26" s="208"/>
      <c r="G26" s="128">
        <f>K49</f>
        <v>48417016.421111427</v>
      </c>
      <c r="H26" s="238" t="s">
        <v>48</v>
      </c>
      <c r="I26" s="161"/>
      <c r="J26" s="161"/>
      <c r="K26" s="161"/>
      <c r="L26" s="161"/>
      <c r="M26" s="161"/>
      <c r="N26" s="161"/>
      <c r="O26" s="161"/>
      <c r="P26" s="161"/>
      <c r="Q26" s="161"/>
      <c r="R26" s="161"/>
      <c r="S26" s="159"/>
    </row>
    <row r="27" spans="2:19" x14ac:dyDescent="0.25">
      <c r="B27" s="159"/>
      <c r="C27" s="166" t="s">
        <v>1049</v>
      </c>
      <c r="D27" s="167"/>
      <c r="E27" s="673">
        <v>9.0116982205539419E-4</v>
      </c>
      <c r="F27" s="676">
        <f>F25*E27</f>
        <v>41588</v>
      </c>
      <c r="G27" s="676">
        <f>E27*G26</f>
        <v>43631.954072666085</v>
      </c>
      <c r="H27" s="822" t="s">
        <v>981</v>
      </c>
      <c r="I27" s="823"/>
      <c r="J27" s="823"/>
      <c r="K27" s="823"/>
      <c r="L27" s="823"/>
      <c r="M27" s="823"/>
      <c r="N27" s="823"/>
      <c r="O27" s="823"/>
      <c r="P27" s="823"/>
      <c r="Q27" s="823"/>
      <c r="R27" s="823"/>
      <c r="S27" s="159"/>
    </row>
    <row r="28" spans="2:19" ht="30" x14ac:dyDescent="0.25">
      <c r="B28" s="159"/>
      <c r="C28" s="166" t="s">
        <v>1096</v>
      </c>
      <c r="D28" s="167"/>
      <c r="E28" s="673">
        <v>0.26</v>
      </c>
      <c r="F28" s="676">
        <f>F27*E28</f>
        <v>10812.880000000001</v>
      </c>
      <c r="G28" s="676">
        <f>G27*E28</f>
        <v>11344.308058893183</v>
      </c>
      <c r="H28" s="737" t="s">
        <v>983</v>
      </c>
      <c r="I28" s="639"/>
      <c r="J28" s="639"/>
      <c r="K28" s="639"/>
      <c r="L28" s="639"/>
      <c r="M28" s="639"/>
      <c r="N28" s="639"/>
      <c r="O28" s="639"/>
      <c r="P28" s="639"/>
      <c r="Q28" s="639"/>
      <c r="R28" s="639"/>
      <c r="S28" s="159"/>
    </row>
    <row r="29" spans="2:19" ht="30" x14ac:dyDescent="0.25">
      <c r="B29" s="159"/>
      <c r="C29" s="166" t="s">
        <v>982</v>
      </c>
      <c r="D29" s="167"/>
      <c r="E29" s="673">
        <v>0.56000000000000005</v>
      </c>
      <c r="F29" s="676">
        <f>F27*E29</f>
        <v>23289.280000000002</v>
      </c>
      <c r="G29" s="676">
        <f>G27*E29</f>
        <v>24433.89428069301</v>
      </c>
      <c r="H29" s="355" t="s">
        <v>983</v>
      </c>
      <c r="I29" s="639"/>
      <c r="J29" s="639"/>
      <c r="K29" s="639"/>
      <c r="L29" s="639"/>
      <c r="M29" s="639"/>
      <c r="N29" s="639"/>
      <c r="O29" s="639"/>
      <c r="P29" s="639"/>
      <c r="Q29" s="639"/>
      <c r="R29" s="639"/>
      <c r="S29" s="159"/>
    </row>
    <row r="30" spans="2:19" x14ac:dyDescent="0.25">
      <c r="B30" s="159"/>
      <c r="C30" s="166" t="s">
        <v>984</v>
      </c>
      <c r="D30" s="167"/>
      <c r="E30" s="673">
        <v>0.55000000000000004</v>
      </c>
      <c r="F30" s="676">
        <f>F29*E30</f>
        <v>12809.104000000003</v>
      </c>
      <c r="G30" s="676">
        <f>G29*E30</f>
        <v>13438.641854381156</v>
      </c>
      <c r="H30" s="639" t="s">
        <v>985</v>
      </c>
      <c r="I30" s="639"/>
      <c r="J30" s="639"/>
      <c r="K30" s="639"/>
      <c r="L30" s="639"/>
      <c r="M30" s="639"/>
      <c r="N30" s="639"/>
      <c r="O30" s="639"/>
      <c r="P30" s="639"/>
      <c r="Q30" s="639"/>
      <c r="R30" s="639"/>
      <c r="S30" s="159"/>
    </row>
    <row r="31" spans="2:19" x14ac:dyDescent="0.25">
      <c r="B31" s="159"/>
      <c r="C31" s="166"/>
      <c r="D31" s="167"/>
      <c r="E31" s="673"/>
      <c r="F31" s="676"/>
      <c r="G31" s="676"/>
      <c r="H31" s="639"/>
      <c r="I31" s="639"/>
      <c r="J31" s="639"/>
      <c r="K31" s="639"/>
      <c r="L31" s="639"/>
      <c r="M31" s="639"/>
      <c r="N31" s="639"/>
      <c r="O31" s="639"/>
      <c r="P31" s="639"/>
      <c r="Q31" s="639"/>
      <c r="R31" s="639"/>
      <c r="S31" s="159"/>
    </row>
    <row r="32" spans="2:19" ht="30" x14ac:dyDescent="0.25">
      <c r="B32" s="159"/>
      <c r="C32" s="166" t="s">
        <v>988</v>
      </c>
      <c r="D32" s="167"/>
      <c r="E32" s="673"/>
      <c r="F32" s="676">
        <f>F30+F28</f>
        <v>23621.984000000004</v>
      </c>
      <c r="G32" s="676">
        <f>G30+G28</f>
        <v>24782.949913274337</v>
      </c>
      <c r="H32" s="639"/>
      <c r="I32" s="639"/>
      <c r="J32" s="639"/>
      <c r="K32" s="639"/>
      <c r="L32" s="639"/>
      <c r="M32" s="639"/>
      <c r="N32" s="639"/>
      <c r="O32" s="639"/>
      <c r="P32" s="639"/>
      <c r="Q32" s="639"/>
      <c r="R32" s="639"/>
      <c r="S32" s="159"/>
    </row>
    <row r="33" spans="2:19" x14ac:dyDescent="0.25">
      <c r="B33" s="159"/>
      <c r="C33" s="166"/>
      <c r="D33" s="167"/>
      <c r="E33" s="673"/>
      <c r="F33" s="676"/>
      <c r="G33" s="676"/>
      <c r="H33" s="639"/>
      <c r="I33" s="639"/>
      <c r="J33" s="639"/>
      <c r="K33" s="639"/>
      <c r="L33" s="639"/>
      <c r="M33" s="639"/>
      <c r="N33" s="639"/>
      <c r="O33" s="639"/>
      <c r="P33" s="639"/>
      <c r="Q33" s="639"/>
      <c r="R33" s="639"/>
      <c r="S33" s="159"/>
    </row>
    <row r="34" spans="2:19" x14ac:dyDescent="0.25">
      <c r="B34" s="159"/>
      <c r="C34" s="166" t="s">
        <v>986</v>
      </c>
      <c r="D34" s="167"/>
      <c r="E34" s="673">
        <v>0.6</v>
      </c>
      <c r="F34" s="676">
        <f>E34*F32</f>
        <v>14173.190400000001</v>
      </c>
      <c r="G34" s="676">
        <f>E34*G32</f>
        <v>14869.769947964602</v>
      </c>
      <c r="H34" s="639" t="s">
        <v>985</v>
      </c>
      <c r="I34" s="639"/>
      <c r="J34" s="639"/>
      <c r="K34" s="639"/>
      <c r="L34" s="639"/>
      <c r="M34" s="639"/>
      <c r="N34" s="639"/>
      <c r="O34" s="639"/>
      <c r="P34" s="639"/>
      <c r="Q34" s="639"/>
      <c r="R34" s="639"/>
      <c r="S34" s="159"/>
    </row>
    <row r="35" spans="2:19" x14ac:dyDescent="0.25">
      <c r="B35" s="159"/>
      <c r="C35" s="166" t="s">
        <v>1068</v>
      </c>
      <c r="D35" s="167"/>
      <c r="E35" s="673">
        <v>0.6</v>
      </c>
      <c r="F35" s="676">
        <f>E35*F34</f>
        <v>8503.9142400000001</v>
      </c>
      <c r="G35" s="676">
        <f>E35*G34</f>
        <v>8921.8619687787614</v>
      </c>
      <c r="H35" s="639" t="s">
        <v>985</v>
      </c>
      <c r="I35" s="639"/>
      <c r="J35" s="639"/>
      <c r="K35" s="639"/>
      <c r="L35" s="639"/>
      <c r="M35" s="639"/>
      <c r="N35" s="639"/>
      <c r="O35" s="639"/>
      <c r="P35" s="639"/>
      <c r="Q35" s="639"/>
      <c r="R35" s="639"/>
      <c r="S35" s="159"/>
    </row>
    <row r="36" spans="2:19" x14ac:dyDescent="0.25">
      <c r="B36" s="159"/>
      <c r="C36" s="166" t="s">
        <v>987</v>
      </c>
      <c r="D36" s="167"/>
      <c r="E36" s="673">
        <v>0.4</v>
      </c>
      <c r="F36" s="676">
        <f>E36*F35</f>
        <v>3401.5656960000001</v>
      </c>
      <c r="G36" s="676">
        <f>E36*G35</f>
        <v>3568.7447875115049</v>
      </c>
      <c r="H36" s="639" t="s">
        <v>985</v>
      </c>
      <c r="I36" s="639"/>
      <c r="J36" s="639"/>
      <c r="K36" s="639"/>
      <c r="L36" s="639"/>
      <c r="M36" s="639"/>
      <c r="N36" s="639"/>
      <c r="O36" s="639"/>
      <c r="P36" s="639"/>
      <c r="Q36" s="639"/>
      <c r="R36" s="639"/>
      <c r="S36" s="159"/>
    </row>
    <row r="37" spans="2:19" x14ac:dyDescent="0.25">
      <c r="B37" s="159"/>
      <c r="C37" s="166"/>
      <c r="D37" s="167"/>
      <c r="E37" s="352"/>
      <c r="F37" s="620"/>
      <c r="G37" s="128"/>
      <c r="H37" s="718"/>
      <c r="I37" s="197"/>
      <c r="J37" s="197"/>
      <c r="K37" s="197"/>
      <c r="L37" s="197"/>
      <c r="M37" s="197"/>
      <c r="N37" s="197"/>
      <c r="O37" s="197"/>
      <c r="P37" s="197"/>
      <c r="Q37" s="197"/>
      <c r="R37" s="197"/>
      <c r="S37" s="159"/>
    </row>
    <row r="38" spans="2:19" x14ac:dyDescent="0.25">
      <c r="B38" s="159"/>
      <c r="C38" s="227" t="s">
        <v>945</v>
      </c>
      <c r="D38" s="167"/>
      <c r="E38" s="352"/>
      <c r="F38" s="677">
        <f>F36</f>
        <v>3401.5656960000001</v>
      </c>
      <c r="G38" s="677">
        <f>G36</f>
        <v>3568.7447875115049</v>
      </c>
      <c r="H38" s="200"/>
      <c r="I38" s="197"/>
      <c r="J38" s="197"/>
      <c r="K38" s="197"/>
      <c r="L38" s="197"/>
      <c r="M38" s="197"/>
      <c r="N38" s="197"/>
      <c r="O38" s="197"/>
      <c r="P38" s="197"/>
      <c r="Q38" s="197"/>
      <c r="R38" s="197"/>
      <c r="S38" s="159"/>
    </row>
    <row r="39" spans="2:19" x14ac:dyDescent="0.25">
      <c r="B39" s="159"/>
      <c r="C39" s="357"/>
      <c r="E39" s="358"/>
      <c r="F39" s="359"/>
      <c r="G39" s="359"/>
      <c r="H39" s="190"/>
      <c r="S39" s="159"/>
    </row>
    <row r="40" spans="2:19" x14ac:dyDescent="0.25">
      <c r="B40" s="159"/>
      <c r="C40" s="357"/>
      <c r="E40" s="358"/>
      <c r="F40" s="359"/>
      <c r="G40" s="359"/>
      <c r="H40" s="190"/>
      <c r="S40" s="159"/>
    </row>
    <row r="41" spans="2:19" x14ac:dyDescent="0.25">
      <c r="B41" s="159"/>
      <c r="C41" s="357"/>
      <c r="E41" s="358"/>
      <c r="F41" s="359"/>
      <c r="G41" s="359"/>
      <c r="H41" s="190"/>
      <c r="S41" s="159"/>
    </row>
    <row r="42" spans="2:19" x14ac:dyDescent="0.25">
      <c r="B42" s="159"/>
      <c r="C42" t="s">
        <v>49</v>
      </c>
      <c r="F42" s="674" t="s">
        <v>43</v>
      </c>
      <c r="G42" s="359"/>
      <c r="H42" s="190"/>
      <c r="S42" s="159"/>
    </row>
    <row r="43" spans="2:19" x14ac:dyDescent="0.25">
      <c r="B43" s="159"/>
      <c r="C43" s="357"/>
      <c r="E43" s="358"/>
      <c r="F43" s="359"/>
      <c r="G43" s="359"/>
      <c r="H43" s="190"/>
      <c r="S43" s="159"/>
    </row>
    <row r="44" spans="2:19" x14ac:dyDescent="0.25">
      <c r="B44" s="159"/>
      <c r="C44" t="str">
        <f>"Manually entered current eligible population "&amp;IF(F43="no","","(n/a)")</f>
        <v>Manually entered current eligible population (n/a)</v>
      </c>
      <c r="F44" s="678"/>
      <c r="G44" s="547" t="str">
        <f>IF(F42="yes","Leave blue cell on left blank if NICE estimate is used","enter local value on left")</f>
        <v>Leave blue cell on left blank if NICE estimate is used</v>
      </c>
      <c r="S44" s="159"/>
    </row>
    <row r="45" spans="2:19" x14ac:dyDescent="0.25">
      <c r="B45" s="159"/>
      <c r="G45" s="548"/>
      <c r="S45" s="159"/>
    </row>
    <row r="46" spans="2:19" ht="45" x14ac:dyDescent="0.25">
      <c r="B46" s="159"/>
      <c r="C46" s="161"/>
      <c r="F46" s="236" t="s">
        <v>45</v>
      </c>
      <c r="G46" s="164" t="s">
        <v>50</v>
      </c>
      <c r="H46" s="164" t="s">
        <v>51</v>
      </c>
      <c r="I46" s="237" t="s">
        <v>52</v>
      </c>
      <c r="J46" s="164" t="s">
        <v>53</v>
      </c>
      <c r="K46" s="164" t="s">
        <v>54</v>
      </c>
      <c r="L46" s="549"/>
      <c r="M46" s="549"/>
      <c r="N46" s="549"/>
      <c r="O46" s="549"/>
      <c r="P46" s="549"/>
      <c r="Q46" s="549"/>
      <c r="S46" s="159"/>
    </row>
    <row r="47" spans="2:19" x14ac:dyDescent="0.25">
      <c r="B47" s="159"/>
      <c r="C47" s="238" t="s">
        <v>55</v>
      </c>
      <c r="D47" s="197"/>
      <c r="E47" s="167"/>
      <c r="F47" s="208"/>
      <c r="G47" s="352">
        <f>IF($E$19&lt;&gt;"",E19+100%,100%)</f>
        <v>1.0096418074639288</v>
      </c>
      <c r="H47" s="352">
        <f>IF($E$19&lt;&gt;"",G47*(100%+$E$19),100%)</f>
        <v>1.0193765793790293</v>
      </c>
      <c r="I47" s="352">
        <f>IF($E$19&lt;&gt;"",H47*(100%+$E$19),100%)</f>
        <v>1.0292052120906403</v>
      </c>
      <c r="J47" s="352">
        <f>IF($E$19&lt;&gt;"",I47*(100%+$E$19),100%)</f>
        <v>1.0391286105864903</v>
      </c>
      <c r="K47" s="352">
        <f>IF($E$19&lt;&gt;"",J47*(100%+$E$19),100%)</f>
        <v>1.0491476885800251</v>
      </c>
      <c r="L47" t="s">
        <v>56</v>
      </c>
      <c r="M47" s="545"/>
      <c r="N47" s="545"/>
      <c r="O47" s="545"/>
      <c r="P47" s="545"/>
      <c r="Q47" s="545"/>
      <c r="S47" s="159"/>
    </row>
    <row r="48" spans="2:19" x14ac:dyDescent="0.25">
      <c r="B48" s="159"/>
      <c r="C48" s="238" t="s">
        <v>57</v>
      </c>
      <c r="D48" s="197"/>
      <c r="E48" s="167"/>
      <c r="F48" s="208"/>
      <c r="G48" s="352">
        <f>IF(E20&lt;&gt;"",E20+100%,100%)</f>
        <v>1</v>
      </c>
      <c r="H48" s="352">
        <f>IF($E$20&lt;&gt;"",G48*(100%+$E$20),100%)</f>
        <v>1</v>
      </c>
      <c r="I48" s="352">
        <f>IF($E$20&lt;&gt;"",H48*(100%+$E$20),100%)</f>
        <v>1</v>
      </c>
      <c r="J48" s="352">
        <f>IF($E$20&lt;&gt;"",I48*(100%+$E$20),100%)</f>
        <v>1</v>
      </c>
      <c r="K48" s="352">
        <f>IF($E$20&lt;&gt;"",J48*(100%+$E$20),100%)</f>
        <v>1</v>
      </c>
      <c r="L48" t="s">
        <v>966</v>
      </c>
      <c r="M48" s="545"/>
      <c r="N48" s="545"/>
      <c r="O48" s="545"/>
      <c r="P48" s="545"/>
      <c r="Q48" s="545"/>
      <c r="S48" s="159"/>
    </row>
    <row r="49" spans="2:19" x14ac:dyDescent="0.25">
      <c r="B49" s="159"/>
      <c r="C49" s="403" t="str">
        <f>IF('Inputs and eligible population'!E17=0,"Baseline population (inflated by growth(s))","Manually entered locality population (inflated by growth(s))")</f>
        <v>Baseline population (inflated by growth(s))</v>
      </c>
      <c r="D49" s="197"/>
      <c r="E49" s="167"/>
      <c r="F49" s="128">
        <f>IF(ISBLANK(E17),G14,'Population selection'!F16)</f>
        <v>46148904.437507473</v>
      </c>
      <c r="G49" s="128">
        <f>F49*G47</f>
        <v>46593863.28876517</v>
      </c>
      <c r="H49" s="128">
        <f>F49*H47</f>
        <v>47043112.347596072</v>
      </c>
      <c r="I49" s="128">
        <f>F49*I47</f>
        <v>47496692.979355574</v>
      </c>
      <c r="J49" s="128">
        <f>F49*J47</f>
        <v>47954646.948235855</v>
      </c>
      <c r="K49" s="128">
        <f>F49*K47</f>
        <v>48417016.421111427</v>
      </c>
      <c r="M49" s="286"/>
      <c r="N49" s="286"/>
      <c r="O49" s="286"/>
      <c r="P49" s="286"/>
      <c r="Q49" s="286"/>
      <c r="S49" s="159"/>
    </row>
    <row r="50" spans="2:19" x14ac:dyDescent="0.25">
      <c r="B50" s="159"/>
      <c r="C50" s="227" t="str">
        <f>IF(ISBLANK(#REF!),"NICE estimate (4th Line)","Eligible population, local estimate")</f>
        <v>Eligible population, local estimate</v>
      </c>
      <c r="D50" s="197"/>
      <c r="E50" s="167"/>
      <c r="F50" s="181">
        <f>IF(ISBLANK(F44),F38,F44)</f>
        <v>3401.5656960000001</v>
      </c>
      <c r="G50" s="181">
        <f>$F$50*G47*G48</f>
        <v>3434.362937516737</v>
      </c>
      <c r="H50" s="181">
        <f>$F$50*H47*H48</f>
        <v>3467.4764037215268</v>
      </c>
      <c r="I50" s="181">
        <f>$F$50*I47*I48</f>
        <v>3500.9091435919267</v>
      </c>
      <c r="J50" s="181">
        <f>$F$50*J47*J48</f>
        <v>3534.6642355031481</v>
      </c>
      <c r="K50" s="181">
        <f>$F$50*K47*K48</f>
        <v>3568.7447875115045</v>
      </c>
      <c r="L50" s="169" t="str">
        <f>IF(F42="no","local estimate used","")</f>
        <v/>
      </c>
      <c r="M50" s="359"/>
      <c r="N50" s="359"/>
      <c r="O50" s="359"/>
      <c r="P50" s="359"/>
      <c r="Q50" s="359"/>
      <c r="S50" s="159"/>
    </row>
    <row r="51" spans="2:19" x14ac:dyDescent="0.25">
      <c r="B51" s="160"/>
      <c r="C51" s="161"/>
      <c r="D51" s="161"/>
      <c r="E51" s="161"/>
      <c r="F51" s="161"/>
      <c r="G51" s="161"/>
      <c r="H51" s="161"/>
      <c r="I51" s="161"/>
      <c r="J51" s="161"/>
      <c r="K51" s="161"/>
      <c r="L51" s="161"/>
      <c r="M51" s="161"/>
      <c r="N51" s="161"/>
      <c r="O51" s="161"/>
      <c r="P51" s="161"/>
      <c r="Q51" s="161"/>
      <c r="R51" s="161"/>
      <c r="S51" s="159"/>
    </row>
    <row r="54" spans="2:19" x14ac:dyDescent="0.25">
      <c r="B54" s="640" t="s">
        <v>58</v>
      </c>
      <c r="C54" s="329"/>
      <c r="D54" s="329"/>
      <c r="E54" s="329"/>
      <c r="F54" s="329"/>
      <c r="G54" s="329"/>
      <c r="H54" s="329"/>
      <c r="I54" s="329"/>
      <c r="J54" s="329"/>
      <c r="K54" s="329"/>
      <c r="L54" s="329"/>
      <c r="M54" s="329"/>
      <c r="N54" s="329"/>
      <c r="O54" s="329"/>
      <c r="P54" s="329"/>
      <c r="Q54" s="329"/>
      <c r="R54" s="156"/>
    </row>
    <row r="55" spans="2:19" ht="30" x14ac:dyDescent="0.25">
      <c r="B55" s="641"/>
      <c r="C55" s="208" t="s">
        <v>60</v>
      </c>
      <c r="D55" s="213" t="s">
        <v>61</v>
      </c>
      <c r="E55" s="209"/>
      <c r="F55" s="209"/>
      <c r="G55" s="209"/>
      <c r="H55" s="210"/>
      <c r="I55" s="211" t="s">
        <v>62</v>
      </c>
      <c r="J55" s="164" t="s">
        <v>63</v>
      </c>
      <c r="K55" s="211" t="s">
        <v>64</v>
      </c>
      <c r="R55" s="158"/>
    </row>
    <row r="56" spans="2:19" x14ac:dyDescent="0.25">
      <c r="B56" s="641"/>
      <c r="C56" s="348" t="s">
        <v>990</v>
      </c>
      <c r="D56" s="200" t="s">
        <v>999</v>
      </c>
      <c r="E56" s="201"/>
      <c r="F56" s="201"/>
      <c r="G56" s="201"/>
      <c r="H56" s="197"/>
      <c r="I56" s="679"/>
      <c r="J56" s="680">
        <v>0.2</v>
      </c>
      <c r="K56" s="149" t="s">
        <v>972</v>
      </c>
      <c r="L56" s="546"/>
      <c r="M56" s="546"/>
      <c r="N56" s="546"/>
      <c r="O56" s="546"/>
      <c r="R56" s="158"/>
    </row>
    <row r="57" spans="2:19" x14ac:dyDescent="0.25">
      <c r="B57" s="159"/>
      <c r="C57" s="348" t="s">
        <v>1000</v>
      </c>
      <c r="D57" s="200" t="s">
        <v>1009</v>
      </c>
      <c r="E57" s="201"/>
      <c r="F57" s="201"/>
      <c r="G57" s="201"/>
      <c r="H57" s="197"/>
      <c r="I57" s="679"/>
      <c r="J57" s="680">
        <v>0.2</v>
      </c>
      <c r="K57" s="149" t="s">
        <v>972</v>
      </c>
      <c r="L57" s="546"/>
      <c r="M57" s="546"/>
      <c r="N57" s="546"/>
      <c r="O57" s="546"/>
      <c r="R57" s="158"/>
    </row>
    <row r="58" spans="2:19" x14ac:dyDescent="0.25">
      <c r="B58" s="159"/>
      <c r="C58" s="348" t="s">
        <v>1001</v>
      </c>
      <c r="D58" s="200" t="s">
        <v>1009</v>
      </c>
      <c r="E58" s="201"/>
      <c r="F58" s="201"/>
      <c r="G58" s="201"/>
      <c r="H58" s="197"/>
      <c r="I58" s="679"/>
      <c r="J58" s="680">
        <v>0.2</v>
      </c>
      <c r="K58" s="149" t="s">
        <v>972</v>
      </c>
      <c r="L58" s="546"/>
      <c r="M58" s="546"/>
      <c r="N58" s="546"/>
      <c r="O58" s="546"/>
      <c r="R58" s="158"/>
    </row>
    <row r="59" spans="2:19" x14ac:dyDescent="0.25">
      <c r="B59" s="159"/>
      <c r="C59" s="348" t="s">
        <v>1002</v>
      </c>
      <c r="D59" s="200" t="s">
        <v>1009</v>
      </c>
      <c r="E59" s="201"/>
      <c r="F59" s="201"/>
      <c r="G59" s="201"/>
      <c r="H59" s="197"/>
      <c r="I59" s="679"/>
      <c r="J59" s="680">
        <v>0.2</v>
      </c>
      <c r="K59" s="149" t="s">
        <v>972</v>
      </c>
      <c r="L59" s="546"/>
      <c r="M59" s="546"/>
      <c r="N59" s="546"/>
      <c r="O59" s="546"/>
      <c r="R59" s="158"/>
    </row>
    <row r="60" spans="2:19" x14ac:dyDescent="0.25">
      <c r="B60" s="159"/>
      <c r="C60" s="348" t="s">
        <v>1003</v>
      </c>
      <c r="D60" s="200" t="s">
        <v>1009</v>
      </c>
      <c r="E60" s="201"/>
      <c r="F60" s="201"/>
      <c r="G60" s="201"/>
      <c r="H60" s="197"/>
      <c r="I60" s="679"/>
      <c r="J60" s="680">
        <v>0.2</v>
      </c>
      <c r="K60" s="149" t="s">
        <v>972</v>
      </c>
      <c r="L60" s="546"/>
      <c r="M60" s="546"/>
      <c r="N60" s="546"/>
      <c r="O60" s="546"/>
      <c r="R60" s="158"/>
    </row>
    <row r="61" spans="2:19" x14ac:dyDescent="0.25">
      <c r="B61" s="159"/>
      <c r="C61" s="348" t="s">
        <v>1004</v>
      </c>
      <c r="D61" s="200" t="s">
        <v>1009</v>
      </c>
      <c r="E61" s="201"/>
      <c r="F61" s="201"/>
      <c r="G61" s="201"/>
      <c r="H61" s="197"/>
      <c r="I61" s="679"/>
      <c r="J61" s="680">
        <v>0.2</v>
      </c>
      <c r="K61" s="149" t="s">
        <v>972</v>
      </c>
      <c r="L61" s="546"/>
      <c r="M61" s="546"/>
      <c r="N61" s="546"/>
      <c r="O61" s="546"/>
      <c r="R61" s="158"/>
    </row>
    <row r="62" spans="2:19" x14ac:dyDescent="0.25">
      <c r="B62" s="159"/>
      <c r="C62" s="348" t="s">
        <v>1005</v>
      </c>
      <c r="D62" s="200" t="s">
        <v>1009</v>
      </c>
      <c r="E62" s="201"/>
      <c r="F62" s="201"/>
      <c r="G62" s="201"/>
      <c r="H62" s="197"/>
      <c r="I62" s="679"/>
      <c r="J62" s="680">
        <v>0.2</v>
      </c>
      <c r="K62" s="149" t="s">
        <v>972</v>
      </c>
      <c r="L62" s="546"/>
      <c r="M62" s="546"/>
      <c r="N62" s="546"/>
      <c r="O62" s="546"/>
      <c r="R62" s="158"/>
    </row>
    <row r="63" spans="2:19" x14ac:dyDescent="0.25">
      <c r="B63" s="159"/>
      <c r="C63" s="348" t="s">
        <v>989</v>
      </c>
      <c r="D63" s="200" t="s">
        <v>1010</v>
      </c>
      <c r="E63" s="201"/>
      <c r="F63" s="201"/>
      <c r="G63" s="201"/>
      <c r="H63" s="197"/>
      <c r="I63" s="679"/>
      <c r="J63" s="680">
        <v>0.2</v>
      </c>
      <c r="K63" s="149" t="s">
        <v>972</v>
      </c>
      <c r="L63" s="546"/>
      <c r="M63" s="546"/>
      <c r="N63" s="546"/>
      <c r="O63" s="546"/>
      <c r="R63" s="158"/>
    </row>
    <row r="64" spans="2:19" x14ac:dyDescent="0.25">
      <c r="B64" s="159"/>
      <c r="C64" s="194"/>
      <c r="D64" s="151"/>
      <c r="E64" s="151"/>
      <c r="F64" s="151"/>
      <c r="G64" s="151"/>
      <c r="R64" s="158"/>
    </row>
    <row r="65" spans="2:18" x14ac:dyDescent="0.25">
      <c r="B65" s="159"/>
      <c r="C65" s="199" t="s">
        <v>65</v>
      </c>
      <c r="D65" s="642">
        <v>74</v>
      </c>
      <c r="E65" s="200"/>
      <c r="F65" s="201"/>
      <c r="G65" s="201"/>
      <c r="H65" s="167"/>
      <c r="R65" s="158"/>
    </row>
    <row r="66" spans="2:18" ht="17.25" x14ac:dyDescent="0.25">
      <c r="B66" s="159"/>
      <c r="C66" s="199" t="s">
        <v>66</v>
      </c>
      <c r="D66" s="818">
        <v>1.83</v>
      </c>
      <c r="E66" s="200"/>
      <c r="F66" s="201"/>
      <c r="G66" s="201"/>
      <c r="H66" s="167"/>
      <c r="R66" s="158"/>
    </row>
    <row r="67" spans="2:18" x14ac:dyDescent="0.25">
      <c r="B67" s="159"/>
      <c r="R67" s="158"/>
    </row>
    <row r="68" spans="2:18" x14ac:dyDescent="0.25">
      <c r="B68" s="159"/>
      <c r="C68" s="148" t="s">
        <v>968</v>
      </c>
      <c r="R68" s="158"/>
    </row>
    <row r="69" spans="2:18" x14ac:dyDescent="0.25">
      <c r="B69" s="159"/>
      <c r="D69" s="364" t="s">
        <v>67</v>
      </c>
      <c r="E69" s="212" t="s">
        <v>68</v>
      </c>
      <c r="F69" s="212" t="s">
        <v>69</v>
      </c>
      <c r="G69" s="212" t="s">
        <v>70</v>
      </c>
      <c r="H69" s="212" t="s">
        <v>71</v>
      </c>
      <c r="I69" s="211" t="s">
        <v>72</v>
      </c>
      <c r="J69" s="211" t="s">
        <v>73</v>
      </c>
      <c r="L69" s="211" t="s">
        <v>68</v>
      </c>
      <c r="M69" s="657" t="s">
        <v>69</v>
      </c>
      <c r="N69" s="212" t="s">
        <v>70</v>
      </c>
      <c r="O69" s="212" t="s">
        <v>71</v>
      </c>
      <c r="P69" s="211" t="s">
        <v>72</v>
      </c>
      <c r="Q69" s="211" t="s">
        <v>73</v>
      </c>
      <c r="R69" s="158"/>
    </row>
    <row r="70" spans="2:18" ht="30.95" customHeight="1" x14ac:dyDescent="0.25">
      <c r="B70" s="159"/>
      <c r="C70" s="151"/>
      <c r="D70" s="738" t="s">
        <v>1052</v>
      </c>
      <c r="E70" s="644">
        <v>0</v>
      </c>
      <c r="F70" s="645">
        <v>0.2</v>
      </c>
      <c r="G70" s="645">
        <v>0.55000000000000004</v>
      </c>
      <c r="H70" s="645">
        <v>0.55000000000000004</v>
      </c>
      <c r="I70" s="645">
        <v>0.55000000000000004</v>
      </c>
      <c r="J70" s="645">
        <v>0.55000000000000004</v>
      </c>
      <c r="L70" s="681">
        <f>F$50*E70</f>
        <v>0</v>
      </c>
      <c r="M70" s="681">
        <f t="shared" ref="M70:Q73" si="0">G$50*F70</f>
        <v>686.8725875033474</v>
      </c>
      <c r="N70" s="681">
        <f>H$50*G70</f>
        <v>1907.1120220468399</v>
      </c>
      <c r="O70" s="681">
        <f t="shared" si="0"/>
        <v>1925.5000289755599</v>
      </c>
      <c r="P70" s="681">
        <f t="shared" si="0"/>
        <v>1944.0653295267316</v>
      </c>
      <c r="Q70" s="681">
        <f t="shared" si="0"/>
        <v>1962.8096331313277</v>
      </c>
      <c r="R70" s="158"/>
    </row>
    <row r="71" spans="2:18" x14ac:dyDescent="0.25">
      <c r="B71" s="159"/>
      <c r="C71" s="151"/>
      <c r="D71" s="738" t="s">
        <v>1053</v>
      </c>
      <c r="E71" s="644">
        <v>0.39</v>
      </c>
      <c r="F71" s="645">
        <v>0.27</v>
      </c>
      <c r="G71" s="645">
        <v>7.0000000000000007E-2</v>
      </c>
      <c r="H71" s="645">
        <v>7.0000000000000007E-2</v>
      </c>
      <c r="I71" s="645">
        <v>7.0000000000000007E-2</v>
      </c>
      <c r="J71" s="645">
        <v>7.0000000000000007E-2</v>
      </c>
      <c r="L71" s="681">
        <f t="shared" ref="L71:L72" si="1">F$50*E71</f>
        <v>1326.6106214400002</v>
      </c>
      <c r="M71" s="681">
        <f t="shared" si="0"/>
        <v>927.27799312951902</v>
      </c>
      <c r="N71" s="681">
        <f>H$50*G71</f>
        <v>242.7233482605069</v>
      </c>
      <c r="O71" s="681">
        <f t="shared" si="0"/>
        <v>245.0636400514349</v>
      </c>
      <c r="P71" s="681">
        <f t="shared" si="0"/>
        <v>247.42649648522038</v>
      </c>
      <c r="Q71" s="681">
        <f t="shared" si="0"/>
        <v>249.81213512580533</v>
      </c>
      <c r="R71" s="158"/>
    </row>
    <row r="72" spans="2:18" x14ac:dyDescent="0.25">
      <c r="B72" s="159"/>
      <c r="C72" s="151"/>
      <c r="D72" s="738" t="s">
        <v>1054</v>
      </c>
      <c r="E72" s="729">
        <v>0.28000000000000003</v>
      </c>
      <c r="F72" s="730">
        <v>0.2</v>
      </c>
      <c r="G72" s="730">
        <v>0.05</v>
      </c>
      <c r="H72" s="730">
        <v>0.05</v>
      </c>
      <c r="I72" s="730">
        <v>0.05</v>
      </c>
      <c r="J72" s="730">
        <v>0.05</v>
      </c>
      <c r="L72" s="681">
        <f t="shared" si="1"/>
        <v>952.43839488000015</v>
      </c>
      <c r="M72" s="681">
        <f t="shared" si="0"/>
        <v>686.8725875033474</v>
      </c>
      <c r="N72" s="681">
        <f t="shared" si="0"/>
        <v>173.37382018607636</v>
      </c>
      <c r="O72" s="681">
        <f t="shared" si="0"/>
        <v>175.04545717959635</v>
      </c>
      <c r="P72" s="681">
        <f t="shared" si="0"/>
        <v>176.73321177515743</v>
      </c>
      <c r="Q72" s="681">
        <f t="shared" si="0"/>
        <v>178.43723937557525</v>
      </c>
      <c r="R72" s="158"/>
    </row>
    <row r="73" spans="2:18" x14ac:dyDescent="0.25">
      <c r="B73" s="159"/>
      <c r="C73" s="151"/>
      <c r="D73" s="738" t="s">
        <v>997</v>
      </c>
      <c r="E73" s="731">
        <v>0.33</v>
      </c>
      <c r="F73" s="732">
        <v>0.33</v>
      </c>
      <c r="G73" s="732">
        <v>0.33</v>
      </c>
      <c r="H73" s="732">
        <v>0.33</v>
      </c>
      <c r="I73" s="732">
        <v>0.33</v>
      </c>
      <c r="J73" s="732">
        <v>0.33</v>
      </c>
      <c r="L73" s="681">
        <f>F$50*E73</f>
        <v>1122.5166796800002</v>
      </c>
      <c r="M73" s="681">
        <f t="shared" si="0"/>
        <v>1133.3397693805232</v>
      </c>
      <c r="N73" s="681">
        <f t="shared" si="0"/>
        <v>1144.2672132281039</v>
      </c>
      <c r="O73" s="681">
        <f t="shared" si="0"/>
        <v>1155.3000173853359</v>
      </c>
      <c r="P73" s="681">
        <f>J$50*I73</f>
        <v>1166.439197716039</v>
      </c>
      <c r="Q73" s="681">
        <f>K$50*J73</f>
        <v>1177.6857798787964</v>
      </c>
      <c r="R73" s="158"/>
    </row>
    <row r="74" spans="2:18" x14ac:dyDescent="0.25">
      <c r="B74" s="159"/>
      <c r="E74" s="812">
        <f t="shared" ref="E74:J74" si="2">SUM(E70:E73)</f>
        <v>1</v>
      </c>
      <c r="F74" s="812">
        <f t="shared" si="2"/>
        <v>1</v>
      </c>
      <c r="G74" s="812">
        <f t="shared" si="2"/>
        <v>1.0000000000000002</v>
      </c>
      <c r="H74" s="812">
        <f t="shared" si="2"/>
        <v>1.0000000000000002</v>
      </c>
      <c r="I74" s="812">
        <f t="shared" si="2"/>
        <v>1.0000000000000002</v>
      </c>
      <c r="J74" s="812">
        <f t="shared" si="2"/>
        <v>1.0000000000000002</v>
      </c>
      <c r="L74" s="353">
        <f t="shared" ref="L74:Q74" si="3">SUM(L70:L73)</f>
        <v>3401.5656960000006</v>
      </c>
      <c r="M74" s="353">
        <f t="shared" si="3"/>
        <v>3434.362937516737</v>
      </c>
      <c r="N74" s="353">
        <f t="shared" si="3"/>
        <v>3467.4764037215273</v>
      </c>
      <c r="O74" s="353">
        <f t="shared" si="3"/>
        <v>3500.9091435919272</v>
      </c>
      <c r="P74" s="353">
        <f t="shared" si="3"/>
        <v>3534.6642355031486</v>
      </c>
      <c r="Q74" s="353">
        <f t="shared" si="3"/>
        <v>3568.7447875115049</v>
      </c>
      <c r="R74" s="158"/>
    </row>
    <row r="75" spans="2:18" ht="15.95" customHeight="1" x14ac:dyDescent="0.25">
      <c r="B75" s="160"/>
      <c r="C75" s="161" t="s">
        <v>1097</v>
      </c>
      <c r="D75" s="161"/>
      <c r="E75" s="161"/>
      <c r="F75" s="161"/>
      <c r="G75" s="161"/>
      <c r="H75" s="161"/>
      <c r="I75" s="161"/>
      <c r="J75" s="161"/>
      <c r="K75" s="161"/>
      <c r="L75" s="161"/>
      <c r="M75" s="161"/>
      <c r="N75" s="161"/>
      <c r="O75" s="161"/>
      <c r="P75" s="161"/>
      <c r="Q75" s="161"/>
      <c r="R75" s="162"/>
    </row>
    <row r="76" spans="2:18" x14ac:dyDescent="0.25">
      <c r="B76" s="329"/>
    </row>
    <row r="77" spans="2:18" x14ac:dyDescent="0.25">
      <c r="B77" s="161"/>
      <c r="D77" s="161"/>
      <c r="E77" s="161"/>
      <c r="F77" s="161"/>
      <c r="G77" s="161"/>
      <c r="H77" s="161"/>
      <c r="I77" s="161"/>
      <c r="J77" s="161"/>
      <c r="K77" s="161"/>
      <c r="L77" s="161"/>
      <c r="M77" s="161"/>
      <c r="N77" s="161"/>
      <c r="O77" s="161"/>
    </row>
    <row r="78" spans="2:18" x14ac:dyDescent="0.25">
      <c r="B78" s="155" t="s">
        <v>74</v>
      </c>
      <c r="C78" s="329"/>
      <c r="P78" s="329"/>
      <c r="Q78" s="329"/>
      <c r="R78" s="156"/>
    </row>
    <row r="79" spans="2:18" x14ac:dyDescent="0.25">
      <c r="B79" s="159" t="s">
        <v>75</v>
      </c>
      <c r="R79" s="158"/>
    </row>
    <row r="80" spans="2:18" x14ac:dyDescent="0.25">
      <c r="B80" s="159" t="s">
        <v>76</v>
      </c>
      <c r="R80" s="158"/>
    </row>
    <row r="81" spans="2:18" x14ac:dyDescent="0.25">
      <c r="B81" s="159"/>
      <c r="C81" s="354"/>
      <c r="D81" s="214"/>
      <c r="E81" s="214"/>
      <c r="F81" s="695"/>
      <c r="G81" s="696"/>
      <c r="H81" s="696"/>
      <c r="I81" s="549"/>
      <c r="R81" s="158"/>
    </row>
    <row r="82" spans="2:18" ht="116.45" customHeight="1" x14ac:dyDescent="0.25">
      <c r="B82" s="159"/>
      <c r="C82" s="412" t="s">
        <v>77</v>
      </c>
      <c r="D82" s="412" t="s">
        <v>78</v>
      </c>
      <c r="E82" s="412" t="s">
        <v>79</v>
      </c>
      <c r="F82" s="412" t="s">
        <v>994</v>
      </c>
      <c r="G82" s="412" t="s">
        <v>995</v>
      </c>
      <c r="H82" s="412" t="s">
        <v>996</v>
      </c>
      <c r="I82" s="412" t="s">
        <v>997</v>
      </c>
      <c r="M82" s="412" t="s">
        <v>80</v>
      </c>
      <c r="N82" s="412" t="s">
        <v>81</v>
      </c>
      <c r="R82" s="158"/>
    </row>
    <row r="83" spans="2:18" ht="29.1" hidden="1" customHeight="1" x14ac:dyDescent="0.25">
      <c r="B83" s="159"/>
      <c r="C83" s="414" t="s">
        <v>914</v>
      </c>
      <c r="D83" s="164" t="s">
        <v>82</v>
      </c>
      <c r="E83" s="164" t="s">
        <v>915</v>
      </c>
      <c r="F83" s="412"/>
      <c r="G83" s="412"/>
      <c r="H83" s="412"/>
      <c r="I83" s="412"/>
      <c r="M83" s="208"/>
      <c r="N83" s="208"/>
      <c r="R83" s="158"/>
    </row>
    <row r="84" spans="2:18" ht="45" hidden="1" x14ac:dyDescent="0.25">
      <c r="B84" s="159"/>
      <c r="C84" s="414" t="s">
        <v>914</v>
      </c>
      <c r="D84" s="164" t="s">
        <v>82</v>
      </c>
      <c r="E84" s="164" t="s">
        <v>822</v>
      </c>
      <c r="F84" s="646"/>
      <c r="G84" s="646"/>
      <c r="H84" s="646"/>
      <c r="I84" s="646"/>
      <c r="M84" s="720" t="s">
        <v>97</v>
      </c>
      <c r="N84" s="721" t="e">
        <f>VLOOKUP(M84,#REF!,4,0)</f>
        <v>#REF!</v>
      </c>
      <c r="R84" s="158"/>
    </row>
    <row r="85" spans="2:18" ht="30" x14ac:dyDescent="0.25">
      <c r="B85" s="159"/>
      <c r="C85" s="414" t="s">
        <v>946</v>
      </c>
      <c r="D85" s="164" t="s">
        <v>84</v>
      </c>
      <c r="E85" s="164" t="s">
        <v>915</v>
      </c>
      <c r="F85" s="646">
        <f>'Unit costs'!K9*0.25</f>
        <v>1.25</v>
      </c>
      <c r="G85" s="646">
        <f>'Unit costs'!K22*0.25</f>
        <v>0.5</v>
      </c>
      <c r="H85" s="646">
        <f>'Unit costs'!K26*0.25</f>
        <v>0.7</v>
      </c>
      <c r="I85" s="646">
        <v>1</v>
      </c>
      <c r="M85" s="208"/>
      <c r="N85" s="208"/>
      <c r="R85" s="158"/>
    </row>
    <row r="86" spans="2:18" ht="45" x14ac:dyDescent="0.25">
      <c r="B86" s="159"/>
      <c r="C86" s="414" t="s">
        <v>946</v>
      </c>
      <c r="D86" s="164" t="s">
        <v>84</v>
      </c>
      <c r="E86" s="164" t="s">
        <v>822</v>
      </c>
      <c r="F86" s="646">
        <v>15</v>
      </c>
      <c r="G86" s="646">
        <v>15</v>
      </c>
      <c r="H86" s="646">
        <v>15</v>
      </c>
      <c r="I86" s="646">
        <v>15</v>
      </c>
      <c r="M86" s="722" t="s">
        <v>97</v>
      </c>
      <c r="N86" s="682">
        <f>VLOOKUP(M86,payscales!$B$11:$M$47,10,0)</f>
        <v>121.08</v>
      </c>
      <c r="R86" s="158"/>
    </row>
    <row r="87" spans="2:18" ht="30.6" customHeight="1" x14ac:dyDescent="0.25">
      <c r="B87" s="159"/>
      <c r="C87" s="410" t="s">
        <v>85</v>
      </c>
      <c r="D87" s="723" t="s">
        <v>86</v>
      </c>
      <c r="E87" s="723" t="s">
        <v>83</v>
      </c>
      <c r="F87" s="643">
        <v>39</v>
      </c>
      <c r="G87" s="643">
        <v>0</v>
      </c>
      <c r="H87" s="643">
        <v>0</v>
      </c>
      <c r="I87" s="643">
        <v>0</v>
      </c>
      <c r="M87" s="722" t="s">
        <v>87</v>
      </c>
      <c r="N87" s="682">
        <f>VLOOKUP(M87,payscales!$B$11:$M$47,10,0)</f>
        <v>42.15</v>
      </c>
      <c r="R87" s="158"/>
    </row>
    <row r="88" spans="2:18" ht="60" x14ac:dyDescent="0.25">
      <c r="B88" s="159"/>
      <c r="C88" s="410" t="s">
        <v>85</v>
      </c>
      <c r="D88" s="164" t="s">
        <v>88</v>
      </c>
      <c r="E88" s="164" t="s">
        <v>83</v>
      </c>
      <c r="F88" s="643">
        <v>30</v>
      </c>
      <c r="G88" s="643">
        <v>0</v>
      </c>
      <c r="H88" s="643">
        <v>0</v>
      </c>
      <c r="I88" s="643">
        <v>0</v>
      </c>
      <c r="M88" s="722" t="s">
        <v>87</v>
      </c>
      <c r="N88" s="682">
        <f>VLOOKUP(M88,payscales!$B$11:$M$47,10,0)</f>
        <v>42.15</v>
      </c>
      <c r="R88" s="158"/>
    </row>
    <row r="89" spans="2:18" ht="30" x14ac:dyDescent="0.25">
      <c r="B89" s="159"/>
      <c r="C89" s="410" t="s">
        <v>85</v>
      </c>
      <c r="D89" s="164" t="s">
        <v>89</v>
      </c>
      <c r="E89" s="164" t="s">
        <v>83</v>
      </c>
      <c r="F89" s="643">
        <v>30</v>
      </c>
      <c r="G89" s="643">
        <v>0</v>
      </c>
      <c r="H89" s="643">
        <v>0</v>
      </c>
      <c r="I89" s="643">
        <v>0</v>
      </c>
      <c r="M89" s="722" t="s">
        <v>87</v>
      </c>
      <c r="N89" s="682">
        <f>VLOOKUP(M89,payscales!$B$11:$M$47,10,0)</f>
        <v>42.15</v>
      </c>
      <c r="R89" s="158"/>
    </row>
    <row r="90" spans="2:18" ht="45" hidden="1" x14ac:dyDescent="0.25">
      <c r="B90" s="159"/>
      <c r="C90" s="411" t="s">
        <v>91</v>
      </c>
      <c r="D90" s="164" t="s">
        <v>92</v>
      </c>
      <c r="E90" s="164" t="s">
        <v>83</v>
      </c>
      <c r="F90" s="643">
        <v>0</v>
      </c>
      <c r="G90" s="643">
        <v>0</v>
      </c>
      <c r="H90" s="643">
        <v>0</v>
      </c>
      <c r="I90" s="643">
        <v>0</v>
      </c>
      <c r="M90" s="722" t="s">
        <v>97</v>
      </c>
      <c r="N90" s="682">
        <f>VLOOKUP(M90,payscales!$B$11:$M$47,10,0)</f>
        <v>121.08</v>
      </c>
      <c r="R90" s="158"/>
    </row>
    <row r="91" spans="2:18" ht="45" hidden="1" x14ac:dyDescent="0.25">
      <c r="B91" s="159"/>
      <c r="C91" s="411" t="s">
        <v>91</v>
      </c>
      <c r="D91" s="237" t="s">
        <v>93</v>
      </c>
      <c r="E91" s="164" t="s">
        <v>83</v>
      </c>
      <c r="F91" s="643">
        <v>0</v>
      </c>
      <c r="G91" s="643">
        <v>0</v>
      </c>
      <c r="H91" s="643">
        <v>0</v>
      </c>
      <c r="I91" s="643">
        <v>0</v>
      </c>
      <c r="M91" s="722" t="s">
        <v>97</v>
      </c>
      <c r="N91" s="682">
        <f>VLOOKUP(M91,payscales!$B$11:$M$47,10,0)</f>
        <v>121.08</v>
      </c>
      <c r="R91" s="158"/>
    </row>
    <row r="92" spans="2:18" ht="45" hidden="1" x14ac:dyDescent="0.25">
      <c r="B92" s="159"/>
      <c r="C92" s="411" t="s">
        <v>91</v>
      </c>
      <c r="D92" s="164" t="s">
        <v>92</v>
      </c>
      <c r="E92" s="164" t="s">
        <v>94</v>
      </c>
      <c r="F92" s="643">
        <v>0</v>
      </c>
      <c r="G92" s="643">
        <v>0</v>
      </c>
      <c r="H92" s="643">
        <v>0</v>
      </c>
      <c r="I92" s="643">
        <v>0</v>
      </c>
      <c r="M92" s="722" t="s">
        <v>97</v>
      </c>
      <c r="N92" s="682">
        <f>VLOOKUP(M92,payscales!$B$11:$M$47,10,0)</f>
        <v>121.08</v>
      </c>
      <c r="R92" s="158"/>
    </row>
    <row r="93" spans="2:18" ht="45" hidden="1" x14ac:dyDescent="0.25">
      <c r="B93" s="159"/>
      <c r="C93" s="411" t="s">
        <v>91</v>
      </c>
      <c r="D93" s="237" t="s">
        <v>93</v>
      </c>
      <c r="E93" s="164" t="s">
        <v>94</v>
      </c>
      <c r="F93" s="643">
        <v>0</v>
      </c>
      <c r="G93" s="643">
        <v>0</v>
      </c>
      <c r="H93" s="643">
        <v>0</v>
      </c>
      <c r="I93" s="643">
        <v>0</v>
      </c>
      <c r="M93" s="722" t="s">
        <v>97</v>
      </c>
      <c r="N93" s="682">
        <f>VLOOKUP(M93,payscales!$B$11:$M$47,10,0)</f>
        <v>121.08</v>
      </c>
      <c r="R93" s="158"/>
    </row>
    <row r="94" spans="2:18" ht="30" x14ac:dyDescent="0.25">
      <c r="B94" s="159"/>
      <c r="C94" s="411" t="s">
        <v>91</v>
      </c>
      <c r="D94" s="164" t="s">
        <v>95</v>
      </c>
      <c r="E94" s="164" t="s">
        <v>83</v>
      </c>
      <c r="F94" s="643">
        <v>0</v>
      </c>
      <c r="G94" s="643">
        <v>0</v>
      </c>
      <c r="H94" s="643">
        <v>0</v>
      </c>
      <c r="I94" s="643">
        <v>0</v>
      </c>
      <c r="M94" s="722" t="s">
        <v>96</v>
      </c>
      <c r="N94" s="682">
        <f>VLOOKUP(M94,payscales!$B$11:$M$47,10,0)</f>
        <v>49.16</v>
      </c>
      <c r="R94" s="158"/>
    </row>
    <row r="95" spans="2:18" ht="30" x14ac:dyDescent="0.25">
      <c r="B95" s="159"/>
      <c r="C95" s="413" t="s">
        <v>98</v>
      </c>
      <c r="D95" s="164" t="s">
        <v>99</v>
      </c>
      <c r="E95" s="164" t="s">
        <v>932</v>
      </c>
      <c r="F95" s="643"/>
      <c r="G95" s="643"/>
      <c r="H95" s="643"/>
      <c r="I95" s="643"/>
      <c r="M95" s="208"/>
      <c r="N95" s="208"/>
      <c r="R95" s="158"/>
    </row>
    <row r="96" spans="2:18" ht="45" x14ac:dyDescent="0.25">
      <c r="B96" s="159"/>
      <c r="C96" s="413" t="s">
        <v>98</v>
      </c>
      <c r="D96" s="164" t="s">
        <v>99</v>
      </c>
      <c r="E96" s="164" t="s">
        <v>822</v>
      </c>
      <c r="F96" s="643"/>
      <c r="G96" s="643"/>
      <c r="H96" s="643"/>
      <c r="I96" s="643"/>
      <c r="M96" s="722" t="s">
        <v>97</v>
      </c>
      <c r="N96" s="682">
        <f>VLOOKUP(M96,payscales!$B$11:$M$47,10,0)</f>
        <v>121.08</v>
      </c>
      <c r="R96" s="158"/>
    </row>
    <row r="97" spans="2:18" x14ac:dyDescent="0.25">
      <c r="B97" s="159"/>
      <c r="C97" s="415" t="s">
        <v>100</v>
      </c>
      <c r="D97" s="164" t="s">
        <v>947</v>
      </c>
      <c r="E97" s="164" t="s">
        <v>932</v>
      </c>
      <c r="F97" s="643">
        <v>1</v>
      </c>
      <c r="G97" s="643">
        <v>1</v>
      </c>
      <c r="H97" s="643">
        <v>1</v>
      </c>
      <c r="I97" s="643">
        <v>1</v>
      </c>
      <c r="M97" s="208"/>
      <c r="N97" s="208"/>
      <c r="R97" s="158"/>
    </row>
    <row r="98" spans="2:18" ht="30" x14ac:dyDescent="0.25">
      <c r="B98" s="159"/>
      <c r="C98" s="415" t="s">
        <v>100</v>
      </c>
      <c r="D98" s="164" t="s">
        <v>947</v>
      </c>
      <c r="E98" s="164" t="s">
        <v>821</v>
      </c>
      <c r="F98" s="643"/>
      <c r="G98" s="643"/>
      <c r="H98" s="643"/>
      <c r="I98" s="643"/>
      <c r="M98" s="722" t="s">
        <v>87</v>
      </c>
      <c r="N98" s="682">
        <f>VLOOKUP(M98,payscales!$B$11:$M$47,10,0)</f>
        <v>42.15</v>
      </c>
      <c r="R98" s="158"/>
    </row>
    <row r="99" spans="2:18" ht="45" x14ac:dyDescent="0.25">
      <c r="B99" s="159"/>
      <c r="C99" s="363" t="s">
        <v>102</v>
      </c>
      <c r="D99" s="363" t="s">
        <v>103</v>
      </c>
      <c r="E99" s="164" t="s">
        <v>932</v>
      </c>
      <c r="F99" s="693" t="s">
        <v>916</v>
      </c>
      <c r="G99" s="693" t="s">
        <v>916</v>
      </c>
      <c r="H99" s="693" t="s">
        <v>916</v>
      </c>
      <c r="I99" s="693" t="s">
        <v>916</v>
      </c>
      <c r="M99" s="211"/>
      <c r="N99" s="208"/>
      <c r="R99" s="158"/>
    </row>
    <row r="100" spans="2:18" x14ac:dyDescent="0.25">
      <c r="B100" s="159"/>
      <c r="C100" s="354"/>
      <c r="D100" s="214"/>
      <c r="E100" s="214"/>
      <c r="F100" s="214"/>
      <c r="R100" s="158"/>
    </row>
    <row r="101" spans="2:18" x14ac:dyDescent="0.25">
      <c r="B101" s="159"/>
      <c r="C101" s="198" t="s">
        <v>104</v>
      </c>
      <c r="D101" s="151"/>
      <c r="R101" s="158"/>
    </row>
    <row r="102" spans="2:18" x14ac:dyDescent="0.25">
      <c r="B102" s="159"/>
      <c r="C102" t="s">
        <v>948</v>
      </c>
      <c r="D102" s="151"/>
      <c r="R102" s="158"/>
    </row>
    <row r="103" spans="2:18" x14ac:dyDescent="0.25">
      <c r="B103" s="159"/>
      <c r="C103" t="s">
        <v>917</v>
      </c>
      <c r="D103" s="151"/>
      <c r="R103" s="158"/>
    </row>
    <row r="104" spans="2:18" x14ac:dyDescent="0.25">
      <c r="B104" s="159"/>
      <c r="C104" t="s">
        <v>928</v>
      </c>
      <c r="D104" s="151"/>
      <c r="R104" s="158"/>
    </row>
    <row r="105" spans="2:18" x14ac:dyDescent="0.25">
      <c r="B105" s="159"/>
      <c r="C105" s="214" t="s">
        <v>105</v>
      </c>
      <c r="D105" s="151"/>
      <c r="R105" s="158"/>
    </row>
    <row r="106" spans="2:18" x14ac:dyDescent="0.25">
      <c r="B106" s="159"/>
      <c r="C106" s="214" t="s">
        <v>1047</v>
      </c>
      <c r="D106" s="151"/>
      <c r="R106" s="158"/>
    </row>
    <row r="107" spans="2:18" x14ac:dyDescent="0.25">
      <c r="B107" s="160"/>
      <c r="C107" s="161" t="s">
        <v>1048</v>
      </c>
      <c r="D107" s="163"/>
      <c r="E107" s="163"/>
      <c r="F107" s="163"/>
      <c r="G107" s="163"/>
      <c r="H107" s="161"/>
      <c r="I107" s="161"/>
      <c r="J107" s="161"/>
      <c r="K107" s="161"/>
      <c r="L107" s="161"/>
      <c r="M107" s="161"/>
      <c r="N107" s="161"/>
      <c r="O107" s="161"/>
      <c r="P107" s="161"/>
      <c r="Q107" s="161"/>
      <c r="R107" s="162"/>
    </row>
    <row r="108" spans="2:18" x14ac:dyDescent="0.25">
      <c r="D108" s="151"/>
      <c r="E108" s="151"/>
      <c r="F108" s="151"/>
      <c r="G108" s="151"/>
    </row>
    <row r="109" spans="2:18" x14ac:dyDescent="0.25">
      <c r="B109" s="406" t="s">
        <v>106</v>
      </c>
      <c r="C109" s="405"/>
      <c r="D109" s="405"/>
      <c r="E109" s="405"/>
      <c r="F109" s="405"/>
      <c r="G109" s="405"/>
      <c r="H109" s="405"/>
      <c r="I109" s="405"/>
      <c r="J109" s="405"/>
      <c r="K109" s="405"/>
      <c r="L109" s="405"/>
      <c r="M109" s="405"/>
      <c r="N109" s="405"/>
      <c r="O109" s="405"/>
      <c r="P109" s="405"/>
      <c r="Q109" s="229"/>
    </row>
    <row r="110" spans="2:18" x14ac:dyDescent="0.25">
      <c r="B110" s="233"/>
      <c r="C110" s="226"/>
      <c r="D110" s="226"/>
      <c r="E110" s="226"/>
      <c r="F110" s="226"/>
      <c r="G110" s="226"/>
      <c r="H110" s="226"/>
      <c r="I110" s="226"/>
      <c r="J110" s="226"/>
      <c r="K110" s="226"/>
      <c r="L110" s="226"/>
      <c r="M110" s="226"/>
      <c r="N110" s="226"/>
      <c r="O110" s="226"/>
      <c r="P110" s="226"/>
      <c r="Q110" s="234"/>
    </row>
    <row r="111" spans="2:18" x14ac:dyDescent="0.25">
      <c r="B111" s="233"/>
      <c r="C111" s="647" t="s">
        <v>918</v>
      </c>
      <c r="D111" s="226"/>
      <c r="E111" s="226"/>
      <c r="F111" s="226"/>
      <c r="G111" s="226"/>
      <c r="H111" s="226"/>
      <c r="I111" s="226"/>
      <c r="J111" s="226"/>
      <c r="K111" s="226"/>
      <c r="L111" s="226"/>
      <c r="M111" s="226"/>
      <c r="N111" s="226"/>
      <c r="O111" s="226"/>
      <c r="P111" s="226"/>
      <c r="Q111" s="234"/>
    </row>
    <row r="112" spans="2:18" x14ac:dyDescent="0.25">
      <c r="B112" s="233"/>
      <c r="C112" s="648" t="s">
        <v>919</v>
      </c>
      <c r="D112" s="226"/>
      <c r="E112" s="226"/>
      <c r="F112" s="226"/>
      <c r="G112" s="226"/>
      <c r="H112" s="226"/>
      <c r="I112" s="226"/>
      <c r="J112" s="226"/>
      <c r="K112" s="226"/>
      <c r="L112" s="226"/>
      <c r="M112" s="226"/>
      <c r="N112" s="226"/>
      <c r="O112" s="226"/>
      <c r="P112" s="226"/>
      <c r="Q112" s="234"/>
    </row>
    <row r="113" spans="2:17" x14ac:dyDescent="0.25">
      <c r="B113" s="233"/>
      <c r="C113" s="649" t="s">
        <v>920</v>
      </c>
      <c r="D113" s="226"/>
      <c r="E113" s="226"/>
      <c r="F113" s="226"/>
      <c r="G113" s="226"/>
      <c r="H113" s="226"/>
      <c r="I113" s="226"/>
      <c r="J113" s="226"/>
      <c r="K113" s="226"/>
      <c r="L113" s="226"/>
      <c r="M113" s="226"/>
      <c r="N113" s="226"/>
      <c r="O113" s="226"/>
      <c r="P113" s="226"/>
      <c r="Q113" s="234"/>
    </row>
    <row r="114" spans="2:17" x14ac:dyDescent="0.25">
      <c r="B114" s="233"/>
      <c r="C114" s="647" t="s">
        <v>921</v>
      </c>
      <c r="D114" s="226"/>
      <c r="E114" s="226"/>
      <c r="F114" s="226"/>
      <c r="G114" s="226"/>
      <c r="H114" s="226"/>
      <c r="I114" s="226"/>
      <c r="J114" s="226"/>
      <c r="K114" s="226"/>
      <c r="L114" s="226"/>
      <c r="M114" s="226"/>
      <c r="N114" s="226"/>
      <c r="O114" s="226"/>
      <c r="P114" s="226"/>
      <c r="Q114" s="234"/>
    </row>
    <row r="115" spans="2:17" x14ac:dyDescent="0.25">
      <c r="B115" s="233"/>
      <c r="C115" s="649"/>
      <c r="D115" s="226"/>
      <c r="E115" s="226"/>
      <c r="F115" s="226"/>
      <c r="G115" s="226"/>
      <c r="H115" s="226"/>
      <c r="I115" s="226"/>
      <c r="J115" s="226"/>
      <c r="K115" s="226"/>
      <c r="L115" s="226"/>
      <c r="M115" s="226"/>
      <c r="N115" s="226"/>
      <c r="O115" s="226"/>
      <c r="P115" s="226"/>
      <c r="Q115" s="234"/>
    </row>
    <row r="116" spans="2:17" x14ac:dyDescent="0.25">
      <c r="B116" s="233"/>
      <c r="C116" s="650" t="s">
        <v>922</v>
      </c>
      <c r="D116" s="226"/>
      <c r="E116" s="226"/>
      <c r="F116" s="226"/>
      <c r="G116" s="226"/>
      <c r="H116" s="226"/>
      <c r="I116" s="226"/>
      <c r="J116" s="226"/>
      <c r="K116" s="226"/>
      <c r="L116" s="226"/>
      <c r="M116" s="226"/>
      <c r="N116" s="226"/>
      <c r="O116" s="226"/>
      <c r="P116" s="226"/>
      <c r="Q116" s="234"/>
    </row>
    <row r="117" spans="2:17" x14ac:dyDescent="0.25">
      <c r="B117" s="233"/>
      <c r="C117" s="649" t="s">
        <v>923</v>
      </c>
      <c r="D117" s="226"/>
      <c r="E117" s="226"/>
      <c r="F117" s="226"/>
      <c r="G117" s="226"/>
      <c r="H117" s="226"/>
      <c r="I117" s="226"/>
      <c r="J117" s="226"/>
      <c r="K117" s="226"/>
      <c r="L117" s="226"/>
      <c r="M117" s="226"/>
      <c r="N117" s="226"/>
      <c r="O117" s="226"/>
      <c r="P117" s="226"/>
      <c r="Q117" s="234"/>
    </row>
    <row r="118" spans="2:17" x14ac:dyDescent="0.25">
      <c r="B118" s="233"/>
      <c r="C118" s="651"/>
      <c r="D118" s="226"/>
      <c r="E118" s="226"/>
      <c r="F118" s="226"/>
      <c r="G118" s="226"/>
      <c r="H118" s="226"/>
      <c r="I118" s="226"/>
      <c r="J118" s="226"/>
      <c r="K118" s="226"/>
      <c r="L118" s="226"/>
      <c r="M118" s="226"/>
      <c r="N118" s="226"/>
      <c r="O118" s="226"/>
      <c r="P118" s="226"/>
      <c r="Q118" s="234"/>
    </row>
    <row r="119" spans="2:17" x14ac:dyDescent="0.25">
      <c r="B119" s="233"/>
      <c r="C119" s="652" t="s">
        <v>924</v>
      </c>
      <c r="D119" s="226"/>
      <c r="E119" s="226"/>
      <c r="F119" s="226"/>
      <c r="G119" s="226"/>
      <c r="H119" s="226"/>
      <c r="I119" s="226"/>
      <c r="J119" s="226"/>
      <c r="K119" s="226"/>
      <c r="L119" s="226"/>
      <c r="M119" s="226"/>
      <c r="N119" s="226"/>
      <c r="O119" s="226"/>
      <c r="P119" s="226"/>
      <c r="Q119" s="234"/>
    </row>
    <row r="120" spans="2:17" x14ac:dyDescent="0.25">
      <c r="B120" s="233"/>
      <c r="C120" s="653" t="s">
        <v>925</v>
      </c>
      <c r="D120" s="226"/>
      <c r="E120" s="226"/>
      <c r="F120" s="226"/>
      <c r="G120" s="226"/>
      <c r="H120" s="226"/>
      <c r="I120" s="226"/>
      <c r="J120" s="226"/>
      <c r="K120" s="226"/>
      <c r="L120" s="226"/>
      <c r="M120" s="226"/>
      <c r="N120" s="226"/>
      <c r="O120" s="226"/>
      <c r="P120" s="226"/>
      <c r="Q120" s="234"/>
    </row>
    <row r="121" spans="2:17" x14ac:dyDescent="0.25">
      <c r="B121" s="233"/>
      <c r="C121" s="654"/>
      <c r="D121" s="226"/>
      <c r="E121" s="226"/>
      <c r="F121" s="226"/>
      <c r="G121" s="226"/>
      <c r="H121" s="226"/>
      <c r="I121" s="226"/>
      <c r="J121" s="226"/>
      <c r="K121" s="226"/>
      <c r="L121" s="226"/>
      <c r="M121" s="226"/>
      <c r="N121" s="226"/>
      <c r="O121" s="226"/>
      <c r="P121" s="226"/>
      <c r="Q121" s="234"/>
    </row>
    <row r="122" spans="2:17" x14ac:dyDescent="0.25">
      <c r="B122" s="233"/>
      <c r="C122" s="655" t="s">
        <v>926</v>
      </c>
      <c r="D122" s="226"/>
      <c r="E122" s="226"/>
      <c r="F122" s="226"/>
      <c r="G122" s="226"/>
      <c r="H122" s="226"/>
      <c r="I122" s="226"/>
      <c r="J122" s="226"/>
      <c r="K122" s="226"/>
      <c r="L122" s="226"/>
      <c r="M122" s="226"/>
      <c r="N122" s="226"/>
      <c r="O122" s="226"/>
      <c r="P122" s="226"/>
      <c r="Q122" s="234"/>
    </row>
    <row r="123" spans="2:17" x14ac:dyDescent="0.25">
      <c r="B123" s="233"/>
      <c r="C123" s="649" t="s">
        <v>927</v>
      </c>
      <c r="D123" s="226"/>
      <c r="E123" s="226"/>
      <c r="F123" s="226"/>
      <c r="G123" s="226"/>
      <c r="H123" s="226"/>
      <c r="I123" s="226"/>
      <c r="J123" s="226"/>
      <c r="K123" s="226"/>
      <c r="L123" s="226"/>
      <c r="M123" s="226"/>
      <c r="N123" s="226"/>
      <c r="O123" s="226"/>
      <c r="P123" s="226"/>
      <c r="Q123" s="234"/>
    </row>
    <row r="124" spans="2:17" x14ac:dyDescent="0.25">
      <c r="B124" s="231"/>
      <c r="C124" s="235"/>
      <c r="D124" s="230"/>
      <c r="E124" s="230"/>
      <c r="F124" s="230"/>
      <c r="G124" s="230"/>
      <c r="H124" s="230"/>
      <c r="I124" s="230"/>
      <c r="J124" s="230"/>
      <c r="K124" s="230"/>
      <c r="L124" s="230"/>
      <c r="M124" s="230"/>
      <c r="N124" s="230"/>
      <c r="O124" s="230"/>
      <c r="P124" s="230"/>
      <c r="Q124" s="232"/>
    </row>
  </sheetData>
  <sheetProtection algorithmName="SHA-512" hashValue="tFpmowFp4MA+7+oAzX+tA2RkmGBFy6NQWe5flmlZN9ySi3yLLE6epR7uQ9Lfu9vYp61dT3+OjIR1KyTALlukaA==" saltValue="sZ3RmF2c8/U8wwUHN6Dwrw==" spinCount="100000" sheet="1" objects="1" scenarios="1"/>
  <protectedRanges>
    <protectedRange sqref="E11:E13 E15 E17 E19:E20 F42 G39:G43 E39:F41 E43:F43 G45" name="Range1"/>
    <protectedRange sqref="E37:G38 E27:G27" name="Range2"/>
    <protectedRange sqref="E28:G36" name="Range2_1"/>
    <protectedRange sqref="F44" name="Range2_2"/>
    <protectedRange sqref="G100:H100 G81 I81 F84:I95 F97:I98" name="Range1_1"/>
    <protectedRange sqref="D65:D66" name="Range1_1_1"/>
    <protectedRange sqref="J63 I56:J62" name="Range1_4_1"/>
    <protectedRange sqref="I63" name="Range1_4_1_1"/>
    <protectedRange sqref="E70:J73" name="Range1_1_1_1"/>
    <protectedRange sqref="L70:Q73" name="Range1_2"/>
  </protectedRanges>
  <mergeCells count="1">
    <mergeCell ref="H27:R27"/>
  </mergeCells>
  <phoneticPr fontId="43" type="noConversion"/>
  <conditionalFormatting sqref="G12:G14">
    <cfRule type="cellIs" dxfId="0" priority="1" operator="equal">
      <formula>0</formula>
    </cfRule>
  </conditionalFormatting>
  <dataValidations count="3">
    <dataValidation type="list" allowBlank="1" showInputMessage="1" showErrorMessage="1" sqref="E11" xr:uid="{A1309421-97D1-407A-BD55-015169719BCD}">
      <formula1>ORGTYPE</formula1>
    </dataValidation>
    <dataValidation type="list" allowBlank="1" showInputMessage="1" showErrorMessage="1" sqref="M84 M97" xr:uid="{CE677D1D-7939-422A-BA90-14DBD19EBA79}">
      <formula1>#REF!</formula1>
    </dataValidation>
    <dataValidation type="list" allowBlank="1" showInputMessage="1" showErrorMessage="1" sqref="M86:M94 M96 M98" xr:uid="{D2C733D8-579B-47BB-BF63-2B11E2CC728F}">
      <formula1>BAND</formula1>
    </dataValidation>
  </dataValidations>
  <hyperlinks>
    <hyperlink ref="C113" r:id="rId1" xr:uid="{455197D5-395B-4BDD-AFA8-25C314F576FE}"/>
    <hyperlink ref="C117" r:id="rId2" xr:uid="{5DCF28A9-555A-44A1-9926-6523406C38A2}"/>
    <hyperlink ref="C123" r:id="rId3" xr:uid="{0C0CBFCC-EF4E-460D-B888-C36EA491BCCB}"/>
    <hyperlink ref="C120" r:id="rId4" xr:uid="{16BE7812-6BBC-4C39-95D5-E6FD261A4EA8}"/>
    <hyperlink ref="H27:R27" r:id="rId5" display="Cancer Registrations Statistics, England 2021- NHS Digital, ICD C61" xr:uid="{048CF2F8-1122-4C1D-9071-D6A8F8F42392}"/>
    <hyperlink ref="H28" r:id="rId6" xr:uid="{11089E0C-F2F7-438C-8471-2E0C7FD9A168}"/>
    <hyperlink ref="H29" r:id="rId7" xr:uid="{A46C1535-5C90-464F-AAF7-8597CF211264}"/>
  </hyperlinks>
  <pageMargins left="0.7" right="0.7" top="0.75" bottom="0.75" header="0.3" footer="0.3"/>
  <pageSetup paperSize="9" scale="49" orientation="landscape" verticalDpi="0"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F42</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47DA-C84E-4380-9318-A467DAF6E9E3}">
  <sheetPr>
    <tabColor theme="8" tint="0.59999389629810485"/>
    <pageSetUpPr fitToPage="1"/>
  </sheetPr>
  <dimension ref="A1:AI102"/>
  <sheetViews>
    <sheetView showGridLines="0" zoomScale="70" zoomScaleNormal="70" workbookViewId="0">
      <selection activeCell="I26" sqref="I26"/>
    </sheetView>
  </sheetViews>
  <sheetFormatPr defaultColWidth="9.140625" defaultRowHeight="12.75" x14ac:dyDescent="0.2"/>
  <cols>
    <col min="1" max="1" width="3.5703125" style="3" customWidth="1"/>
    <col min="2" max="2" width="66.5703125" style="3" customWidth="1"/>
    <col min="3" max="3" width="28.85546875" style="3" customWidth="1"/>
    <col min="4" max="4" width="33" style="3" customWidth="1"/>
    <col min="5" max="5" width="12.5703125" style="3" customWidth="1"/>
    <col min="6" max="6" width="24.5703125" style="3" customWidth="1"/>
    <col min="7" max="7" width="11.85546875" style="3" customWidth="1"/>
    <col min="8" max="8" width="11.140625" style="3" customWidth="1"/>
    <col min="9" max="9" width="12" style="3" customWidth="1"/>
    <col min="10" max="10" width="11.42578125" style="3" customWidth="1"/>
    <col min="11" max="11" width="11.85546875" style="3" customWidth="1"/>
    <col min="12" max="12" width="12.140625" style="3" customWidth="1"/>
    <col min="13" max="13" width="13.7109375" style="3" customWidth="1"/>
    <col min="14" max="14" width="12.42578125" style="3" customWidth="1"/>
    <col min="15" max="15" width="11.5703125" style="3" customWidth="1"/>
    <col min="16" max="16" width="15.140625" style="3" bestFit="1" customWidth="1"/>
    <col min="17" max="25" width="15.140625" style="3" customWidth="1"/>
    <col min="26" max="26" width="12.140625" style="3" customWidth="1"/>
    <col min="27" max="27" width="14" style="3" customWidth="1"/>
    <col min="28" max="16384" width="9.140625" style="3"/>
  </cols>
  <sheetData>
    <row r="1" spans="1:31" ht="30" customHeight="1" x14ac:dyDescent="0.35">
      <c r="A1" s="192"/>
      <c r="B1" s="543" t="str">
        <f>'Inputs and eligible population'!B1</f>
        <v>Trifluridine–tipiracil with bevacizumab for treating metastatic colorectal cancer after 2 systemic treatments</v>
      </c>
      <c r="C1" s="147"/>
      <c r="D1" s="131"/>
      <c r="E1" s="131"/>
      <c r="F1" s="131"/>
      <c r="G1" s="131" t="s">
        <v>107</v>
      </c>
      <c r="H1" s="131" t="s">
        <v>107</v>
      </c>
      <c r="I1" s="131" t="s">
        <v>107</v>
      </c>
      <c r="J1" s="131" t="s">
        <v>107</v>
      </c>
      <c r="K1" s="131" t="s">
        <v>107</v>
      </c>
      <c r="L1" s="131" t="s">
        <v>107</v>
      </c>
      <c r="M1" s="131" t="s">
        <v>107</v>
      </c>
      <c r="N1" s="152"/>
      <c r="O1" s="192"/>
      <c r="P1" s="192"/>
      <c r="Q1" s="192"/>
      <c r="R1" s="192"/>
      <c r="S1" s="192"/>
      <c r="T1" s="192"/>
      <c r="U1" s="192"/>
      <c r="V1" s="766"/>
      <c r="W1" s="766"/>
      <c r="X1" s="766"/>
      <c r="Y1" s="766"/>
      <c r="Z1" s="767"/>
      <c r="AA1" s="767"/>
    </row>
    <row r="2" spans="1:31" ht="26.25" customHeight="1" x14ac:dyDescent="0.35">
      <c r="A2" s="192"/>
      <c r="B2" s="145" t="s">
        <v>108</v>
      </c>
      <c r="C2" s="146" t="s">
        <v>107</v>
      </c>
      <c r="D2" s="131" t="s">
        <v>107</v>
      </c>
      <c r="E2" s="131" t="s">
        <v>107</v>
      </c>
      <c r="F2" s="131" t="s">
        <v>107</v>
      </c>
      <c r="G2" s="131" t="s">
        <v>107</v>
      </c>
      <c r="H2" s="131" t="s">
        <v>107</v>
      </c>
      <c r="I2" s="131" t="s">
        <v>107</v>
      </c>
      <c r="J2" s="131" t="s">
        <v>107</v>
      </c>
      <c r="K2" s="132" t="s">
        <v>107</v>
      </c>
      <c r="L2" s="132"/>
      <c r="M2" s="132"/>
      <c r="N2" s="132"/>
      <c r="O2" s="192"/>
      <c r="P2" s="192"/>
      <c r="Q2" s="192"/>
      <c r="R2" s="192"/>
      <c r="S2" s="192"/>
      <c r="T2" s="192"/>
      <c r="U2" s="192"/>
      <c r="V2" s="766"/>
      <c r="W2" s="766"/>
      <c r="X2" s="766"/>
      <c r="Y2" s="766"/>
      <c r="Z2" s="767"/>
      <c r="AA2" s="767"/>
      <c r="AB2" s="4"/>
      <c r="AC2" s="4"/>
      <c r="AD2" s="4"/>
      <c r="AE2" s="4"/>
    </row>
    <row r="3" spans="1:31" ht="14.45" customHeight="1" x14ac:dyDescent="0.35">
      <c r="A3" s="192"/>
      <c r="B3" s="129"/>
      <c r="C3" s="147"/>
      <c r="D3" s="131"/>
      <c r="E3" s="131"/>
      <c r="F3" s="131"/>
      <c r="G3" s="131" t="s">
        <v>107</v>
      </c>
      <c r="H3" s="131" t="s">
        <v>107</v>
      </c>
      <c r="I3" s="131" t="s">
        <v>107</v>
      </c>
      <c r="J3" s="131" t="s">
        <v>107</v>
      </c>
      <c r="K3" s="132" t="s">
        <v>107</v>
      </c>
      <c r="L3" s="132"/>
      <c r="M3" s="132"/>
      <c r="N3" s="132"/>
      <c r="O3" s="192"/>
      <c r="P3" s="192"/>
      <c r="Q3" s="192"/>
      <c r="R3" s="192"/>
      <c r="S3" s="192"/>
      <c r="T3" s="192"/>
      <c r="U3" s="192"/>
      <c r="V3" s="766"/>
      <c r="W3" s="766"/>
      <c r="X3" s="766"/>
      <c r="Y3" s="766"/>
      <c r="Z3" s="767"/>
      <c r="AA3" s="767"/>
      <c r="AB3" s="4"/>
      <c r="AC3" s="4"/>
      <c r="AD3" s="4"/>
      <c r="AE3" s="4"/>
    </row>
    <row r="4" spans="1:31" ht="14.45" customHeight="1" x14ac:dyDescent="0.35">
      <c r="A4" s="192"/>
      <c r="B4" t="s">
        <v>109</v>
      </c>
      <c r="C4" s="147"/>
      <c r="D4" s="131"/>
      <c r="E4" s="131"/>
      <c r="F4" s="131"/>
      <c r="G4" s="131" t="s">
        <v>107</v>
      </c>
      <c r="H4" s="131" t="s">
        <v>107</v>
      </c>
      <c r="I4" s="131" t="s">
        <v>107</v>
      </c>
      <c r="J4" s="131" t="s">
        <v>107</v>
      </c>
      <c r="K4" s="132" t="s">
        <v>107</v>
      </c>
      <c r="L4" s="131"/>
      <c r="M4" s="132"/>
      <c r="N4" s="132"/>
      <c r="O4" s="132"/>
      <c r="P4" s="132"/>
      <c r="Q4" s="132"/>
      <c r="R4" s="132"/>
      <c r="S4" s="132"/>
      <c r="T4" s="132"/>
      <c r="U4" s="132"/>
      <c r="V4" s="766"/>
      <c r="W4" s="766"/>
      <c r="X4" s="766"/>
      <c r="Y4" s="766"/>
      <c r="Z4" s="767"/>
      <c r="AA4" s="767"/>
      <c r="AB4" s="4"/>
      <c r="AC4" s="4"/>
      <c r="AD4" s="4"/>
      <c r="AE4" s="4"/>
    </row>
    <row r="5" spans="1:31" ht="14.45" customHeight="1" x14ac:dyDescent="0.35">
      <c r="A5" s="192"/>
      <c r="B5" t="s">
        <v>35</v>
      </c>
      <c r="C5" s="147"/>
      <c r="D5" s="131"/>
      <c r="E5" s="131"/>
      <c r="F5" s="131"/>
      <c r="G5" s="131"/>
      <c r="H5" s="131" t="s">
        <v>107</v>
      </c>
      <c r="I5" s="131" t="s">
        <v>107</v>
      </c>
      <c r="J5" s="131" t="s">
        <v>107</v>
      </c>
      <c r="K5" s="132" t="s">
        <v>107</v>
      </c>
      <c r="L5" s="131"/>
      <c r="M5" s="132"/>
      <c r="N5" s="132"/>
      <c r="O5" s="132"/>
      <c r="P5" s="132"/>
      <c r="Q5" s="132"/>
      <c r="R5" s="132"/>
      <c r="S5" s="132"/>
      <c r="T5" s="132"/>
      <c r="U5" s="132"/>
      <c r="V5" s="766"/>
      <c r="W5" s="766"/>
      <c r="X5" s="766"/>
      <c r="Y5" s="766"/>
      <c r="Z5" s="767"/>
      <c r="AA5" s="767"/>
      <c r="AB5" s="4"/>
      <c r="AC5" s="4"/>
      <c r="AD5" s="4"/>
      <c r="AE5" s="4"/>
    </row>
    <row r="6" spans="1:31" ht="14.45" customHeight="1" thickBot="1" x14ac:dyDescent="0.4">
      <c r="A6" s="192"/>
      <c r="B6"/>
      <c r="C6" s="147"/>
      <c r="D6" s="131"/>
      <c r="E6" s="131"/>
      <c r="F6" s="131"/>
      <c r="G6" s="131"/>
      <c r="H6" s="131"/>
      <c r="I6" s="131"/>
      <c r="J6" s="131"/>
      <c r="K6" s="132"/>
      <c r="L6" s="131"/>
      <c r="M6" s="132"/>
      <c r="N6" s="132"/>
      <c r="O6" s="132"/>
      <c r="P6" s="132"/>
      <c r="Q6" s="132"/>
      <c r="R6" s="132"/>
      <c r="S6" s="132"/>
      <c r="T6" s="132"/>
      <c r="U6" s="132"/>
      <c r="V6" s="766"/>
      <c r="W6" s="766"/>
      <c r="X6" s="766"/>
      <c r="Y6" s="766"/>
      <c r="Z6" s="767"/>
      <c r="AA6" s="767"/>
      <c r="AB6" s="4"/>
      <c r="AC6" s="4"/>
      <c r="AD6" s="4"/>
    </row>
    <row r="7" spans="1:31" s="247" customFormat="1" ht="15" x14ac:dyDescent="0.25">
      <c r="A7" s="249"/>
      <c r="B7" s="245" t="s">
        <v>110</v>
      </c>
      <c r="C7" s="249"/>
      <c r="D7" s="698" t="s">
        <v>933</v>
      </c>
      <c r="E7" s="699"/>
      <c r="F7" s="700"/>
      <c r="G7" s="699"/>
      <c r="H7" s="699"/>
      <c r="I7" s="701" t="s">
        <v>934</v>
      </c>
      <c r="J7" s="702"/>
      <c r="K7" s="702"/>
      <c r="L7" s="702"/>
      <c r="M7" s="702"/>
      <c r="N7" s="702"/>
      <c r="O7" s="710"/>
      <c r="P7" s="705"/>
      <c r="Q7" s="132"/>
      <c r="R7" s="132"/>
      <c r="S7" s="132"/>
      <c r="T7" s="132"/>
      <c r="U7" s="132"/>
      <c r="V7" s="766"/>
      <c r="W7" s="766"/>
      <c r="X7" s="766"/>
      <c r="Y7" s="766"/>
      <c r="Z7" s="767"/>
      <c r="AA7" s="767"/>
      <c r="AB7" s="4"/>
      <c r="AC7" s="4"/>
      <c r="AD7" s="4"/>
    </row>
    <row r="8" spans="1:31" s="247" customFormat="1" ht="57" customHeight="1" x14ac:dyDescent="0.25">
      <c r="A8" s="249"/>
      <c r="B8" s="248" t="s">
        <v>111</v>
      </c>
      <c r="C8" s="250" t="s">
        <v>112</v>
      </c>
      <c r="D8" s="706" t="s">
        <v>119</v>
      </c>
      <c r="E8" s="251" t="s">
        <v>113</v>
      </c>
      <c r="F8" s="251" t="s">
        <v>115</v>
      </c>
      <c r="G8" s="602" t="s">
        <v>114</v>
      </c>
      <c r="H8" s="711" t="s">
        <v>116</v>
      </c>
      <c r="I8" s="706" t="s">
        <v>935</v>
      </c>
      <c r="J8" s="714" t="s">
        <v>936</v>
      </c>
      <c r="K8" s="251" t="s">
        <v>118</v>
      </c>
      <c r="L8" s="714" t="s">
        <v>937</v>
      </c>
      <c r="M8" s="250" t="s">
        <v>117</v>
      </c>
      <c r="N8" s="250" t="s">
        <v>1008</v>
      </c>
      <c r="O8" s="248" t="s">
        <v>120</v>
      </c>
      <c r="P8" s="707" t="s">
        <v>121</v>
      </c>
      <c r="Q8" s="132"/>
      <c r="R8" s="132"/>
      <c r="S8" s="132"/>
      <c r="T8" s="132"/>
      <c r="U8" s="132"/>
      <c r="V8" s="766"/>
      <c r="W8" s="766"/>
      <c r="X8" s="766"/>
      <c r="Y8" s="766"/>
      <c r="Z8" s="767"/>
      <c r="AA8" s="767"/>
      <c r="AB8" s="4"/>
      <c r="AC8" s="4"/>
      <c r="AD8" s="4"/>
      <c r="AE8" s="4"/>
    </row>
    <row r="9" spans="1:31" s="247" customFormat="1" ht="15" x14ac:dyDescent="0.25">
      <c r="A9" s="249"/>
      <c r="B9" s="683" t="s">
        <v>991</v>
      </c>
      <c r="C9" s="703" t="s">
        <v>992</v>
      </c>
      <c r="D9" s="708" t="s">
        <v>956</v>
      </c>
      <c r="E9" s="684" t="s">
        <v>957</v>
      </c>
      <c r="F9" s="686">
        <v>20</v>
      </c>
      <c r="G9" s="685">
        <v>60</v>
      </c>
      <c r="H9" s="712">
        <f>F9*G9</f>
        <v>1200</v>
      </c>
      <c r="I9" s="713">
        <f>ROUNDUP(35*2*'Inputs and eligible population'!D66,-1)</f>
        <v>130</v>
      </c>
      <c r="J9" s="686">
        <v>10</v>
      </c>
      <c r="K9" s="683">
        <v>5</v>
      </c>
      <c r="L9" s="687">
        <f>I9*J9*K9</f>
        <v>6500</v>
      </c>
      <c r="M9" s="688">
        <f>'Inputs and eligible population'!I56</f>
        <v>0</v>
      </c>
      <c r="N9" s="739">
        <v>1</v>
      </c>
      <c r="O9" s="715">
        <f>'Inputs and eligible population'!J56</f>
        <v>0.2</v>
      </c>
      <c r="P9" s="709">
        <f>L9/H9*M9*(1+O9)*N9</f>
        <v>0</v>
      </c>
      <c r="Q9" s="132"/>
      <c r="R9" s="132"/>
      <c r="S9" s="132"/>
      <c r="T9" s="132"/>
      <c r="U9" s="132"/>
      <c r="V9" s="766"/>
      <c r="W9" s="766"/>
      <c r="X9" s="766"/>
      <c r="Y9" s="766"/>
      <c r="Z9" s="767"/>
      <c r="AA9" s="767"/>
      <c r="AB9" s="4"/>
      <c r="AC9" s="4"/>
      <c r="AD9" s="4"/>
      <c r="AE9" s="4"/>
    </row>
    <row r="10" spans="1:31" s="247" customFormat="1" ht="15" x14ac:dyDescent="0.25">
      <c r="A10" s="249"/>
      <c r="B10" s="683"/>
      <c r="C10" s="770" t="s">
        <v>1066</v>
      </c>
      <c r="D10" s="708"/>
      <c r="E10" s="684"/>
      <c r="F10" s="686"/>
      <c r="G10" s="685"/>
      <c r="H10" s="712"/>
      <c r="I10" s="713"/>
      <c r="J10" s="686"/>
      <c r="K10" s="683"/>
      <c r="L10" s="687"/>
      <c r="M10" s="688"/>
      <c r="N10" s="771">
        <f>N9</f>
        <v>1</v>
      </c>
      <c r="O10" s="715"/>
      <c r="P10" s="772">
        <f>P9</f>
        <v>0</v>
      </c>
      <c r="Q10" s="132"/>
      <c r="R10" s="132"/>
      <c r="S10" s="132"/>
      <c r="T10" s="132"/>
      <c r="U10" s="132"/>
      <c r="V10" s="766"/>
      <c r="W10" s="766"/>
      <c r="X10" s="766"/>
      <c r="Y10" s="766"/>
      <c r="Z10" s="767"/>
      <c r="AA10" s="767"/>
      <c r="AB10" s="4"/>
      <c r="AC10" s="4"/>
      <c r="AD10" s="4"/>
      <c r="AE10" s="4"/>
    </row>
    <row r="11" spans="1:31" s="247" customFormat="1" ht="15" x14ac:dyDescent="0.25">
      <c r="A11" s="249"/>
      <c r="B11" s="683" t="s">
        <v>1007</v>
      </c>
      <c r="C11" s="703" t="s">
        <v>1000</v>
      </c>
      <c r="D11" s="708" t="s">
        <v>1006</v>
      </c>
      <c r="E11" s="684" t="s">
        <v>899</v>
      </c>
      <c r="F11" s="686">
        <v>400</v>
      </c>
      <c r="G11" s="685">
        <v>1</v>
      </c>
      <c r="H11" s="712">
        <f t="shared" ref="H11:H16" si="0">F11*G11</f>
        <v>400</v>
      </c>
      <c r="I11" s="713">
        <f>ROUND(5*'Inputs and eligible population'!$D$65,-2)</f>
        <v>400</v>
      </c>
      <c r="J11" s="686">
        <v>2</v>
      </c>
      <c r="K11" s="683">
        <v>5</v>
      </c>
      <c r="L11" s="687">
        <f>I11*J11*K11</f>
        <v>4000</v>
      </c>
      <c r="M11" s="688">
        <f>'Inputs and eligible population'!I57</f>
        <v>0</v>
      </c>
      <c r="N11" s="739">
        <v>0</v>
      </c>
      <c r="O11" s="715">
        <f>'Inputs and eligible population'!$J$57</f>
        <v>0.2</v>
      </c>
      <c r="P11" s="709">
        <f>L11/H11*M11*(1+O11)*N11</f>
        <v>0</v>
      </c>
      <c r="Q11" s="132"/>
      <c r="R11" s="132"/>
      <c r="S11" s="132"/>
      <c r="T11" s="132"/>
      <c r="U11" s="132"/>
      <c r="V11" s="766"/>
      <c r="W11" s="766"/>
      <c r="X11" s="766"/>
      <c r="Y11" s="766"/>
      <c r="Z11" s="767"/>
      <c r="AA11" s="767"/>
      <c r="AB11" s="4"/>
      <c r="AC11" s="4"/>
      <c r="AD11" s="4"/>
      <c r="AE11" s="4"/>
    </row>
    <row r="12" spans="1:31" s="247" customFormat="1" ht="15" x14ac:dyDescent="0.25">
      <c r="A12" s="249"/>
      <c r="B12" s="683" t="s">
        <v>1007</v>
      </c>
      <c r="C12" s="703" t="s">
        <v>1001</v>
      </c>
      <c r="D12" s="708" t="s">
        <v>1006</v>
      </c>
      <c r="E12" s="684" t="s">
        <v>899</v>
      </c>
      <c r="F12" s="686">
        <v>400</v>
      </c>
      <c r="G12" s="685">
        <v>1</v>
      </c>
      <c r="H12" s="712">
        <f t="shared" si="0"/>
        <v>400</v>
      </c>
      <c r="I12" s="713">
        <f>ROUND(5*'Inputs and eligible population'!$D$65,-2)</f>
        <v>400</v>
      </c>
      <c r="J12" s="686">
        <v>2</v>
      </c>
      <c r="K12" s="683">
        <v>5</v>
      </c>
      <c r="L12" s="687">
        <f t="shared" ref="L12:L16" si="1">I12*J12*K12</f>
        <v>4000</v>
      </c>
      <c r="M12" s="688">
        <f>'Inputs and eligible population'!I58</f>
        <v>0</v>
      </c>
      <c r="N12" s="739">
        <v>0</v>
      </c>
      <c r="O12" s="715">
        <f>'Inputs and eligible population'!$J$57</f>
        <v>0.2</v>
      </c>
      <c r="P12" s="709">
        <f t="shared" ref="P12:P16" si="2">L12/H12*M12*(1+O12)*N12</f>
        <v>0</v>
      </c>
      <c r="Q12" s="132"/>
      <c r="R12" s="132"/>
      <c r="S12" s="132"/>
      <c r="T12" s="132"/>
      <c r="U12" s="132"/>
      <c r="V12" s="766"/>
      <c r="W12" s="766"/>
      <c r="X12" s="766"/>
      <c r="Y12" s="766"/>
      <c r="Z12" s="767"/>
      <c r="AA12" s="767"/>
      <c r="AB12" s="4"/>
      <c r="AC12" s="4"/>
      <c r="AD12" s="4"/>
      <c r="AE12" s="4"/>
    </row>
    <row r="13" spans="1:31" s="247" customFormat="1" ht="15" x14ac:dyDescent="0.25">
      <c r="A13" s="249"/>
      <c r="B13" s="683" t="s">
        <v>1007</v>
      </c>
      <c r="C13" s="703" t="s">
        <v>1002</v>
      </c>
      <c r="D13" s="708" t="s">
        <v>1006</v>
      </c>
      <c r="E13" s="684" t="s">
        <v>899</v>
      </c>
      <c r="F13" s="686">
        <v>400</v>
      </c>
      <c r="G13" s="685">
        <v>1</v>
      </c>
      <c r="H13" s="712">
        <f t="shared" si="0"/>
        <v>400</v>
      </c>
      <c r="I13" s="713">
        <f>ROUND(5*'Inputs and eligible population'!$D$65,-2)</f>
        <v>400</v>
      </c>
      <c r="J13" s="686">
        <v>2</v>
      </c>
      <c r="K13" s="683">
        <v>5</v>
      </c>
      <c r="L13" s="687">
        <f t="shared" si="1"/>
        <v>4000</v>
      </c>
      <c r="M13" s="688">
        <f>'Inputs and eligible population'!I59</f>
        <v>0</v>
      </c>
      <c r="N13" s="739">
        <v>0</v>
      </c>
      <c r="O13" s="715">
        <f>'Inputs and eligible population'!$J$57</f>
        <v>0.2</v>
      </c>
      <c r="P13" s="709">
        <f t="shared" si="2"/>
        <v>0</v>
      </c>
      <c r="Q13" s="132"/>
      <c r="R13" s="132"/>
      <c r="S13" s="132"/>
      <c r="T13" s="132"/>
      <c r="U13" s="132"/>
      <c r="V13" s="766"/>
      <c r="W13" s="766"/>
      <c r="X13" s="766"/>
      <c r="Y13" s="766"/>
      <c r="Z13" s="767"/>
      <c r="AA13" s="767"/>
      <c r="AB13" s="4"/>
      <c r="AC13" s="4"/>
      <c r="AD13" s="4"/>
      <c r="AE13" s="4"/>
    </row>
    <row r="14" spans="1:31" s="247" customFormat="1" ht="15" x14ac:dyDescent="0.25">
      <c r="A14" s="249"/>
      <c r="B14" s="683" t="s">
        <v>1007</v>
      </c>
      <c r="C14" s="703" t="s">
        <v>1003</v>
      </c>
      <c r="D14" s="708" t="s">
        <v>1006</v>
      </c>
      <c r="E14" s="684" t="s">
        <v>899</v>
      </c>
      <c r="F14" s="686">
        <v>400</v>
      </c>
      <c r="G14" s="685">
        <v>1</v>
      </c>
      <c r="H14" s="712">
        <f t="shared" si="0"/>
        <v>400</v>
      </c>
      <c r="I14" s="713">
        <f>ROUND(5*'Inputs and eligible population'!$D$65,-2)</f>
        <v>400</v>
      </c>
      <c r="J14" s="686">
        <v>2</v>
      </c>
      <c r="K14" s="683">
        <v>5</v>
      </c>
      <c r="L14" s="687">
        <f t="shared" si="1"/>
        <v>4000</v>
      </c>
      <c r="M14" s="688">
        <f>'Inputs and eligible population'!I60</f>
        <v>0</v>
      </c>
      <c r="N14" s="739">
        <v>0</v>
      </c>
      <c r="O14" s="715">
        <f>'Inputs and eligible population'!$J$57</f>
        <v>0.2</v>
      </c>
      <c r="P14" s="709">
        <f t="shared" si="2"/>
        <v>0</v>
      </c>
      <c r="Q14" s="132"/>
      <c r="R14" s="132"/>
      <c r="S14" s="132"/>
      <c r="T14" s="132"/>
      <c r="U14" s="132"/>
      <c r="V14" s="766"/>
      <c r="W14" s="766"/>
      <c r="X14" s="766"/>
      <c r="Y14" s="766"/>
      <c r="Z14" s="767"/>
      <c r="AA14" s="767"/>
      <c r="AB14" s="4"/>
      <c r="AC14" s="4"/>
      <c r="AD14" s="4"/>
      <c r="AE14" s="4"/>
    </row>
    <row r="15" spans="1:31" s="247" customFormat="1" ht="15" x14ac:dyDescent="0.25">
      <c r="A15" s="249"/>
      <c r="B15" s="683" t="s">
        <v>1007</v>
      </c>
      <c r="C15" s="703" t="s">
        <v>1004</v>
      </c>
      <c r="D15" s="708" t="s">
        <v>1006</v>
      </c>
      <c r="E15" s="684" t="s">
        <v>899</v>
      </c>
      <c r="F15" s="686">
        <v>400</v>
      </c>
      <c r="G15" s="685">
        <v>1</v>
      </c>
      <c r="H15" s="712">
        <f>F15*G15</f>
        <v>400</v>
      </c>
      <c r="I15" s="713">
        <f>ROUND(5*'Inputs and eligible population'!$D$65,-2)</f>
        <v>400</v>
      </c>
      <c r="J15" s="686">
        <v>2</v>
      </c>
      <c r="K15" s="683">
        <v>5</v>
      </c>
      <c r="L15" s="687">
        <f t="shared" si="1"/>
        <v>4000</v>
      </c>
      <c r="M15" s="688">
        <f>'Inputs and eligible population'!I61</f>
        <v>0</v>
      </c>
      <c r="N15" s="739">
        <v>0</v>
      </c>
      <c r="O15" s="715">
        <f>'Inputs and eligible population'!$J$57</f>
        <v>0.2</v>
      </c>
      <c r="P15" s="709">
        <f t="shared" si="2"/>
        <v>0</v>
      </c>
      <c r="Q15" s="132"/>
      <c r="R15" s="132"/>
      <c r="S15" s="132"/>
      <c r="T15" s="132"/>
      <c r="U15" s="132"/>
      <c r="V15" s="766"/>
      <c r="W15" s="766"/>
      <c r="X15" s="766"/>
      <c r="Y15" s="766"/>
      <c r="Z15" s="767"/>
      <c r="AA15" s="767"/>
      <c r="AB15" s="4"/>
      <c r="AC15" s="4"/>
      <c r="AD15" s="4"/>
      <c r="AE15" s="4"/>
    </row>
    <row r="16" spans="1:31" s="247" customFormat="1" ht="15" x14ac:dyDescent="0.25">
      <c r="A16" s="249"/>
      <c r="B16" s="683" t="s">
        <v>1007</v>
      </c>
      <c r="C16" s="703" t="s">
        <v>1005</v>
      </c>
      <c r="D16" s="708" t="s">
        <v>1006</v>
      </c>
      <c r="E16" s="684" t="s">
        <v>899</v>
      </c>
      <c r="F16" s="686">
        <v>400</v>
      </c>
      <c r="G16" s="685">
        <v>1</v>
      </c>
      <c r="H16" s="712">
        <f t="shared" si="0"/>
        <v>400</v>
      </c>
      <c r="I16" s="713">
        <f>ROUND(5*'Inputs and eligible population'!$D$65,-2)</f>
        <v>400</v>
      </c>
      <c r="J16" s="686">
        <v>2</v>
      </c>
      <c r="K16" s="683">
        <v>5</v>
      </c>
      <c r="L16" s="687">
        <f t="shared" si="1"/>
        <v>4000</v>
      </c>
      <c r="M16" s="688">
        <f>'Inputs and eligible population'!I62</f>
        <v>0</v>
      </c>
      <c r="N16" s="739">
        <v>0</v>
      </c>
      <c r="O16" s="715">
        <f>'Inputs and eligible population'!$J$57</f>
        <v>0.2</v>
      </c>
      <c r="P16" s="709">
        <f t="shared" si="2"/>
        <v>0</v>
      </c>
      <c r="Q16" s="132"/>
      <c r="R16" s="132"/>
      <c r="S16" s="132"/>
      <c r="T16" s="132"/>
      <c r="U16" s="132"/>
      <c r="V16" s="766"/>
      <c r="W16" s="766"/>
      <c r="X16" s="766"/>
      <c r="Y16" s="766"/>
      <c r="Z16" s="767"/>
      <c r="AA16" s="767"/>
      <c r="AB16" s="4"/>
      <c r="AC16" s="4"/>
      <c r="AD16" s="4"/>
      <c r="AE16" s="4"/>
    </row>
    <row r="17" spans="1:31" s="247" customFormat="1" ht="15" x14ac:dyDescent="0.25">
      <c r="A17" s="249"/>
      <c r="B17" s="683"/>
      <c r="C17" s="770" t="s">
        <v>1065</v>
      </c>
      <c r="D17" s="708"/>
      <c r="E17" s="684"/>
      <c r="F17" s="686"/>
      <c r="G17" s="685"/>
      <c r="H17" s="712"/>
      <c r="I17" s="713"/>
      <c r="J17" s="686"/>
      <c r="K17" s="683"/>
      <c r="L17" s="687"/>
      <c r="M17" s="688"/>
      <c r="N17" s="771">
        <f>SUM(N11:N16)</f>
        <v>0</v>
      </c>
      <c r="O17" s="715"/>
      <c r="P17" s="772">
        <f>SUM(P11:P16)</f>
        <v>0</v>
      </c>
      <c r="Q17" s="132"/>
      <c r="R17" s="132"/>
      <c r="S17" s="132"/>
      <c r="T17" s="132"/>
      <c r="U17" s="132"/>
      <c r="V17" s="766"/>
      <c r="W17" s="766"/>
      <c r="X17" s="766"/>
      <c r="Y17" s="766"/>
      <c r="Z17" s="767"/>
      <c r="AA17" s="767"/>
      <c r="AB17" s="4"/>
      <c r="AC17" s="4"/>
      <c r="AD17" s="4"/>
      <c r="AE17" s="4"/>
    </row>
    <row r="18" spans="1:31" s="247" customFormat="1" ht="15.75" thickBot="1" x14ac:dyDescent="0.3">
      <c r="A18" s="249"/>
      <c r="B18" s="689" t="s">
        <v>998</v>
      </c>
      <c r="C18" s="252" t="s">
        <v>122</v>
      </c>
      <c r="D18" s="704"/>
      <c r="E18" s="704"/>
      <c r="F18" s="704"/>
      <c r="G18" s="704"/>
      <c r="H18" s="704"/>
      <c r="I18" s="704"/>
      <c r="J18" s="704"/>
      <c r="K18" s="704"/>
      <c r="L18" s="704"/>
      <c r="M18" s="704"/>
      <c r="N18" s="704"/>
      <c r="O18" s="704"/>
      <c r="P18" s="716">
        <f>P17+P10</f>
        <v>0</v>
      </c>
      <c r="Q18" s="132"/>
      <c r="R18" s="132"/>
      <c r="S18" s="132"/>
      <c r="T18" s="132"/>
      <c r="U18" s="132"/>
      <c r="V18" s="766"/>
      <c r="W18" s="766"/>
      <c r="X18" s="766"/>
      <c r="Y18" s="766"/>
      <c r="Z18" s="767"/>
      <c r="AA18" s="767"/>
      <c r="AB18" s="4"/>
      <c r="AC18" s="4"/>
      <c r="AD18" s="4"/>
      <c r="AE18" s="4"/>
    </row>
    <row r="19" spans="1:31" s="247" customFormat="1" ht="15" x14ac:dyDescent="0.25">
      <c r="A19" s="249"/>
      <c r="B19" s="249" t="s">
        <v>1069</v>
      </c>
      <c r="C19" s="249"/>
      <c r="D19" s="249"/>
      <c r="E19" s="249"/>
      <c r="F19" s="249"/>
      <c r="G19" s="249"/>
      <c r="H19" s="249"/>
      <c r="I19" s="249"/>
      <c r="J19" s="249"/>
      <c r="K19" s="249"/>
      <c r="L19" s="249"/>
      <c r="M19" s="249"/>
      <c r="N19" s="249"/>
      <c r="O19" s="249"/>
      <c r="P19" s="773"/>
      <c r="Q19" s="132"/>
      <c r="R19" s="132"/>
      <c r="S19" s="132"/>
      <c r="T19" s="132"/>
      <c r="U19" s="132"/>
      <c r="V19" s="766"/>
      <c r="W19" s="766"/>
      <c r="X19" s="766"/>
      <c r="Y19" s="766"/>
      <c r="Z19" s="767"/>
      <c r="AA19" s="767"/>
      <c r="AB19" s="4"/>
      <c r="AC19" s="4"/>
      <c r="AD19" s="4"/>
      <c r="AE19" s="4"/>
    </row>
    <row r="20" spans="1:31" s="247" customFormat="1" ht="15" x14ac:dyDescent="0.25">
      <c r="A20" s="249"/>
      <c r="B20" s="776"/>
      <c r="C20" s="704"/>
      <c r="D20" s="704"/>
      <c r="E20" s="704"/>
      <c r="F20" s="704"/>
      <c r="G20" s="704"/>
      <c r="H20" s="704"/>
      <c r="I20" s="704"/>
      <c r="J20" s="704"/>
      <c r="K20" s="704"/>
      <c r="L20" s="704"/>
      <c r="M20" s="704"/>
      <c r="N20" s="704"/>
      <c r="O20" s="704"/>
      <c r="P20" s="777"/>
      <c r="Q20" s="132"/>
      <c r="R20" s="132"/>
      <c r="S20" s="132"/>
      <c r="T20" s="132"/>
      <c r="U20" s="132"/>
      <c r="V20" s="766"/>
      <c r="W20" s="766"/>
      <c r="X20" s="766"/>
      <c r="Y20" s="766"/>
      <c r="Z20" s="767"/>
      <c r="AA20" s="767"/>
      <c r="AB20" s="4"/>
      <c r="AC20" s="4"/>
      <c r="AD20" s="4"/>
      <c r="AE20" s="4"/>
    </row>
    <row r="21" spans="1:31" s="247" customFormat="1" ht="60.75" thickBot="1" x14ac:dyDescent="0.3">
      <c r="A21" s="249"/>
      <c r="B21" s="775" t="s">
        <v>111</v>
      </c>
      <c r="C21" s="774" t="s">
        <v>112</v>
      </c>
      <c r="D21" s="706" t="s">
        <v>119</v>
      </c>
      <c r="E21" s="251" t="s">
        <v>113</v>
      </c>
      <c r="F21" s="251" t="s">
        <v>115</v>
      </c>
      <c r="G21" s="602" t="s">
        <v>114</v>
      </c>
      <c r="H21" s="711" t="s">
        <v>116</v>
      </c>
      <c r="I21" s="706" t="s">
        <v>935</v>
      </c>
      <c r="J21" s="714" t="s">
        <v>936</v>
      </c>
      <c r="K21" s="251" t="s">
        <v>118</v>
      </c>
      <c r="L21" s="714" t="s">
        <v>937</v>
      </c>
      <c r="M21" s="250" t="s">
        <v>117</v>
      </c>
      <c r="N21" s="250" t="s">
        <v>1008</v>
      </c>
      <c r="O21" s="248" t="s">
        <v>120</v>
      </c>
      <c r="P21" s="707" t="s">
        <v>121</v>
      </c>
      <c r="Q21" s="132"/>
      <c r="R21" s="132"/>
      <c r="S21" s="132"/>
      <c r="T21" s="132"/>
      <c r="U21" s="132"/>
      <c r="V21" s="766"/>
      <c r="W21" s="766"/>
      <c r="X21" s="766"/>
      <c r="Y21" s="766"/>
      <c r="Z21" s="767"/>
      <c r="AA21" s="767"/>
      <c r="AB21" s="4"/>
      <c r="AC21" s="4"/>
      <c r="AD21" s="4"/>
      <c r="AE21" s="4"/>
    </row>
    <row r="22" spans="1:31" s="247" customFormat="1" ht="15" x14ac:dyDescent="0.25">
      <c r="A22" s="249"/>
      <c r="B22" s="683" t="s">
        <v>991</v>
      </c>
      <c r="C22" s="703" t="s">
        <v>992</v>
      </c>
      <c r="D22" s="743" t="s">
        <v>956</v>
      </c>
      <c r="E22" s="744" t="s">
        <v>957</v>
      </c>
      <c r="F22" s="745">
        <v>20</v>
      </c>
      <c r="G22" s="746">
        <v>60</v>
      </c>
      <c r="H22" s="747">
        <f>F22*G22</f>
        <v>1200</v>
      </c>
      <c r="I22" s="748">
        <f>ROUNDUP(35*2*'Inputs and eligible population'!D66,-1)</f>
        <v>130</v>
      </c>
      <c r="J22" s="745">
        <v>10</v>
      </c>
      <c r="K22" s="749">
        <v>2</v>
      </c>
      <c r="L22" s="750">
        <f>I22*J22*K22</f>
        <v>2600</v>
      </c>
      <c r="M22" s="742">
        <f>'Inputs and eligible population'!I56</f>
        <v>0</v>
      </c>
      <c r="N22" s="754">
        <v>1</v>
      </c>
      <c r="O22" s="755">
        <f>'Inputs and eligible population'!J56</f>
        <v>0.2</v>
      </c>
      <c r="P22" s="756">
        <f>L22/H22*M22*(1+O22)*N22</f>
        <v>0</v>
      </c>
      <c r="Q22" s="132"/>
      <c r="R22" s="132"/>
      <c r="S22" s="132"/>
      <c r="T22" s="132"/>
      <c r="U22" s="132"/>
      <c r="V22" s="766"/>
      <c r="W22" s="766"/>
      <c r="X22" s="766"/>
      <c r="Y22" s="766"/>
      <c r="Z22" s="767"/>
      <c r="AA22" s="767"/>
      <c r="AB22" s="4"/>
      <c r="AC22" s="4"/>
      <c r="AD22" s="4"/>
      <c r="AE22" s="4"/>
    </row>
    <row r="23" spans="1:31" s="247" customFormat="1" ht="15.75" thickBot="1" x14ac:dyDescent="0.3">
      <c r="A23" s="249"/>
      <c r="B23" s="689" t="s">
        <v>993</v>
      </c>
      <c r="C23" s="252" t="s">
        <v>122</v>
      </c>
      <c r="D23" s="704"/>
      <c r="E23" s="704"/>
      <c r="F23" s="704"/>
      <c r="G23" s="704"/>
      <c r="H23" s="704"/>
      <c r="I23" s="704"/>
      <c r="J23" s="704"/>
      <c r="K23" s="704"/>
      <c r="L23" s="704"/>
      <c r="M23" s="704"/>
      <c r="N23" s="704"/>
      <c r="O23" s="741"/>
      <c r="P23" s="716">
        <f>SUM(P22)</f>
        <v>0</v>
      </c>
      <c r="Q23" s="132"/>
      <c r="R23" s="132"/>
      <c r="S23" s="132"/>
      <c r="T23" s="132"/>
      <c r="U23" s="132"/>
      <c r="V23" s="766"/>
      <c r="W23" s="766"/>
      <c r="X23" s="766"/>
      <c r="Y23" s="766"/>
      <c r="Z23" s="767"/>
      <c r="AA23" s="767"/>
      <c r="AB23" s="4"/>
      <c r="AC23" s="4"/>
      <c r="AD23" s="4"/>
      <c r="AE23" s="4"/>
    </row>
    <row r="24" spans="1:31" s="247" customFormat="1" ht="15.75" thickBot="1" x14ac:dyDescent="0.3">
      <c r="A24" s="249"/>
      <c r="B24" s="733"/>
      <c r="C24" s="733"/>
      <c r="D24" s="717"/>
      <c r="E24" s="717"/>
      <c r="F24" s="717"/>
      <c r="G24" s="717"/>
      <c r="H24" s="717"/>
      <c r="I24" s="717"/>
      <c r="J24" s="717"/>
      <c r="K24" s="717"/>
      <c r="L24" s="717"/>
      <c r="M24" s="717"/>
      <c r="N24" s="717"/>
      <c r="O24" s="740"/>
      <c r="P24" s="753"/>
      <c r="Q24" s="132"/>
      <c r="R24" s="132"/>
      <c r="S24" s="132"/>
      <c r="T24" s="132"/>
      <c r="U24" s="132"/>
      <c r="V24" s="766"/>
      <c r="W24" s="766"/>
      <c r="X24" s="766"/>
      <c r="Y24" s="766"/>
      <c r="Z24" s="767"/>
      <c r="AA24" s="767"/>
      <c r="AB24" s="4"/>
      <c r="AC24" s="4"/>
      <c r="AD24" s="4"/>
      <c r="AE24" s="4"/>
    </row>
    <row r="25" spans="1:31" s="247" customFormat="1" ht="60" x14ac:dyDescent="0.25">
      <c r="A25" s="249"/>
      <c r="B25" s="248" t="s">
        <v>111</v>
      </c>
      <c r="C25" s="250" t="s">
        <v>112</v>
      </c>
      <c r="D25" s="706" t="s">
        <v>119</v>
      </c>
      <c r="E25" s="251" t="s">
        <v>113</v>
      </c>
      <c r="F25" s="251" t="s">
        <v>115</v>
      </c>
      <c r="G25" s="602" t="s">
        <v>114</v>
      </c>
      <c r="H25" s="711" t="s">
        <v>116</v>
      </c>
      <c r="I25" s="706" t="s">
        <v>935</v>
      </c>
      <c r="J25" s="714" t="s">
        <v>936</v>
      </c>
      <c r="K25" s="251" t="s">
        <v>118</v>
      </c>
      <c r="L25" s="714" t="s">
        <v>937</v>
      </c>
      <c r="M25" s="250" t="s">
        <v>117</v>
      </c>
      <c r="N25" s="250" t="s">
        <v>1008</v>
      </c>
      <c r="O25" s="248" t="s">
        <v>120</v>
      </c>
      <c r="P25" s="752" t="s">
        <v>121</v>
      </c>
      <c r="Q25" s="132"/>
      <c r="R25" s="132"/>
      <c r="S25" s="132"/>
      <c r="T25" s="132"/>
      <c r="U25" s="132"/>
      <c r="V25" s="766"/>
      <c r="W25" s="766"/>
      <c r="X25" s="766"/>
      <c r="Y25" s="766"/>
      <c r="Z25" s="767"/>
      <c r="AA25" s="767"/>
      <c r="AB25" s="4"/>
      <c r="AC25" s="4"/>
      <c r="AD25" s="4"/>
      <c r="AE25" s="4"/>
    </row>
    <row r="26" spans="1:31" s="247" customFormat="1" ht="15" x14ac:dyDescent="0.25">
      <c r="A26" s="249"/>
      <c r="B26" s="683" t="s">
        <v>1062</v>
      </c>
      <c r="C26" s="703" t="s">
        <v>1064</v>
      </c>
      <c r="D26" s="708" t="s">
        <v>956</v>
      </c>
      <c r="E26" s="684" t="s">
        <v>957</v>
      </c>
      <c r="F26" s="686">
        <v>40</v>
      </c>
      <c r="G26" s="685">
        <v>84</v>
      </c>
      <c r="H26" s="712">
        <f>F26*G26</f>
        <v>3360</v>
      </c>
      <c r="I26" s="713">
        <v>160</v>
      </c>
      <c r="J26" s="686">
        <v>21</v>
      </c>
      <c r="K26" s="683">
        <v>2.8</v>
      </c>
      <c r="L26" s="687">
        <f>I26*J26*K26</f>
        <v>9408</v>
      </c>
      <c r="M26" s="688">
        <f>'Inputs and eligible population'!I63</f>
        <v>0</v>
      </c>
      <c r="N26" s="715">
        <v>1</v>
      </c>
      <c r="O26" s="755">
        <f>'Inputs and eligible population'!J63</f>
        <v>0.2</v>
      </c>
      <c r="P26" s="756">
        <f>L26/H26*M26*(1+O26)*N26</f>
        <v>0</v>
      </c>
      <c r="Q26" s="132"/>
      <c r="R26" s="132"/>
      <c r="S26" s="132"/>
      <c r="T26" s="132"/>
      <c r="U26" s="132"/>
      <c r="V26" s="766"/>
      <c r="W26" s="766"/>
      <c r="X26" s="766"/>
      <c r="Y26" s="766"/>
      <c r="Z26" s="767"/>
      <c r="AA26" s="767"/>
      <c r="AB26" s="4"/>
      <c r="AC26" s="4"/>
      <c r="AD26" s="4"/>
      <c r="AE26" s="4"/>
    </row>
    <row r="27" spans="1:31" s="247" customFormat="1" ht="15.75" thickBot="1" x14ac:dyDescent="0.3">
      <c r="A27" s="249"/>
      <c r="B27" s="689" t="s">
        <v>1063</v>
      </c>
      <c r="C27" s="252" t="s">
        <v>122</v>
      </c>
      <c r="D27" s="704"/>
      <c r="E27" s="704"/>
      <c r="F27" s="704"/>
      <c r="G27" s="704"/>
      <c r="H27" s="704"/>
      <c r="I27" s="704"/>
      <c r="J27" s="704"/>
      <c r="K27" s="704"/>
      <c r="L27" s="704"/>
      <c r="M27" s="704"/>
      <c r="N27" s="704"/>
      <c r="O27" s="741"/>
      <c r="P27" s="716">
        <f>P26</f>
        <v>0</v>
      </c>
      <c r="Q27" s="132"/>
      <c r="R27" s="132"/>
      <c r="S27" s="132"/>
      <c r="T27" s="132"/>
      <c r="U27" s="132"/>
      <c r="V27" s="766"/>
      <c r="W27" s="766"/>
      <c r="X27" s="766"/>
      <c r="Y27" s="766"/>
      <c r="Z27" s="767"/>
      <c r="AA27" s="767"/>
      <c r="AB27" s="4"/>
      <c r="AC27" s="4"/>
      <c r="AD27" s="4"/>
      <c r="AE27" s="4"/>
    </row>
    <row r="28" spans="1:31" s="247" customFormat="1" ht="15" x14ac:dyDescent="0.25">
      <c r="A28" s="249"/>
      <c r="B28" s="245"/>
      <c r="C28" s="249"/>
      <c r="D28" s="751"/>
      <c r="E28" s="751"/>
      <c r="F28" s="751"/>
      <c r="G28" s="751"/>
      <c r="H28" s="751"/>
      <c r="I28" s="751"/>
      <c r="J28" s="751"/>
      <c r="K28" s="751"/>
      <c r="L28" s="751"/>
      <c r="M28" s="751"/>
      <c r="N28" s="751"/>
      <c r="O28" s="249"/>
      <c r="P28" s="132"/>
      <c r="Q28" s="132"/>
      <c r="R28" s="132"/>
      <c r="S28" s="132"/>
      <c r="T28" s="132"/>
      <c r="U28" s="132"/>
      <c r="V28" s="766"/>
      <c r="W28" s="766"/>
      <c r="X28" s="766"/>
      <c r="Y28" s="766"/>
      <c r="Z28" s="767"/>
      <c r="AA28" s="767"/>
      <c r="AB28" s="4"/>
      <c r="AC28" s="4"/>
      <c r="AD28" s="4"/>
      <c r="AE28" s="4"/>
    </row>
    <row r="29" spans="1:31" s="247" customFormat="1" ht="15" x14ac:dyDescent="0.25">
      <c r="A29" s="249"/>
      <c r="B29" s="355" t="s">
        <v>900</v>
      </c>
      <c r="C29" s="5"/>
      <c r="D29" s="177"/>
      <c r="E29" s="112"/>
      <c r="F29" s="178"/>
      <c r="G29" s="179"/>
      <c r="H29" s="5"/>
      <c r="I29" s="5"/>
      <c r="J29" s="180"/>
      <c r="K29" s="179"/>
      <c r="L29" s="179"/>
      <c r="M29" s="179"/>
      <c r="N29" s="179"/>
      <c r="O29" s="179"/>
      <c r="P29" s="180"/>
      <c r="Q29" s="179"/>
      <c r="R29" s="179"/>
      <c r="S29" s="179"/>
      <c r="T29" s="179"/>
      <c r="U29" s="179"/>
      <c r="V29" s="766"/>
      <c r="W29" s="766"/>
      <c r="X29" s="766"/>
      <c r="Y29" s="766"/>
      <c r="Z29" s="767"/>
      <c r="AA29" s="767"/>
      <c r="AB29" s="4"/>
      <c r="AC29" s="4"/>
      <c r="AD29" s="4"/>
      <c r="AE29" s="4"/>
    </row>
    <row r="30" spans="1:31" s="247" customFormat="1" ht="15" x14ac:dyDescent="0.25">
      <c r="A30" s="249"/>
      <c r="B30" s="194" t="s">
        <v>1011</v>
      </c>
      <c r="C30" s="5"/>
      <c r="D30" s="177"/>
      <c r="E30" s="112"/>
      <c r="F30" s="178"/>
      <c r="G30" s="179"/>
      <c r="H30" s="5"/>
      <c r="I30" s="5"/>
      <c r="J30" s="180"/>
      <c r="K30" s="179"/>
      <c r="L30" s="179"/>
      <c r="M30" s="179"/>
      <c r="N30" s="179"/>
      <c r="O30" s="179"/>
      <c r="P30" s="180"/>
      <c r="Q30" s="179"/>
      <c r="R30" s="179"/>
      <c r="S30" s="179"/>
      <c r="T30" s="179"/>
      <c r="U30" s="179"/>
      <c r="V30" s="766"/>
      <c r="W30" s="766"/>
      <c r="X30" s="766"/>
      <c r="Y30" s="766"/>
      <c r="Z30" s="767"/>
      <c r="AA30" s="767"/>
      <c r="AB30" s="4"/>
      <c r="AC30" s="4"/>
      <c r="AD30" s="4"/>
      <c r="AE30" s="4"/>
    </row>
    <row r="31" spans="1:31" s="247" customFormat="1" ht="15" x14ac:dyDescent="0.25">
      <c r="A31" s="249"/>
      <c r="B31" s="194"/>
      <c r="C31" s="5"/>
      <c r="D31" s="177"/>
      <c r="E31" s="112"/>
      <c r="F31" s="178"/>
      <c r="G31" s="179"/>
      <c r="H31" s="5"/>
      <c r="I31" s="5"/>
      <c r="J31" s="180"/>
      <c r="K31" s="179"/>
      <c r="L31" s="179"/>
      <c r="M31" s="179"/>
      <c r="N31" s="179"/>
      <c r="O31" s="179"/>
      <c r="P31" s="180"/>
      <c r="Q31" s="179"/>
      <c r="R31" s="179"/>
      <c r="S31" s="179"/>
      <c r="T31" s="179"/>
      <c r="U31" s="179"/>
      <c r="V31" s="766"/>
      <c r="W31" s="766"/>
      <c r="X31" s="766"/>
      <c r="Y31" s="766"/>
      <c r="Z31" s="767"/>
      <c r="AA31" s="767"/>
      <c r="AB31" s="4"/>
      <c r="AC31" s="4"/>
      <c r="AD31" s="4"/>
      <c r="AE31" s="4"/>
    </row>
    <row r="32" spans="1:31" s="247" customFormat="1" ht="15" x14ac:dyDescent="0.25">
      <c r="A32" s="5"/>
      <c r="B32" s="245" t="s">
        <v>123</v>
      </c>
      <c r="C32" s="249"/>
      <c r="D32" s="177"/>
      <c r="E32" s="112"/>
      <c r="F32" s="178"/>
      <c r="G32" s="179"/>
      <c r="H32" s="5"/>
      <c r="I32" s="5"/>
      <c r="J32" s="180"/>
      <c r="K32" s="179"/>
      <c r="L32" s="179"/>
      <c r="M32" s="179"/>
      <c r="N32" s="179"/>
      <c r="O32" s="179"/>
      <c r="P32" s="180"/>
      <c r="Q32" s="179"/>
      <c r="R32" s="179"/>
      <c r="S32" s="179"/>
      <c r="T32" s="179"/>
      <c r="U32" s="179"/>
      <c r="V32" s="766"/>
      <c r="W32" s="766"/>
      <c r="X32" s="766"/>
      <c r="Y32" s="766"/>
      <c r="Z32" s="767"/>
      <c r="AA32" s="767"/>
      <c r="AB32" s="4"/>
      <c r="AC32" s="4"/>
      <c r="AD32" s="4"/>
      <c r="AE32" s="4"/>
    </row>
    <row r="33" spans="1:31" s="247" customFormat="1" ht="90.75" customHeight="1" x14ac:dyDescent="0.25">
      <c r="A33" s="5"/>
      <c r="B33" s="248" t="s">
        <v>124</v>
      </c>
      <c r="C33" s="250" t="s">
        <v>125</v>
      </c>
      <c r="D33" s="250" t="s">
        <v>59</v>
      </c>
      <c r="E33" s="253" t="s">
        <v>126</v>
      </c>
      <c r="F33" s="455"/>
      <c r="G33" s="456"/>
      <c r="H33" s="457"/>
      <c r="I33" s="456"/>
      <c r="J33" s="457"/>
      <c r="K33" s="456"/>
      <c r="L33" s="456"/>
      <c r="M33" s="456"/>
      <c r="N33" s="456"/>
      <c r="O33" s="459" t="s">
        <v>127</v>
      </c>
      <c r="P33" s="180"/>
      <c r="Q33" s="179"/>
      <c r="R33" s="179"/>
      <c r="S33" s="179"/>
      <c r="T33" s="764"/>
      <c r="U33" s="179"/>
      <c r="V33" s="766"/>
      <c r="W33" s="766"/>
      <c r="X33" s="766"/>
      <c r="Y33" s="766"/>
      <c r="Z33" s="767"/>
      <c r="AA33" s="767"/>
      <c r="AB33" s="4"/>
      <c r="AC33" s="4"/>
      <c r="AD33" s="4"/>
      <c r="AE33" s="4"/>
    </row>
    <row r="34" spans="1:31" s="247" customFormat="1" ht="15" x14ac:dyDescent="0.25">
      <c r="A34" s="5"/>
      <c r="B34" s="683" t="s">
        <v>1012</v>
      </c>
      <c r="C34" s="690" t="s">
        <v>1016</v>
      </c>
      <c r="D34" s="691">
        <v>1</v>
      </c>
      <c r="E34" s="604" t="s">
        <v>1013</v>
      </c>
      <c r="F34" s="606"/>
      <c r="G34" s="607"/>
      <c r="H34" s="608"/>
      <c r="I34" s="608"/>
      <c r="J34" s="608"/>
      <c r="K34" s="608"/>
      <c r="L34" s="608"/>
      <c r="M34" s="608"/>
      <c r="N34" s="608"/>
      <c r="O34" s="610">
        <v>178</v>
      </c>
      <c r="P34" s="180"/>
      <c r="Q34" s="179"/>
      <c r="R34" s="179"/>
      <c r="S34" s="179"/>
      <c r="T34" s="765"/>
      <c r="U34" s="179"/>
      <c r="V34" s="766"/>
      <c r="W34" s="766"/>
      <c r="X34" s="766"/>
      <c r="Y34" s="766"/>
      <c r="Z34" s="767"/>
      <c r="AA34" s="767"/>
      <c r="AB34" s="4"/>
      <c r="AC34" s="4"/>
      <c r="AD34" s="4"/>
      <c r="AE34" s="4"/>
    </row>
    <row r="35" spans="1:31" s="247" customFormat="1" ht="15" x14ac:dyDescent="0.25">
      <c r="A35" s="5"/>
      <c r="B35" s="683" t="s">
        <v>1012</v>
      </c>
      <c r="C35" s="690" t="s">
        <v>1017</v>
      </c>
      <c r="D35" s="691">
        <v>1</v>
      </c>
      <c r="E35" s="604" t="s">
        <v>1014</v>
      </c>
      <c r="F35" s="606"/>
      <c r="G35" s="607"/>
      <c r="H35" s="608"/>
      <c r="I35" s="608"/>
      <c r="J35" s="608"/>
      <c r="K35" s="608"/>
      <c r="L35" s="608"/>
      <c r="M35" s="608"/>
      <c r="N35" s="608"/>
      <c r="O35" s="610">
        <v>356</v>
      </c>
      <c r="P35" s="180"/>
      <c r="Q35" s="179"/>
      <c r="R35" s="179"/>
      <c r="S35" s="179"/>
      <c r="T35" s="480"/>
      <c r="U35" s="179"/>
      <c r="V35" s="766"/>
      <c r="W35" s="766"/>
      <c r="X35" s="766"/>
      <c r="Y35" s="766"/>
      <c r="Z35" s="767"/>
      <c r="AA35" s="767"/>
      <c r="AB35" s="4"/>
      <c r="AC35" s="4"/>
      <c r="AD35" s="4"/>
      <c r="AE35" s="4"/>
    </row>
    <row r="36" spans="1:31" s="247" customFormat="1" ht="15" x14ac:dyDescent="0.25">
      <c r="A36" s="5"/>
      <c r="B36" s="683" t="s">
        <v>992</v>
      </c>
      <c r="C36" s="690" t="s">
        <v>1018</v>
      </c>
      <c r="D36" s="691">
        <v>1</v>
      </c>
      <c r="E36" s="604" t="s">
        <v>1015</v>
      </c>
      <c r="F36" s="606"/>
      <c r="G36" s="607"/>
      <c r="H36" s="608"/>
      <c r="I36" s="608"/>
      <c r="J36" s="608"/>
      <c r="K36" s="608"/>
      <c r="L36" s="608"/>
      <c r="M36" s="608"/>
      <c r="N36" s="608"/>
      <c r="O36" s="610">
        <v>142</v>
      </c>
      <c r="P36" s="180"/>
      <c r="Q36" s="179"/>
      <c r="R36" s="179"/>
      <c r="S36" s="179"/>
      <c r="T36" s="480"/>
      <c r="U36" s="179"/>
      <c r="V36" s="766"/>
      <c r="W36" s="766"/>
      <c r="X36" s="766"/>
      <c r="Y36" s="766"/>
      <c r="Z36" s="767"/>
      <c r="AA36" s="767"/>
      <c r="AB36" s="4"/>
      <c r="AC36" s="4"/>
      <c r="AD36" s="4"/>
      <c r="AE36" s="4"/>
    </row>
    <row r="37" spans="1:31" s="4" customFormat="1" ht="15" x14ac:dyDescent="0.25">
      <c r="A37" s="5"/>
      <c r="B37" s="683" t="s">
        <v>1064</v>
      </c>
      <c r="C37" s="690" t="s">
        <v>1018</v>
      </c>
      <c r="D37" s="691">
        <v>1</v>
      </c>
      <c r="E37" s="604" t="s">
        <v>1015</v>
      </c>
      <c r="F37" s="606"/>
      <c r="G37" s="607"/>
      <c r="H37" s="608"/>
      <c r="I37" s="608"/>
      <c r="J37" s="608"/>
      <c r="K37" s="608"/>
      <c r="L37" s="608"/>
      <c r="M37" s="608"/>
      <c r="N37" s="608"/>
      <c r="O37" s="610">
        <v>142</v>
      </c>
      <c r="P37" s="180"/>
      <c r="Q37" s="179"/>
      <c r="R37" s="179"/>
      <c r="S37" s="179"/>
      <c r="T37" s="480"/>
      <c r="U37" s="179"/>
      <c r="V37" s="766"/>
      <c r="W37" s="766"/>
      <c r="X37" s="766"/>
      <c r="Y37" s="766"/>
      <c r="Z37" s="767"/>
      <c r="AA37" s="767"/>
    </row>
    <row r="38" spans="1:31" s="4" customFormat="1" ht="15" x14ac:dyDescent="0.25">
      <c r="A38" s="180"/>
      <c r="B38" s="180"/>
      <c r="C38" s="180"/>
      <c r="D38" s="180"/>
      <c r="E38" s="180"/>
      <c r="F38" s="180"/>
      <c r="G38" s="180"/>
      <c r="H38" s="180"/>
      <c r="I38" s="180"/>
      <c r="J38" s="180"/>
      <c r="K38" s="180"/>
      <c r="L38" s="180"/>
      <c r="M38" s="180"/>
      <c r="N38" s="180"/>
      <c r="O38" s="180"/>
      <c r="P38" s="180"/>
      <c r="Q38" s="179"/>
      <c r="R38" s="179"/>
      <c r="S38" s="179"/>
      <c r="T38" s="480"/>
      <c r="U38" s="179"/>
      <c r="V38" s="766"/>
      <c r="W38" s="766"/>
      <c r="X38" s="766"/>
      <c r="Y38" s="766"/>
      <c r="Z38" s="767"/>
      <c r="AA38" s="767"/>
    </row>
    <row r="39" spans="1:31" s="4" customFormat="1" ht="15" x14ac:dyDescent="0.25">
      <c r="A39" s="180"/>
      <c r="B39" s="194" t="s">
        <v>823</v>
      </c>
      <c r="C39" s="180"/>
      <c r="D39" s="180"/>
      <c r="E39" s="180"/>
      <c r="F39" s="180"/>
      <c r="G39" s="180"/>
      <c r="H39" s="180"/>
      <c r="I39" s="180"/>
      <c r="J39" s="180"/>
      <c r="K39" s="180"/>
      <c r="L39" s="180"/>
      <c r="M39" s="180"/>
      <c r="N39" s="180"/>
      <c r="O39" s="180"/>
      <c r="P39" s="180"/>
      <c r="Q39" s="179"/>
      <c r="R39" s="179"/>
      <c r="S39" s="179"/>
      <c r="T39" s="480"/>
      <c r="U39" s="179"/>
      <c r="V39" s="766"/>
      <c r="W39" s="766"/>
      <c r="X39" s="766"/>
      <c r="Y39" s="766"/>
      <c r="Z39" s="767"/>
      <c r="AA39" s="767"/>
    </row>
    <row r="40" spans="1:31" s="4" customFormat="1" ht="15" x14ac:dyDescent="0.25">
      <c r="A40" s="180"/>
      <c r="B40" s="355" t="s">
        <v>900</v>
      </c>
      <c r="C40" s="180"/>
      <c r="D40" s="180"/>
      <c r="E40" s="180"/>
      <c r="F40" s="180"/>
      <c r="G40" s="180"/>
      <c r="H40" s="180"/>
      <c r="I40" s="180"/>
      <c r="J40" s="180"/>
      <c r="K40" s="180"/>
      <c r="L40" s="180"/>
      <c r="M40" s="180"/>
      <c r="N40" s="180"/>
      <c r="O40" s="180"/>
      <c r="P40" s="180"/>
      <c r="Q40" s="179"/>
      <c r="R40" s="179"/>
      <c r="S40" s="179"/>
      <c r="T40" s="480" t="s">
        <v>128</v>
      </c>
      <c r="U40" s="179"/>
      <c r="V40" s="766"/>
      <c r="W40" s="766"/>
      <c r="X40" s="766"/>
      <c r="Y40" s="766"/>
      <c r="Z40" s="767"/>
      <c r="AA40" s="767"/>
    </row>
    <row r="41" spans="1:31" s="4" customFormat="1" ht="15" x14ac:dyDescent="0.25">
      <c r="A41" s="180"/>
      <c r="B41" s="817" t="s">
        <v>1105</v>
      </c>
      <c r="C41" s="180"/>
      <c r="D41" s="180"/>
      <c r="E41" s="180"/>
      <c r="F41" s="180"/>
      <c r="G41" s="180"/>
      <c r="H41" s="180"/>
      <c r="I41" s="180"/>
      <c r="J41" s="180"/>
      <c r="K41" s="180"/>
      <c r="L41" s="180"/>
      <c r="M41" s="180"/>
      <c r="N41" s="180"/>
      <c r="O41" s="180"/>
      <c r="P41" s="180"/>
      <c r="Q41" s="179"/>
      <c r="R41" s="179"/>
      <c r="S41" s="179"/>
      <c r="T41" s="480"/>
      <c r="U41" s="179"/>
      <c r="V41" s="766"/>
      <c r="W41" s="766"/>
      <c r="X41" s="766"/>
      <c r="Y41" s="766"/>
      <c r="Z41" s="767"/>
      <c r="AA41" s="767"/>
    </row>
    <row r="42" spans="1:31" s="4" customFormat="1" ht="15" x14ac:dyDescent="0.25">
      <c r="A42" s="180"/>
      <c r="B42" s="180"/>
      <c r="C42" s="180"/>
      <c r="D42" s="180"/>
      <c r="E42" s="180"/>
      <c r="F42" s="180"/>
      <c r="G42" s="180"/>
      <c r="H42" s="180"/>
      <c r="I42" s="180"/>
      <c r="J42" s="180"/>
      <c r="K42" s="180"/>
      <c r="L42" s="180"/>
      <c r="M42" s="180"/>
      <c r="N42" s="180"/>
      <c r="O42" s="180"/>
      <c r="P42" s="180"/>
      <c r="Q42" s="179"/>
      <c r="R42" s="179"/>
      <c r="S42" s="179"/>
      <c r="T42" s="480" t="s">
        <v>129</v>
      </c>
      <c r="U42" s="179"/>
      <c r="V42" s="766"/>
      <c r="W42" s="766"/>
      <c r="X42" s="766"/>
      <c r="Y42" s="766"/>
      <c r="Z42" s="767"/>
      <c r="AA42" s="767"/>
    </row>
    <row r="43" spans="1:31" s="4" customFormat="1" ht="15" x14ac:dyDescent="0.25">
      <c r="A43" s="180"/>
      <c r="B43" s="458" t="s">
        <v>901</v>
      </c>
      <c r="C43" s="177"/>
      <c r="D43" s="177"/>
      <c r="E43" s="112"/>
      <c r="F43" s="178"/>
      <c r="G43" s="179"/>
      <c r="H43" s="5"/>
      <c r="I43" s="5"/>
      <c r="J43" s="180"/>
      <c r="K43" s="179"/>
      <c r="L43" s="179"/>
      <c r="M43" s="179"/>
      <c r="N43" s="179"/>
      <c r="O43" s="179"/>
      <c r="P43" s="180"/>
      <c r="Q43" s="179"/>
      <c r="R43" s="179"/>
      <c r="S43" s="179"/>
      <c r="T43" s="480" t="s">
        <v>1099</v>
      </c>
      <c r="U43" s="179"/>
      <c r="V43" s="766"/>
      <c r="W43" s="766"/>
      <c r="X43" s="766"/>
      <c r="Y43" s="766"/>
      <c r="Z43" s="767"/>
      <c r="AA43" s="767"/>
    </row>
    <row r="44" spans="1:31" s="4" customFormat="1" ht="15" x14ac:dyDescent="0.25">
      <c r="A44" s="180"/>
      <c r="B44" s="248" t="s">
        <v>124</v>
      </c>
      <c r="C44" s="250" t="s">
        <v>125</v>
      </c>
      <c r="D44" s="253" t="s">
        <v>126</v>
      </c>
      <c r="E44" s="454"/>
      <c r="F44" s="455"/>
      <c r="G44" s="456"/>
      <c r="H44" s="457"/>
      <c r="I44" s="456"/>
      <c r="J44" s="457"/>
      <c r="K44" s="456"/>
      <c r="L44" s="457"/>
      <c r="M44" s="456"/>
      <c r="N44" s="459" t="s">
        <v>127</v>
      </c>
      <c r="O44" s="179"/>
      <c r="P44" s="180"/>
      <c r="Q44" s="179"/>
      <c r="R44" s="179"/>
      <c r="S44" s="179"/>
      <c r="T44" s="480" t="s">
        <v>130</v>
      </c>
      <c r="U44" s="179"/>
      <c r="V44" s="766"/>
      <c r="W44" s="766"/>
      <c r="X44" s="766"/>
      <c r="Y44" s="766"/>
      <c r="Z44" s="767"/>
      <c r="AA44" s="767"/>
    </row>
    <row r="45" spans="1:31" s="4" customFormat="1" ht="15" x14ac:dyDescent="0.25">
      <c r="A45" s="180"/>
      <c r="B45" s="199" t="s">
        <v>131</v>
      </c>
      <c r="C45" s="603" t="s">
        <v>902</v>
      </c>
      <c r="D45" s="604" t="s">
        <v>949</v>
      </c>
      <c r="E45" s="605"/>
      <c r="F45" s="606"/>
      <c r="G45" s="607"/>
      <c r="H45" s="608"/>
      <c r="I45" s="608"/>
      <c r="J45" s="608"/>
      <c r="K45" s="608"/>
      <c r="L45" s="607"/>
      <c r="M45" s="609"/>
      <c r="N45" s="610">
        <v>314</v>
      </c>
      <c r="O45" s="179"/>
      <c r="P45" s="180"/>
      <c r="Q45" s="179"/>
      <c r="R45" s="179"/>
      <c r="S45" s="179"/>
      <c r="T45" s="480" t="s">
        <v>1100</v>
      </c>
      <c r="U45" s="179"/>
      <c r="V45" s="766"/>
      <c r="W45" s="766"/>
      <c r="X45" s="766"/>
      <c r="Y45" s="766"/>
      <c r="Z45" s="767"/>
      <c r="AA45" s="767"/>
    </row>
    <row r="46" spans="1:31" s="4" customFormat="1" ht="15" x14ac:dyDescent="0.25">
      <c r="A46" s="180"/>
      <c r="B46" s="193"/>
      <c r="C46" s="5"/>
      <c r="D46" s="177"/>
      <c r="E46" s="112"/>
      <c r="F46" s="178"/>
      <c r="G46" s="179"/>
      <c r="H46" s="5"/>
      <c r="I46" s="5"/>
      <c r="J46" s="180"/>
      <c r="K46" s="179"/>
      <c r="L46" s="179"/>
      <c r="M46" s="179"/>
      <c r="N46" s="179"/>
      <c r="O46" s="179"/>
      <c r="P46" s="180"/>
      <c r="Q46" s="179"/>
      <c r="R46" s="179"/>
      <c r="S46" s="179"/>
      <c r="T46" s="480" t="s">
        <v>1101</v>
      </c>
      <c r="U46" s="179"/>
      <c r="V46" s="766"/>
      <c r="W46" s="766"/>
      <c r="X46" s="766"/>
      <c r="Y46" s="766"/>
      <c r="Z46" s="767"/>
      <c r="AA46" s="767"/>
    </row>
    <row r="47" spans="1:31" s="4" customFormat="1" ht="15" x14ac:dyDescent="0.25">
      <c r="A47" s="5"/>
      <c r="B47" s="458" t="s">
        <v>903</v>
      </c>
      <c r="C47" s="177"/>
      <c r="D47" s="177"/>
      <c r="E47" s="112"/>
      <c r="F47" s="178"/>
      <c r="G47" s="179"/>
      <c r="H47" s="5"/>
      <c r="I47" s="5"/>
      <c r="J47" s="180"/>
      <c r="K47" s="179"/>
      <c r="L47" s="179"/>
      <c r="M47" s="179"/>
      <c r="N47" s="179"/>
      <c r="O47" s="179"/>
      <c r="P47" s="180"/>
      <c r="Q47" s="179"/>
      <c r="R47" s="179"/>
      <c r="S47" s="179"/>
      <c r="T47" s="480"/>
      <c r="U47" s="179"/>
      <c r="V47" s="766"/>
      <c r="W47" s="766"/>
      <c r="X47" s="766"/>
      <c r="Y47" s="766"/>
      <c r="Z47" s="767"/>
      <c r="AA47" s="767"/>
    </row>
    <row r="48" spans="1:31" s="4" customFormat="1" ht="15" x14ac:dyDescent="0.25">
      <c r="A48" s="5"/>
      <c r="B48" s="248" t="s">
        <v>124</v>
      </c>
      <c r="C48" s="250" t="s">
        <v>125</v>
      </c>
      <c r="D48" s="253" t="s">
        <v>126</v>
      </c>
      <c r="E48" s="454"/>
      <c r="F48" s="455"/>
      <c r="G48" s="456"/>
      <c r="H48" s="457"/>
      <c r="I48" s="456"/>
      <c r="J48" s="457"/>
      <c r="K48" s="456"/>
      <c r="L48" s="457"/>
      <c r="M48" s="456"/>
      <c r="N48" s="459" t="s">
        <v>127</v>
      </c>
      <c r="O48" s="179"/>
      <c r="P48" s="180"/>
      <c r="Q48" s="179"/>
      <c r="R48" s="179"/>
      <c r="S48" s="179"/>
      <c r="T48" s="480"/>
      <c r="U48" s="179"/>
      <c r="V48" s="766"/>
      <c r="W48" s="766"/>
      <c r="X48" s="766"/>
      <c r="Y48" s="766"/>
      <c r="Z48" s="767"/>
      <c r="AA48" s="767"/>
    </row>
    <row r="49" spans="1:31" s="4" customFormat="1" ht="15" x14ac:dyDescent="0.25">
      <c r="A49" s="5"/>
      <c r="B49" s="199" t="s">
        <v>131</v>
      </c>
      <c r="C49" s="603" t="s">
        <v>904</v>
      </c>
      <c r="D49" s="604" t="s">
        <v>950</v>
      </c>
      <c r="E49" s="605"/>
      <c r="F49" s="606"/>
      <c r="G49" s="607"/>
      <c r="H49" s="608"/>
      <c r="I49" s="608"/>
      <c r="J49" s="608"/>
      <c r="K49" s="608"/>
      <c r="L49" s="607"/>
      <c r="M49" s="609"/>
      <c r="N49" s="610">
        <v>146</v>
      </c>
      <c r="O49" s="179"/>
      <c r="P49" s="180"/>
      <c r="Q49" s="179"/>
      <c r="R49" s="179"/>
      <c r="S49" s="179"/>
      <c r="T49" s="480" t="s">
        <v>132</v>
      </c>
      <c r="U49" s="179"/>
      <c r="V49" s="766"/>
      <c r="W49" s="766"/>
      <c r="X49" s="766"/>
      <c r="Y49" s="766"/>
      <c r="Z49" s="767"/>
      <c r="AA49" s="767"/>
    </row>
    <row r="50" spans="1:31" s="4" customFormat="1" ht="15" x14ac:dyDescent="0.25">
      <c r="A50" s="5"/>
      <c r="B50" s="249"/>
      <c r="C50" s="179"/>
      <c r="D50" s="179"/>
      <c r="E50" s="179"/>
      <c r="F50" s="179"/>
      <c r="G50" s="179"/>
      <c r="H50" s="179"/>
      <c r="I50" s="179"/>
      <c r="J50" s="179"/>
      <c r="K50" s="179"/>
      <c r="L50" s="179"/>
      <c r="M50" s="179"/>
      <c r="N50" s="179"/>
      <c r="O50" s="179"/>
      <c r="P50" s="180"/>
      <c r="Q50" s="179"/>
      <c r="R50" s="179"/>
      <c r="S50" s="179"/>
      <c r="T50" s="480" t="s">
        <v>1102</v>
      </c>
      <c r="U50" s="179"/>
      <c r="V50" s="766"/>
      <c r="W50" s="766"/>
      <c r="X50" s="766"/>
      <c r="Y50" s="766"/>
      <c r="Z50" s="767"/>
      <c r="AA50" s="767"/>
    </row>
    <row r="51" spans="1:31" s="4" customFormat="1" ht="15" x14ac:dyDescent="0.25">
      <c r="A51" s="5"/>
      <c r="B51" s="458" t="s">
        <v>134</v>
      </c>
      <c r="C51" s="177"/>
      <c r="D51" s="177"/>
      <c r="E51" s="112"/>
      <c r="F51" s="178"/>
      <c r="G51" s="179"/>
      <c r="H51" s="5"/>
      <c r="I51" s="5"/>
      <c r="J51" s="180"/>
      <c r="K51" s="179"/>
      <c r="L51" s="179"/>
      <c r="M51" s="179"/>
      <c r="N51" s="179"/>
      <c r="O51" s="179"/>
      <c r="P51" s="180"/>
      <c r="Q51" s="179"/>
      <c r="R51" s="179"/>
      <c r="S51" s="179"/>
      <c r="T51" s="480" t="s">
        <v>133</v>
      </c>
      <c r="U51" s="179"/>
      <c r="V51" s="766"/>
      <c r="W51" s="766"/>
      <c r="X51" s="766"/>
      <c r="Y51" s="766"/>
      <c r="Z51" s="767"/>
      <c r="AA51" s="767"/>
    </row>
    <row r="52" spans="1:31" s="4" customFormat="1" ht="15" x14ac:dyDescent="0.25">
      <c r="A52" s="5"/>
      <c r="B52" s="248" t="s">
        <v>124</v>
      </c>
      <c r="C52" s="250" t="s">
        <v>125</v>
      </c>
      <c r="D52" s="253" t="s">
        <v>126</v>
      </c>
      <c r="E52" s="454"/>
      <c r="F52" s="455"/>
      <c r="G52" s="456"/>
      <c r="H52" s="457"/>
      <c r="I52" s="456"/>
      <c r="J52" s="457"/>
      <c r="K52" s="456"/>
      <c r="L52" s="457"/>
      <c r="M52" s="456"/>
      <c r="N52" s="459" t="s">
        <v>127</v>
      </c>
      <c r="O52" s="179"/>
      <c r="P52" s="180"/>
      <c r="Q52" s="179"/>
      <c r="R52" s="179"/>
      <c r="S52" s="179"/>
      <c r="T52" s="480" t="s">
        <v>135</v>
      </c>
      <c r="U52" s="179"/>
      <c r="V52" s="766"/>
      <c r="W52" s="766"/>
      <c r="X52" s="766"/>
      <c r="Y52" s="766"/>
      <c r="Z52" s="767"/>
      <c r="AA52" s="767"/>
    </row>
    <row r="53" spans="1:31" s="247" customFormat="1" ht="15" x14ac:dyDescent="0.25">
      <c r="A53" s="5"/>
      <c r="B53" s="199" t="s">
        <v>131</v>
      </c>
      <c r="C53" s="603" t="s">
        <v>902</v>
      </c>
      <c r="D53" s="604" t="s">
        <v>905</v>
      </c>
      <c r="E53" s="605"/>
      <c r="F53" s="606"/>
      <c r="G53" s="607"/>
      <c r="H53" s="608"/>
      <c r="I53" s="608"/>
      <c r="J53" s="608"/>
      <c r="K53" s="608"/>
      <c r="L53" s="607"/>
      <c r="M53" s="609"/>
      <c r="N53" s="610"/>
      <c r="O53" s="179"/>
      <c r="P53" s="180"/>
      <c r="Q53" s="179"/>
      <c r="R53" s="179"/>
      <c r="S53" s="179"/>
      <c r="T53" s="480" t="s">
        <v>136</v>
      </c>
      <c r="U53" s="179"/>
      <c r="V53" s="766"/>
      <c r="W53" s="766"/>
      <c r="X53" s="766"/>
      <c r="Y53" s="766"/>
      <c r="Z53" s="767"/>
      <c r="AA53" s="767"/>
      <c r="AB53" s="4"/>
      <c r="AC53" s="4"/>
      <c r="AD53" s="4"/>
      <c r="AE53" s="4"/>
    </row>
    <row r="54" spans="1:31" s="4" customFormat="1" ht="15" x14ac:dyDescent="0.25">
      <c r="A54" s="5"/>
      <c r="B54" s="195" t="s">
        <v>823</v>
      </c>
      <c r="C54" s="5"/>
      <c r="D54" s="177"/>
      <c r="E54" s="112"/>
      <c r="F54" s="178"/>
      <c r="G54" s="179"/>
      <c r="H54" s="5"/>
      <c r="I54" s="5"/>
      <c r="J54" s="180"/>
      <c r="K54" s="179"/>
      <c r="L54" s="179"/>
      <c r="M54" s="179"/>
      <c r="N54" s="179"/>
      <c r="O54" s="179"/>
      <c r="P54" s="180"/>
      <c r="Q54" s="179"/>
      <c r="R54" s="179"/>
      <c r="S54" s="179"/>
      <c r="T54" s="480" t="s">
        <v>137</v>
      </c>
      <c r="U54" s="179"/>
      <c r="V54" s="766"/>
      <c r="W54" s="766"/>
      <c r="X54" s="766"/>
      <c r="Y54" s="766"/>
      <c r="Z54" s="767"/>
      <c r="AA54" s="767"/>
    </row>
    <row r="55" spans="1:31" s="4" customFormat="1" ht="15" x14ac:dyDescent="0.25">
      <c r="A55" s="5"/>
      <c r="B55" s="355" t="s">
        <v>900</v>
      </c>
      <c r="C55" s="5"/>
      <c r="D55" s="177"/>
      <c r="E55" s="112"/>
      <c r="F55" s="178"/>
      <c r="G55" s="179"/>
      <c r="H55" s="5"/>
      <c r="I55" s="5"/>
      <c r="J55" s="180"/>
      <c r="K55" s="179"/>
      <c r="L55" s="179"/>
      <c r="M55" s="179"/>
      <c r="N55" s="179"/>
      <c r="O55" s="179"/>
      <c r="P55" s="180"/>
      <c r="Q55" s="179"/>
      <c r="R55" s="179"/>
      <c r="S55" s="179"/>
      <c r="T55" s="480"/>
      <c r="U55" s="179"/>
      <c r="V55" s="766"/>
      <c r="W55" s="766"/>
      <c r="X55" s="766"/>
      <c r="Y55" s="766"/>
      <c r="Z55" s="767"/>
      <c r="AA55" s="767"/>
    </row>
    <row r="56" spans="1:31" s="4" customFormat="1" ht="15" x14ac:dyDescent="0.25">
      <c r="A56" s="5"/>
      <c r="B56" s="193"/>
      <c r="C56" s="5"/>
      <c r="D56" s="177"/>
      <c r="E56" s="112"/>
      <c r="F56" s="178"/>
      <c r="G56" s="179"/>
      <c r="H56" s="5"/>
      <c r="I56" s="5"/>
      <c r="J56" s="180"/>
      <c r="K56" s="179"/>
      <c r="L56" s="179"/>
      <c r="M56" s="179"/>
      <c r="N56" s="179"/>
      <c r="O56" s="179"/>
      <c r="P56" s="180"/>
      <c r="Q56" s="179"/>
      <c r="R56" s="179"/>
      <c r="S56" s="179"/>
      <c r="T56" s="480"/>
      <c r="U56" s="179"/>
      <c r="V56" s="766"/>
      <c r="W56" s="766"/>
      <c r="X56" s="766"/>
      <c r="Y56" s="766"/>
      <c r="Z56" s="767"/>
      <c r="AA56" s="767"/>
    </row>
    <row r="57" spans="1:31" s="4" customFormat="1" ht="15" x14ac:dyDescent="0.25">
      <c r="A57" s="5"/>
      <c r="B57" s="193"/>
      <c r="C57" s="5"/>
      <c r="D57" s="177"/>
      <c r="E57" s="112"/>
      <c r="F57" s="178"/>
      <c r="G57" s="179"/>
      <c r="H57" s="5"/>
      <c r="I57" s="5"/>
      <c r="J57" s="180"/>
      <c r="K57" s="179"/>
      <c r="L57" s="734"/>
      <c r="M57" s="179"/>
      <c r="N57" s="734"/>
      <c r="O57" s="179"/>
      <c r="P57" s="180"/>
      <c r="Q57" s="179"/>
      <c r="R57" s="179"/>
      <c r="S57" s="179"/>
      <c r="T57" s="480"/>
      <c r="U57" s="179"/>
      <c r="V57" s="766"/>
      <c r="W57" s="766"/>
      <c r="X57" s="766"/>
      <c r="Y57" s="766"/>
      <c r="Z57" s="767"/>
      <c r="AA57" s="767"/>
    </row>
    <row r="58" spans="1:31" s="4" customFormat="1" ht="15" x14ac:dyDescent="0.25">
      <c r="A58" s="5"/>
      <c r="B58" s="245" t="s">
        <v>958</v>
      </c>
      <c r="C58" s="697"/>
      <c r="D58" s="697"/>
      <c r="E58" s="719"/>
      <c r="F58" s="112"/>
      <c r="G58" s="757"/>
      <c r="H58" s="462"/>
      <c r="I58" s="462"/>
      <c r="J58" s="462"/>
      <c r="K58" s="462" t="s">
        <v>906</v>
      </c>
      <c r="L58" s="457"/>
      <c r="M58" s="735"/>
      <c r="N58" s="461"/>
      <c r="O58" s="463"/>
      <c r="P58" s="463"/>
      <c r="Q58" s="463" t="s">
        <v>907</v>
      </c>
      <c r="R58" s="758"/>
      <c r="S58" s="179"/>
      <c r="T58" s="480"/>
      <c r="U58" s="179"/>
      <c r="V58" s="766"/>
      <c r="W58" s="766"/>
      <c r="X58" s="766"/>
      <c r="Y58" s="766"/>
      <c r="Z58" s="767"/>
      <c r="AA58" s="767"/>
    </row>
    <row r="59" spans="1:31" s="4" customFormat="1" ht="105" x14ac:dyDescent="0.25">
      <c r="A59" s="5"/>
      <c r="B59" s="251" t="s">
        <v>147</v>
      </c>
      <c r="C59" s="412" t="s">
        <v>994</v>
      </c>
      <c r="D59" s="412" t="s">
        <v>995</v>
      </c>
      <c r="E59" s="412" t="s">
        <v>996</v>
      </c>
      <c r="F59" s="412" t="s">
        <v>997</v>
      </c>
      <c r="G59" s="179"/>
      <c r="H59" s="251" t="s">
        <v>148</v>
      </c>
      <c r="I59" s="412" t="s">
        <v>994</v>
      </c>
      <c r="J59" s="412" t="s">
        <v>995</v>
      </c>
      <c r="K59" s="412" t="s">
        <v>996</v>
      </c>
      <c r="L59" s="759" t="s">
        <v>997</v>
      </c>
      <c r="M59" s="735"/>
      <c r="N59" s="251" t="s">
        <v>149</v>
      </c>
      <c r="O59" s="412" t="s">
        <v>994</v>
      </c>
      <c r="P59" s="412" t="s">
        <v>995</v>
      </c>
      <c r="Q59" s="412" t="s">
        <v>996</v>
      </c>
      <c r="R59" s="412" t="s">
        <v>997</v>
      </c>
      <c r="S59" s="179"/>
      <c r="T59" s="480"/>
      <c r="U59" s="179"/>
      <c r="V59" s="766"/>
      <c r="W59" s="766"/>
      <c r="X59" s="766"/>
      <c r="Y59" s="766"/>
      <c r="Z59" s="767"/>
      <c r="AA59" s="767"/>
    </row>
    <row r="60" spans="1:31" s="4" customFormat="1" ht="15" x14ac:dyDescent="0.25">
      <c r="A60" s="5"/>
      <c r="B60" s="725" t="s">
        <v>1020</v>
      </c>
      <c r="C60" s="611">
        <v>2.032520325203252E-2</v>
      </c>
      <c r="D60" s="611">
        <v>1.6260162601626018E-2</v>
      </c>
      <c r="E60" s="611">
        <v>0</v>
      </c>
      <c r="F60" s="611">
        <v>0</v>
      </c>
      <c r="G60" s="179"/>
      <c r="H60" s="460">
        <v>204.36350859971324</v>
      </c>
      <c r="I60" s="612">
        <f>C60*$H60</f>
        <v>4.1537298495876671</v>
      </c>
      <c r="J60" s="610">
        <f>D60*$H60</f>
        <v>3.3229838796701343</v>
      </c>
      <c r="K60" s="610">
        <f>E60*$H60</f>
        <v>0</v>
      </c>
      <c r="L60" s="688">
        <f>F60*$H60</f>
        <v>0</v>
      </c>
      <c r="M60" s="735"/>
      <c r="N60" s="613">
        <f t="shared" ref="N60:N84" si="3">H60*0.8</f>
        <v>163.49080687977062</v>
      </c>
      <c r="O60" s="612">
        <f>C60*$N60</f>
        <v>3.3229838796701343</v>
      </c>
      <c r="P60" s="610">
        <f>D60*$N60</f>
        <v>2.658387103736108</v>
      </c>
      <c r="Q60" s="610">
        <f>E60*$N60</f>
        <v>0</v>
      </c>
      <c r="R60" s="610">
        <f>F60*$N60</f>
        <v>0</v>
      </c>
      <c r="S60" s="179"/>
      <c r="T60" s="480" t="s">
        <v>138</v>
      </c>
      <c r="U60" s="179"/>
      <c r="V60" s="766"/>
      <c r="W60" s="766"/>
      <c r="X60" s="766"/>
      <c r="Y60" s="766"/>
      <c r="Z60" s="767"/>
      <c r="AA60" s="767"/>
    </row>
    <row r="61" spans="1:31" s="4" customFormat="1" ht="15" x14ac:dyDescent="0.25">
      <c r="A61" s="5"/>
      <c r="B61" s="725" t="s">
        <v>1021</v>
      </c>
      <c r="C61" s="611">
        <v>2.8455284552845527E-2</v>
      </c>
      <c r="D61" s="611">
        <v>0</v>
      </c>
      <c r="E61" s="611">
        <v>0</v>
      </c>
      <c r="F61" s="611">
        <v>0</v>
      </c>
      <c r="G61" s="179"/>
      <c r="H61" s="460">
        <v>2214.3217174122151</v>
      </c>
      <c r="I61" s="612">
        <f t="shared" ref="I61:I84" si="4">C61*$H61</f>
        <v>63.009154560510183</v>
      </c>
      <c r="J61" s="610">
        <f t="shared" ref="J61:J84" si="5">D61*$H61</f>
        <v>0</v>
      </c>
      <c r="K61" s="610">
        <f t="shared" ref="K61:K84" si="6">E61*$H61</f>
        <v>0</v>
      </c>
      <c r="L61" s="688">
        <f t="shared" ref="L61:L84" si="7">F61*$H61</f>
        <v>0</v>
      </c>
      <c r="M61" s="735"/>
      <c r="N61" s="613">
        <f t="shared" si="3"/>
        <v>1771.4573739297721</v>
      </c>
      <c r="O61" s="612">
        <f t="shared" ref="O61:O84" si="8">C61*$N61</f>
        <v>50.407323648408145</v>
      </c>
      <c r="P61" s="610">
        <f t="shared" ref="P61:P84" si="9">D61*$N61</f>
        <v>0</v>
      </c>
      <c r="Q61" s="610">
        <f t="shared" ref="Q61:Q84" si="10">E61*$N61</f>
        <v>0</v>
      </c>
      <c r="R61" s="610">
        <f t="shared" ref="R61:R84" si="11">F61*$N61</f>
        <v>0</v>
      </c>
      <c r="S61" s="179"/>
      <c r="T61" s="480" t="s">
        <v>139</v>
      </c>
      <c r="U61" s="179"/>
      <c r="V61" s="766"/>
      <c r="W61" s="766"/>
      <c r="X61" s="766"/>
      <c r="Y61" s="766"/>
      <c r="Z61" s="767"/>
      <c r="AA61" s="767"/>
    </row>
    <row r="62" spans="1:31" s="4" customFormat="1" ht="15" x14ac:dyDescent="0.25">
      <c r="A62" s="5"/>
      <c r="B62" s="199" t="s">
        <v>1022</v>
      </c>
      <c r="C62" s="611">
        <v>6.097560975609756E-2</v>
      </c>
      <c r="D62" s="611">
        <v>0.10975609756097561</v>
      </c>
      <c r="E62" s="611">
        <v>2.1999999999999999E-2</v>
      </c>
      <c r="F62" s="611">
        <v>0</v>
      </c>
      <c r="G62" s="179"/>
      <c r="H62" s="460">
        <v>703.4780777513057</v>
      </c>
      <c r="I62" s="612">
        <f t="shared" si="4"/>
        <v>42.895004740933274</v>
      </c>
      <c r="J62" s="610">
        <f t="shared" si="5"/>
        <v>77.211008533679902</v>
      </c>
      <c r="K62" s="610">
        <f t="shared" si="6"/>
        <v>15.476517710528725</v>
      </c>
      <c r="L62" s="688">
        <f t="shared" si="7"/>
        <v>0</v>
      </c>
      <c r="M62" s="735"/>
      <c r="N62" s="613">
        <f t="shared" si="3"/>
        <v>562.78246220104461</v>
      </c>
      <c r="O62" s="612">
        <f t="shared" si="8"/>
        <v>34.316003792746621</v>
      </c>
      <c r="P62" s="610">
        <f t="shared" si="9"/>
        <v>61.768806826943923</v>
      </c>
      <c r="Q62" s="610">
        <f t="shared" si="10"/>
        <v>12.38121416842298</v>
      </c>
      <c r="R62" s="610">
        <f t="shared" si="11"/>
        <v>0</v>
      </c>
      <c r="S62" s="179"/>
      <c r="T62" s="480" t="s">
        <v>140</v>
      </c>
      <c r="U62" s="179"/>
      <c r="V62" s="766"/>
      <c r="W62" s="766"/>
      <c r="X62" s="766"/>
      <c r="Y62" s="766"/>
      <c r="Z62" s="767"/>
      <c r="AA62" s="767"/>
    </row>
    <row r="63" spans="1:31" s="4" customFormat="1" ht="15" x14ac:dyDescent="0.25">
      <c r="A63" s="5"/>
      <c r="B63" s="199" t="s">
        <v>1023</v>
      </c>
      <c r="C63" s="611">
        <v>0</v>
      </c>
      <c r="D63" s="611">
        <v>0</v>
      </c>
      <c r="E63" s="611">
        <v>2.5000000000000001E-2</v>
      </c>
      <c r="F63" s="611">
        <v>2.1999999999999999E-2</v>
      </c>
      <c r="G63" s="179"/>
      <c r="H63" s="460">
        <v>152.95959015403284</v>
      </c>
      <c r="I63" s="612">
        <f t="shared" si="4"/>
        <v>0</v>
      </c>
      <c r="J63" s="610">
        <f t="shared" si="5"/>
        <v>0</v>
      </c>
      <c r="K63" s="610">
        <f t="shared" si="6"/>
        <v>3.823989753850821</v>
      </c>
      <c r="L63" s="688">
        <f t="shared" si="7"/>
        <v>3.3651109833887221</v>
      </c>
      <c r="M63" s="735"/>
      <c r="N63" s="613">
        <f t="shared" si="3"/>
        <v>122.36767212322627</v>
      </c>
      <c r="O63" s="612">
        <f t="shared" si="8"/>
        <v>0</v>
      </c>
      <c r="P63" s="610">
        <f t="shared" si="9"/>
        <v>0</v>
      </c>
      <c r="Q63" s="610">
        <f t="shared" si="10"/>
        <v>3.0591918030806569</v>
      </c>
      <c r="R63" s="610">
        <f t="shared" si="11"/>
        <v>2.6920887867109777</v>
      </c>
      <c r="S63" s="179"/>
      <c r="T63" s="480" t="s">
        <v>141</v>
      </c>
      <c r="U63" s="179"/>
      <c r="V63" s="766"/>
      <c r="W63" s="766"/>
      <c r="X63" s="766"/>
      <c r="Y63" s="766"/>
      <c r="Z63" s="767"/>
      <c r="AA63" s="767"/>
    </row>
    <row r="64" spans="1:31" s="4" customFormat="1" ht="15" x14ac:dyDescent="0.25">
      <c r="A64" s="5"/>
      <c r="B64" s="199" t="s">
        <v>1024</v>
      </c>
      <c r="C64" s="611">
        <v>2.4390243902439025E-2</v>
      </c>
      <c r="D64" s="611">
        <v>1.2195121951219513E-2</v>
      </c>
      <c r="E64" s="611">
        <v>0</v>
      </c>
      <c r="F64" s="611">
        <v>0</v>
      </c>
      <c r="G64" s="179"/>
      <c r="H64" s="460">
        <v>2214.3217174122151</v>
      </c>
      <c r="I64" s="612">
        <f t="shared" si="4"/>
        <v>54.007846766151587</v>
      </c>
      <c r="J64" s="610">
        <f t="shared" si="5"/>
        <v>27.003923383075794</v>
      </c>
      <c r="K64" s="610">
        <f t="shared" si="6"/>
        <v>0</v>
      </c>
      <c r="L64" s="688">
        <f t="shared" si="7"/>
        <v>0</v>
      </c>
      <c r="M64" s="735"/>
      <c r="N64" s="613">
        <f t="shared" si="3"/>
        <v>1771.4573739297721</v>
      </c>
      <c r="O64" s="612">
        <f t="shared" si="8"/>
        <v>43.206277412921274</v>
      </c>
      <c r="P64" s="610">
        <f t="shared" si="9"/>
        <v>21.603138706460637</v>
      </c>
      <c r="Q64" s="610">
        <f t="shared" si="10"/>
        <v>0</v>
      </c>
      <c r="R64" s="610">
        <f t="shared" si="11"/>
        <v>0</v>
      </c>
      <c r="S64" s="179"/>
      <c r="T64" s="480" t="s">
        <v>142</v>
      </c>
      <c r="U64" s="179"/>
      <c r="V64" s="766"/>
      <c r="W64" s="766"/>
      <c r="X64" s="766"/>
      <c r="Y64" s="766"/>
      <c r="Z64" s="767"/>
      <c r="AA64" s="767"/>
    </row>
    <row r="65" spans="1:27" s="4" customFormat="1" ht="15" x14ac:dyDescent="0.25">
      <c r="A65" s="5"/>
      <c r="B65" s="199" t="s">
        <v>1025</v>
      </c>
      <c r="C65" s="611">
        <v>4.065040650406504E-2</v>
      </c>
      <c r="D65" s="611">
        <v>4.065040650406504E-2</v>
      </c>
      <c r="E65" s="611">
        <v>0</v>
      </c>
      <c r="F65" s="611">
        <v>0</v>
      </c>
      <c r="G65" s="179"/>
      <c r="H65" s="460">
        <v>703.4780777513057</v>
      </c>
      <c r="I65" s="612">
        <f t="shared" si="4"/>
        <v>28.596669827288849</v>
      </c>
      <c r="J65" s="610">
        <f t="shared" si="5"/>
        <v>28.596669827288849</v>
      </c>
      <c r="K65" s="610">
        <f t="shared" si="6"/>
        <v>0</v>
      </c>
      <c r="L65" s="688">
        <f t="shared" si="7"/>
        <v>0</v>
      </c>
      <c r="M65" s="735"/>
      <c r="N65" s="613">
        <f t="shared" si="3"/>
        <v>562.78246220104461</v>
      </c>
      <c r="O65" s="612">
        <f t="shared" si="8"/>
        <v>22.877335861831082</v>
      </c>
      <c r="P65" s="610">
        <f t="shared" si="9"/>
        <v>22.877335861831082</v>
      </c>
      <c r="Q65" s="610">
        <f t="shared" si="10"/>
        <v>0</v>
      </c>
      <c r="R65" s="610">
        <f t="shared" si="11"/>
        <v>0</v>
      </c>
      <c r="S65" s="179"/>
      <c r="T65" s="480" t="s">
        <v>143</v>
      </c>
      <c r="U65" s="179"/>
      <c r="V65" s="766"/>
      <c r="W65" s="766"/>
      <c r="X65" s="766"/>
      <c r="Y65" s="766"/>
      <c r="Z65" s="767"/>
      <c r="AA65" s="767"/>
    </row>
    <row r="66" spans="1:27" s="4" customFormat="1" ht="15" x14ac:dyDescent="0.25">
      <c r="A66" s="5"/>
      <c r="B66" s="199" t="s">
        <v>1026</v>
      </c>
      <c r="C66" s="611">
        <v>8.130081300813009E-3</v>
      </c>
      <c r="D66" s="611">
        <v>2.4390243902439025E-2</v>
      </c>
      <c r="E66" s="611">
        <v>5.7000000000000002E-2</v>
      </c>
      <c r="F66" s="611">
        <v>6.0000000000000001E-3</v>
      </c>
      <c r="G66" s="179"/>
      <c r="H66" s="460">
        <v>1746.8182359288119</v>
      </c>
      <c r="I66" s="612">
        <f t="shared" si="4"/>
        <v>14.201774275844</v>
      </c>
      <c r="J66" s="610">
        <f t="shared" si="5"/>
        <v>42.605322827532</v>
      </c>
      <c r="K66" s="610">
        <f t="shared" si="6"/>
        <v>99.568639447942275</v>
      </c>
      <c r="L66" s="688">
        <f t="shared" si="7"/>
        <v>10.480909415572871</v>
      </c>
      <c r="M66" s="735"/>
      <c r="N66" s="613">
        <f t="shared" si="3"/>
        <v>1397.4545887430495</v>
      </c>
      <c r="O66" s="612">
        <f t="shared" si="8"/>
        <v>11.361419420675201</v>
      </c>
      <c r="P66" s="610">
        <f t="shared" si="9"/>
        <v>34.0842582620256</v>
      </c>
      <c r="Q66" s="610">
        <f t="shared" si="10"/>
        <v>79.654911558353831</v>
      </c>
      <c r="R66" s="610">
        <f t="shared" si="11"/>
        <v>8.3847275324582977</v>
      </c>
      <c r="S66" s="179"/>
      <c r="T66" s="480" t="s">
        <v>144</v>
      </c>
      <c r="U66" s="179"/>
      <c r="V66" s="766"/>
      <c r="W66" s="766"/>
      <c r="X66" s="766"/>
      <c r="Y66" s="766"/>
      <c r="Z66" s="767"/>
      <c r="AA66" s="767"/>
    </row>
    <row r="67" spans="1:27" s="4" customFormat="1" ht="15" x14ac:dyDescent="0.25">
      <c r="A67" s="5"/>
      <c r="B67" s="199" t="s">
        <v>1027</v>
      </c>
      <c r="C67" s="611">
        <v>1.2195121951219513E-2</v>
      </c>
      <c r="D67" s="611">
        <v>3.6585365853658534E-2</v>
      </c>
      <c r="E67" s="611">
        <v>8.2000000000000003E-2</v>
      </c>
      <c r="F67" s="611">
        <v>4.3999999999999997E-2</v>
      </c>
      <c r="G67" s="179"/>
      <c r="H67" s="460">
        <v>703.4780777513057</v>
      </c>
      <c r="I67" s="612">
        <f t="shared" si="4"/>
        <v>8.5790009481866552</v>
      </c>
      <c r="J67" s="610">
        <f t="shared" si="5"/>
        <v>25.737002844559964</v>
      </c>
      <c r="K67" s="610">
        <f t="shared" si="6"/>
        <v>57.685202375607069</v>
      </c>
      <c r="L67" s="688">
        <f t="shared" si="7"/>
        <v>30.95303542105745</v>
      </c>
      <c r="M67" s="735"/>
      <c r="N67" s="613">
        <f t="shared" si="3"/>
        <v>562.78246220104461</v>
      </c>
      <c r="O67" s="612">
        <f t="shared" si="8"/>
        <v>6.8632007585493247</v>
      </c>
      <c r="P67" s="610">
        <f t="shared" si="9"/>
        <v>20.589602275647973</v>
      </c>
      <c r="Q67" s="610">
        <f t="shared" si="10"/>
        <v>46.148161900485661</v>
      </c>
      <c r="R67" s="610">
        <f t="shared" si="11"/>
        <v>24.762428336845961</v>
      </c>
      <c r="S67" s="179"/>
      <c r="T67" s="480" t="s">
        <v>1100</v>
      </c>
      <c r="U67" s="179"/>
      <c r="V67" s="766"/>
      <c r="W67" s="766"/>
      <c r="X67" s="766"/>
      <c r="Y67" s="766"/>
      <c r="Z67" s="767"/>
      <c r="AA67" s="767"/>
    </row>
    <row r="68" spans="1:27" s="4" customFormat="1" ht="15" x14ac:dyDescent="0.25">
      <c r="A68" s="5"/>
      <c r="B68" s="199" t="s">
        <v>1028</v>
      </c>
      <c r="C68" s="611">
        <v>4.0650406504065045E-3</v>
      </c>
      <c r="D68" s="611">
        <v>2.032520325203252E-2</v>
      </c>
      <c r="E68" s="611">
        <v>0</v>
      </c>
      <c r="F68" s="611">
        <v>0</v>
      </c>
      <c r="G68" s="179"/>
      <c r="H68" s="460">
        <v>3676.5471960057944</v>
      </c>
      <c r="I68" s="612">
        <f t="shared" si="4"/>
        <v>14.945313804901605</v>
      </c>
      <c r="J68" s="610">
        <f t="shared" si="5"/>
        <v>74.726569024508009</v>
      </c>
      <c r="K68" s="610">
        <f t="shared" si="6"/>
        <v>0</v>
      </c>
      <c r="L68" s="688">
        <f t="shared" si="7"/>
        <v>0</v>
      </c>
      <c r="M68" s="735"/>
      <c r="N68" s="613">
        <f t="shared" si="3"/>
        <v>2941.2377568046359</v>
      </c>
      <c r="O68" s="612">
        <f t="shared" si="8"/>
        <v>11.956251043921286</v>
      </c>
      <c r="P68" s="610">
        <f t="shared" si="9"/>
        <v>59.781255219606422</v>
      </c>
      <c r="Q68" s="610">
        <f t="shared" si="10"/>
        <v>0</v>
      </c>
      <c r="R68" s="610">
        <f t="shared" si="11"/>
        <v>0</v>
      </c>
      <c r="S68" s="179"/>
      <c r="T68" s="480" t="s">
        <v>1103</v>
      </c>
      <c r="U68" s="179"/>
      <c r="V68" s="766"/>
      <c r="W68" s="766"/>
      <c r="X68" s="766"/>
      <c r="Y68" s="766"/>
      <c r="Z68" s="767"/>
      <c r="AA68" s="767"/>
    </row>
    <row r="69" spans="1:27" s="4" customFormat="1" ht="15" x14ac:dyDescent="0.25">
      <c r="A69" s="5"/>
      <c r="B69" s="199" t="s">
        <v>1029</v>
      </c>
      <c r="C69" s="611">
        <v>0</v>
      </c>
      <c r="D69" s="611">
        <v>0</v>
      </c>
      <c r="E69" s="611">
        <v>0.16500000000000001</v>
      </c>
      <c r="F69" s="611">
        <v>3.0000000000000001E-3</v>
      </c>
      <c r="G69" s="179"/>
      <c r="H69" s="460">
        <v>1581.8060010873965</v>
      </c>
      <c r="I69" s="612">
        <f t="shared" si="4"/>
        <v>0</v>
      </c>
      <c r="J69" s="610">
        <f t="shared" si="5"/>
        <v>0</v>
      </c>
      <c r="K69" s="610">
        <f t="shared" si="6"/>
        <v>260.99799017942041</v>
      </c>
      <c r="L69" s="688">
        <f t="shared" si="7"/>
        <v>4.7454180032621895</v>
      </c>
      <c r="M69" s="735"/>
      <c r="N69" s="613">
        <f t="shared" si="3"/>
        <v>1265.4448008699173</v>
      </c>
      <c r="O69" s="612">
        <f t="shared" si="8"/>
        <v>0</v>
      </c>
      <c r="P69" s="610">
        <f t="shared" si="9"/>
        <v>0</v>
      </c>
      <c r="Q69" s="610">
        <f t="shared" si="10"/>
        <v>208.79839214353638</v>
      </c>
      <c r="R69" s="610">
        <f t="shared" si="11"/>
        <v>3.7963344026097521</v>
      </c>
      <c r="S69" s="179"/>
      <c r="T69" s="480" t="s">
        <v>1104</v>
      </c>
      <c r="U69" s="179"/>
      <c r="V69" s="766"/>
      <c r="W69" s="766"/>
      <c r="X69" s="766"/>
      <c r="Y69" s="766"/>
      <c r="Z69" s="767"/>
      <c r="AA69" s="767"/>
    </row>
    <row r="70" spans="1:27" s="4" customFormat="1" ht="15" x14ac:dyDescent="0.25">
      <c r="A70" s="5"/>
      <c r="B70" s="199" t="s">
        <v>1030</v>
      </c>
      <c r="C70" s="611">
        <v>0</v>
      </c>
      <c r="D70" s="611">
        <v>2.4390243902439025E-2</v>
      </c>
      <c r="E70" s="611">
        <v>0</v>
      </c>
      <c r="F70" s="611">
        <v>0</v>
      </c>
      <c r="G70" s="179"/>
      <c r="H70" s="460">
        <v>2262.2995787113496</v>
      </c>
      <c r="I70" s="612">
        <f t="shared" si="4"/>
        <v>0</v>
      </c>
      <c r="J70" s="610">
        <f t="shared" si="5"/>
        <v>55.178038505154866</v>
      </c>
      <c r="K70" s="610">
        <f t="shared" si="6"/>
        <v>0</v>
      </c>
      <c r="L70" s="688">
        <f t="shared" si="7"/>
        <v>0</v>
      </c>
      <c r="M70" s="735"/>
      <c r="N70" s="613">
        <f t="shared" si="3"/>
        <v>1809.8396629690797</v>
      </c>
      <c r="O70" s="612">
        <f t="shared" si="8"/>
        <v>0</v>
      </c>
      <c r="P70" s="610">
        <f t="shared" si="9"/>
        <v>44.142430804123897</v>
      </c>
      <c r="Q70" s="610">
        <f t="shared" si="10"/>
        <v>0</v>
      </c>
      <c r="R70" s="610">
        <f t="shared" si="11"/>
        <v>0</v>
      </c>
      <c r="S70" s="179"/>
      <c r="T70" s="480"/>
      <c r="U70" s="179"/>
      <c r="V70" s="766"/>
      <c r="W70" s="766"/>
      <c r="X70" s="766"/>
      <c r="Y70" s="766"/>
      <c r="Z70" s="767"/>
      <c r="AA70" s="767"/>
    </row>
    <row r="71" spans="1:27" s="4" customFormat="1" ht="15" x14ac:dyDescent="0.25">
      <c r="A71" s="5"/>
      <c r="B71" s="199" t="s">
        <v>1031</v>
      </c>
      <c r="C71" s="611">
        <v>1.6260162601626018E-2</v>
      </c>
      <c r="D71" s="611">
        <v>1.2195121951219513E-2</v>
      </c>
      <c r="E71" s="611">
        <v>0.03</v>
      </c>
      <c r="F71" s="611">
        <v>8.9999999999999993E-3</v>
      </c>
      <c r="G71" s="179"/>
      <c r="H71" s="460">
        <v>152.95959015403284</v>
      </c>
      <c r="I71" s="612">
        <f t="shared" si="4"/>
        <v>2.4871478073826481</v>
      </c>
      <c r="J71" s="610">
        <f t="shared" si="5"/>
        <v>1.8653608555369858</v>
      </c>
      <c r="K71" s="610">
        <f t="shared" si="6"/>
        <v>4.5887877046209846</v>
      </c>
      <c r="L71" s="688">
        <f t="shared" si="7"/>
        <v>1.3766363113862954</v>
      </c>
      <c r="M71" s="735"/>
      <c r="N71" s="613">
        <f t="shared" si="3"/>
        <v>122.36767212322627</v>
      </c>
      <c r="O71" s="612">
        <f t="shared" si="8"/>
        <v>1.9897182459061185</v>
      </c>
      <c r="P71" s="610">
        <f t="shared" si="9"/>
        <v>1.4922886844295886</v>
      </c>
      <c r="Q71" s="610">
        <f t="shared" si="10"/>
        <v>3.6710301636967881</v>
      </c>
      <c r="R71" s="610">
        <f t="shared" si="11"/>
        <v>1.1013090491090363</v>
      </c>
      <c r="S71" s="179"/>
      <c r="T71" s="480"/>
      <c r="U71" s="179"/>
      <c r="V71" s="766"/>
      <c r="W71" s="766"/>
      <c r="X71" s="766"/>
      <c r="Y71" s="766"/>
      <c r="Z71" s="767"/>
      <c r="AA71" s="767"/>
    </row>
    <row r="72" spans="1:27" s="4" customFormat="1" ht="15" x14ac:dyDescent="0.25">
      <c r="A72" s="5"/>
      <c r="B72" s="199" t="s">
        <v>1032</v>
      </c>
      <c r="C72" s="611">
        <v>5.6910569105691054E-2</v>
      </c>
      <c r="D72" s="611">
        <v>1.2195121951219513E-2</v>
      </c>
      <c r="E72" s="611">
        <v>0.08</v>
      </c>
      <c r="F72" s="611">
        <v>1.2E-2</v>
      </c>
      <c r="G72" s="179"/>
      <c r="H72" s="460">
        <v>770.09782452203569</v>
      </c>
      <c r="I72" s="612">
        <f>C72*$H72</f>
        <v>43.826705460603655</v>
      </c>
      <c r="J72" s="610">
        <f t="shared" si="5"/>
        <v>9.3914368844150697</v>
      </c>
      <c r="K72" s="610">
        <f t="shared" si="6"/>
        <v>61.607825961762856</v>
      </c>
      <c r="L72" s="688">
        <f t="shared" si="7"/>
        <v>9.2411738942644277</v>
      </c>
      <c r="M72" s="735"/>
      <c r="N72" s="613">
        <f t="shared" si="3"/>
        <v>616.07825961762865</v>
      </c>
      <c r="O72" s="612">
        <f t="shared" si="8"/>
        <v>35.061364368482927</v>
      </c>
      <c r="P72" s="610">
        <f t="shared" si="9"/>
        <v>7.5131495075320567</v>
      </c>
      <c r="Q72" s="610">
        <f t="shared" si="10"/>
        <v>49.286260769410291</v>
      </c>
      <c r="R72" s="610">
        <f t="shared" si="11"/>
        <v>7.3929391154115436</v>
      </c>
      <c r="S72" s="179"/>
      <c r="T72" s="480"/>
      <c r="U72" s="179"/>
      <c r="V72" s="766"/>
      <c r="W72" s="766"/>
      <c r="X72" s="766"/>
      <c r="Y72" s="766"/>
      <c r="Z72" s="767"/>
      <c r="AA72" s="767"/>
    </row>
    <row r="73" spans="1:27" s="4" customFormat="1" ht="15" x14ac:dyDescent="0.25">
      <c r="A73" s="5"/>
      <c r="B73" s="199" t="s">
        <v>1033</v>
      </c>
      <c r="C73" s="611">
        <v>0</v>
      </c>
      <c r="D73" s="611">
        <v>0</v>
      </c>
      <c r="E73" s="611">
        <v>4.3999999999999997E-2</v>
      </c>
      <c r="F73" s="611">
        <v>3.0000000000000001E-3</v>
      </c>
      <c r="G73" s="179"/>
      <c r="H73" s="460">
        <v>152.95959015403284</v>
      </c>
      <c r="I73" s="612">
        <f t="shared" si="4"/>
        <v>0</v>
      </c>
      <c r="J73" s="610">
        <f t="shared" si="5"/>
        <v>0</v>
      </c>
      <c r="K73" s="610">
        <f t="shared" si="6"/>
        <v>6.7302219667774441</v>
      </c>
      <c r="L73" s="688">
        <f t="shared" si="7"/>
        <v>0.45887877046209852</v>
      </c>
      <c r="M73" s="735"/>
      <c r="N73" s="613">
        <f t="shared" si="3"/>
        <v>122.36767212322627</v>
      </c>
      <c r="O73" s="612">
        <f t="shared" si="8"/>
        <v>0</v>
      </c>
      <c r="P73" s="610">
        <f t="shared" si="9"/>
        <v>0</v>
      </c>
      <c r="Q73" s="610">
        <f t="shared" si="10"/>
        <v>5.3841775734219555</v>
      </c>
      <c r="R73" s="610">
        <f t="shared" si="11"/>
        <v>0.36710301636967885</v>
      </c>
      <c r="S73" s="179"/>
      <c r="T73" s="480"/>
      <c r="U73" s="179"/>
      <c r="V73" s="766"/>
      <c r="W73" s="766"/>
      <c r="X73" s="766"/>
      <c r="Y73" s="766"/>
      <c r="Z73" s="767"/>
      <c r="AA73" s="767"/>
    </row>
    <row r="74" spans="1:27" s="4" customFormat="1" ht="15" x14ac:dyDescent="0.25">
      <c r="A74" s="5"/>
      <c r="B74" s="199" t="s">
        <v>1034</v>
      </c>
      <c r="C74" s="611">
        <v>2.8455284552845527E-2</v>
      </c>
      <c r="D74" s="611">
        <v>1.6260162601626018E-2</v>
      </c>
      <c r="E74" s="611">
        <v>0</v>
      </c>
      <c r="F74" s="611">
        <v>0</v>
      </c>
      <c r="G74" s="179"/>
      <c r="H74" s="460">
        <v>169.77346135903778</v>
      </c>
      <c r="I74" s="612">
        <f t="shared" si="4"/>
        <v>4.8309521524929444</v>
      </c>
      <c r="J74" s="610">
        <f t="shared" si="5"/>
        <v>2.7605440871388258</v>
      </c>
      <c r="K74" s="610">
        <f t="shared" si="6"/>
        <v>0</v>
      </c>
      <c r="L74" s="688">
        <f t="shared" si="7"/>
        <v>0</v>
      </c>
      <c r="M74" s="735"/>
      <c r="N74" s="613">
        <f t="shared" si="3"/>
        <v>135.81876908723024</v>
      </c>
      <c r="O74" s="612">
        <f t="shared" si="8"/>
        <v>3.864761721994356</v>
      </c>
      <c r="P74" s="610">
        <f t="shared" si="9"/>
        <v>2.2084352697110612</v>
      </c>
      <c r="Q74" s="610">
        <f t="shared" si="10"/>
        <v>0</v>
      </c>
      <c r="R74" s="610">
        <f t="shared" si="11"/>
        <v>0</v>
      </c>
      <c r="S74" s="179"/>
      <c r="T74" s="480"/>
      <c r="U74" s="179"/>
      <c r="V74" s="766"/>
      <c r="W74" s="766"/>
      <c r="X74" s="766"/>
      <c r="Y74" s="766"/>
      <c r="Z74" s="767"/>
      <c r="AA74" s="767"/>
    </row>
    <row r="75" spans="1:27" s="4" customFormat="1" ht="15" x14ac:dyDescent="0.25">
      <c r="A75" s="5"/>
      <c r="B75" s="199" t="s">
        <v>1035</v>
      </c>
      <c r="C75" s="611">
        <v>1.6260162601626018E-2</v>
      </c>
      <c r="D75" s="611">
        <v>2.0325203252032499E-2</v>
      </c>
      <c r="E75" s="611">
        <v>0</v>
      </c>
      <c r="F75" s="611">
        <v>0</v>
      </c>
      <c r="G75" s="179"/>
      <c r="H75" s="460">
        <v>703.4780777513057</v>
      </c>
      <c r="I75" s="612">
        <f t="shared" si="4"/>
        <v>11.438667930915541</v>
      </c>
      <c r="J75" s="610">
        <f t="shared" si="5"/>
        <v>14.29833491364441</v>
      </c>
      <c r="K75" s="610">
        <f t="shared" si="6"/>
        <v>0</v>
      </c>
      <c r="L75" s="688">
        <f t="shared" si="7"/>
        <v>0</v>
      </c>
      <c r="M75" s="735"/>
      <c r="N75" s="613">
        <f t="shared" si="3"/>
        <v>562.78246220104461</v>
      </c>
      <c r="O75" s="612">
        <f t="shared" si="8"/>
        <v>9.1509343447324341</v>
      </c>
      <c r="P75" s="610">
        <f t="shared" si="9"/>
        <v>11.438667930915528</v>
      </c>
      <c r="Q75" s="610">
        <f t="shared" si="10"/>
        <v>0</v>
      </c>
      <c r="R75" s="610">
        <f t="shared" si="11"/>
        <v>0</v>
      </c>
      <c r="S75" s="179"/>
      <c r="T75" s="480"/>
      <c r="U75" s="179"/>
      <c r="V75" s="766"/>
      <c r="W75" s="766"/>
      <c r="X75" s="766"/>
      <c r="Y75" s="766"/>
      <c r="Z75" s="767"/>
      <c r="AA75" s="767"/>
    </row>
    <row r="76" spans="1:27" s="4" customFormat="1" ht="15" x14ac:dyDescent="0.25">
      <c r="A76" s="5"/>
      <c r="B76" s="199" t="s">
        <v>1036</v>
      </c>
      <c r="C76" s="611">
        <v>1.6260162601626018E-2</v>
      </c>
      <c r="D76" s="611">
        <v>2.8455284552845527E-2</v>
      </c>
      <c r="E76" s="611">
        <v>0</v>
      </c>
      <c r="F76" s="611">
        <v>0</v>
      </c>
      <c r="G76" s="179"/>
      <c r="H76" s="460">
        <v>627.97101883590187</v>
      </c>
      <c r="I76" s="612">
        <f t="shared" si="4"/>
        <v>10.21091087538052</v>
      </c>
      <c r="J76" s="610">
        <f t="shared" si="5"/>
        <v>17.869094031915907</v>
      </c>
      <c r="K76" s="610">
        <f t="shared" si="6"/>
        <v>0</v>
      </c>
      <c r="L76" s="688">
        <f t="shared" si="7"/>
        <v>0</v>
      </c>
      <c r="M76" s="735"/>
      <c r="N76" s="613">
        <f t="shared" si="3"/>
        <v>502.3768150687215</v>
      </c>
      <c r="O76" s="612">
        <f t="shared" si="8"/>
        <v>8.1687287003044151</v>
      </c>
      <c r="P76" s="610">
        <f t="shared" si="9"/>
        <v>14.295275225532725</v>
      </c>
      <c r="Q76" s="610">
        <f t="shared" si="10"/>
        <v>0</v>
      </c>
      <c r="R76" s="610">
        <f t="shared" si="11"/>
        <v>0</v>
      </c>
      <c r="S76" s="179"/>
      <c r="T76" s="480"/>
      <c r="U76" s="179"/>
      <c r="V76" s="766"/>
      <c r="W76" s="766"/>
      <c r="X76" s="766"/>
      <c r="Y76" s="766"/>
      <c r="Z76" s="767"/>
      <c r="AA76" s="767"/>
    </row>
    <row r="77" spans="1:27" s="4" customFormat="1" ht="15" x14ac:dyDescent="0.25">
      <c r="A77" s="5"/>
      <c r="B77" s="199" t="s">
        <v>1037</v>
      </c>
      <c r="C77" s="611">
        <v>0</v>
      </c>
      <c r="D77" s="611">
        <v>0</v>
      </c>
      <c r="E77" s="611">
        <v>3.5000000000000003E-2</v>
      </c>
      <c r="F77" s="611">
        <v>6.0000000000000001E-3</v>
      </c>
      <c r="G77" s="179"/>
      <c r="H77" s="460">
        <v>205.7787594092604</v>
      </c>
      <c r="I77" s="612">
        <f t="shared" si="4"/>
        <v>0</v>
      </c>
      <c r="J77" s="610">
        <f t="shared" si="5"/>
        <v>0</v>
      </c>
      <c r="K77" s="610">
        <f t="shared" si="6"/>
        <v>7.2022565793241151</v>
      </c>
      <c r="L77" s="688">
        <f t="shared" si="7"/>
        <v>1.2346725564555625</v>
      </c>
      <c r="M77" s="735"/>
      <c r="N77" s="613">
        <f t="shared" si="3"/>
        <v>164.62300752740833</v>
      </c>
      <c r="O77" s="612">
        <f t="shared" si="8"/>
        <v>0</v>
      </c>
      <c r="P77" s="610">
        <f t="shared" si="9"/>
        <v>0</v>
      </c>
      <c r="Q77" s="610">
        <f t="shared" si="10"/>
        <v>5.7618052634592924</v>
      </c>
      <c r="R77" s="610">
        <f t="shared" si="11"/>
        <v>0.98773804516445007</v>
      </c>
      <c r="S77" s="179"/>
      <c r="T77" s="480"/>
      <c r="U77" s="179"/>
      <c r="V77" s="766"/>
      <c r="W77" s="766"/>
      <c r="X77" s="766"/>
      <c r="Y77" s="766"/>
      <c r="Z77" s="767"/>
      <c r="AA77" s="767"/>
    </row>
    <row r="78" spans="1:27" s="4" customFormat="1" ht="15" x14ac:dyDescent="0.25">
      <c r="A78" s="5"/>
      <c r="B78" s="199" t="s">
        <v>1038</v>
      </c>
      <c r="C78" s="611">
        <v>2.4390243902439025E-2</v>
      </c>
      <c r="D78" s="611">
        <v>4.065040650406504E-2</v>
      </c>
      <c r="E78" s="611">
        <v>0</v>
      </c>
      <c r="F78" s="611">
        <v>0</v>
      </c>
      <c r="G78" s="179"/>
      <c r="H78" s="460">
        <v>220.865490403124</v>
      </c>
      <c r="I78" s="612">
        <f t="shared" si="4"/>
        <v>5.3869631805639999</v>
      </c>
      <c r="J78" s="610">
        <f t="shared" si="5"/>
        <v>8.9782719676066662</v>
      </c>
      <c r="K78" s="610">
        <f t="shared" si="6"/>
        <v>0</v>
      </c>
      <c r="L78" s="688">
        <f t="shared" si="7"/>
        <v>0</v>
      </c>
      <c r="M78" s="735"/>
      <c r="N78" s="613">
        <f t="shared" si="3"/>
        <v>176.69239232249922</v>
      </c>
      <c r="O78" s="612">
        <f t="shared" si="8"/>
        <v>4.3095705444512005</v>
      </c>
      <c r="P78" s="610">
        <f t="shared" si="9"/>
        <v>7.1826175740853335</v>
      </c>
      <c r="Q78" s="610">
        <f t="shared" si="10"/>
        <v>0</v>
      </c>
      <c r="R78" s="610">
        <f t="shared" si="11"/>
        <v>0</v>
      </c>
      <c r="S78" s="179"/>
      <c r="T78" s="480"/>
      <c r="U78" s="179"/>
      <c r="V78" s="766"/>
      <c r="W78" s="766"/>
      <c r="X78" s="766"/>
      <c r="Y78" s="766"/>
      <c r="Z78" s="767"/>
      <c r="AA78" s="767"/>
    </row>
    <row r="79" spans="1:27" s="4" customFormat="1" ht="15" x14ac:dyDescent="0.25">
      <c r="A79" s="5"/>
      <c r="B79" s="199" t="s">
        <v>1039</v>
      </c>
      <c r="C79" s="611">
        <v>0</v>
      </c>
      <c r="D79" s="611">
        <v>0</v>
      </c>
      <c r="E79" s="611">
        <v>2.4E-2</v>
      </c>
      <c r="F79" s="611">
        <v>1.9E-3</v>
      </c>
      <c r="G79" s="179"/>
      <c r="H79" s="460">
        <v>152.95959015403284</v>
      </c>
      <c r="I79" s="612">
        <f t="shared" si="4"/>
        <v>0</v>
      </c>
      <c r="J79" s="610">
        <f t="shared" si="5"/>
        <v>0</v>
      </c>
      <c r="K79" s="610">
        <f t="shared" si="6"/>
        <v>3.6710301636967881</v>
      </c>
      <c r="L79" s="688">
        <f t="shared" si="7"/>
        <v>0.29062322129266238</v>
      </c>
      <c r="M79" s="735"/>
      <c r="N79" s="613">
        <f t="shared" si="3"/>
        <v>122.36767212322627</v>
      </c>
      <c r="O79" s="612">
        <f t="shared" si="8"/>
        <v>0</v>
      </c>
      <c r="P79" s="610">
        <f t="shared" si="9"/>
        <v>0</v>
      </c>
      <c r="Q79" s="610">
        <f t="shared" si="10"/>
        <v>2.9368241309574308</v>
      </c>
      <c r="R79" s="610">
        <f t="shared" si="11"/>
        <v>0.23249857703412991</v>
      </c>
      <c r="S79" s="179"/>
      <c r="T79" s="480"/>
      <c r="U79" s="179"/>
      <c r="V79" s="766"/>
      <c r="W79" s="766"/>
      <c r="X79" s="766"/>
      <c r="Y79" s="766"/>
      <c r="Z79" s="767"/>
      <c r="AA79" s="767"/>
    </row>
    <row r="80" spans="1:27" s="4" customFormat="1" ht="15" x14ac:dyDescent="0.25">
      <c r="A80" s="5"/>
      <c r="B80" s="199" t="s">
        <v>1040</v>
      </c>
      <c r="C80" s="611">
        <v>0.430894308943089</v>
      </c>
      <c r="D80" s="611">
        <v>0.32113821138211385</v>
      </c>
      <c r="E80" s="611">
        <v>0</v>
      </c>
      <c r="F80" s="611">
        <v>0</v>
      </c>
      <c r="G80" s="179"/>
      <c r="H80" s="460">
        <v>627.97101883590187</v>
      </c>
      <c r="I80" s="612">
        <f t="shared" si="4"/>
        <v>270.58913819758345</v>
      </c>
      <c r="J80" s="610">
        <f t="shared" si="5"/>
        <v>201.66548978876526</v>
      </c>
      <c r="K80" s="610">
        <f t="shared" si="6"/>
        <v>0</v>
      </c>
      <c r="L80" s="688">
        <f t="shared" si="7"/>
        <v>0</v>
      </c>
      <c r="M80" s="735"/>
      <c r="N80" s="613">
        <f t="shared" si="3"/>
        <v>502.3768150687215</v>
      </c>
      <c r="O80" s="612">
        <f t="shared" si="8"/>
        <v>216.47131055806676</v>
      </c>
      <c r="P80" s="610">
        <f t="shared" si="9"/>
        <v>161.33239183101219</v>
      </c>
      <c r="Q80" s="610">
        <f t="shared" si="10"/>
        <v>0</v>
      </c>
      <c r="R80" s="610">
        <f t="shared" si="11"/>
        <v>0</v>
      </c>
      <c r="S80" s="179"/>
      <c r="T80" s="480"/>
      <c r="U80" s="179"/>
      <c r="V80" s="766"/>
      <c r="W80" s="766"/>
      <c r="X80" s="766"/>
      <c r="Y80" s="766"/>
      <c r="Z80" s="767"/>
      <c r="AA80" s="767"/>
    </row>
    <row r="81" spans="1:35" s="4" customFormat="1" ht="15" x14ac:dyDescent="0.25">
      <c r="A81" s="5"/>
      <c r="B81" s="199" t="s">
        <v>1041</v>
      </c>
      <c r="C81" s="611">
        <v>8.943089430894309E-2</v>
      </c>
      <c r="D81" s="611">
        <v>5.2845528455284556E-2</v>
      </c>
      <c r="E81" s="611">
        <v>0</v>
      </c>
      <c r="F81" s="611">
        <v>0</v>
      </c>
      <c r="G81" s="179"/>
      <c r="H81" s="460">
        <v>627.97101883590187</v>
      </c>
      <c r="I81" s="612">
        <f t="shared" si="4"/>
        <v>56.160009814592854</v>
      </c>
      <c r="J81" s="610">
        <f t="shared" si="5"/>
        <v>33.185460344986687</v>
      </c>
      <c r="K81" s="610">
        <f t="shared" si="6"/>
        <v>0</v>
      </c>
      <c r="L81" s="688">
        <f t="shared" si="7"/>
        <v>0</v>
      </c>
      <c r="M81" s="735"/>
      <c r="N81" s="613">
        <f t="shared" si="3"/>
        <v>502.3768150687215</v>
      </c>
      <c r="O81" s="612">
        <f t="shared" si="8"/>
        <v>44.92800785167428</v>
      </c>
      <c r="P81" s="610">
        <f t="shared" si="9"/>
        <v>26.54836827598935</v>
      </c>
      <c r="Q81" s="610">
        <f t="shared" si="10"/>
        <v>0</v>
      </c>
      <c r="R81" s="610">
        <f t="shared" si="11"/>
        <v>0</v>
      </c>
      <c r="S81" s="179"/>
      <c r="T81" s="480"/>
      <c r="U81" s="179"/>
      <c r="V81" s="766"/>
      <c r="W81" s="766"/>
      <c r="X81" s="766"/>
      <c r="Y81" s="766"/>
      <c r="Z81" s="767"/>
      <c r="AA81" s="767"/>
    </row>
    <row r="82" spans="1:35" s="4" customFormat="1" ht="15" x14ac:dyDescent="0.25">
      <c r="A82" s="5"/>
      <c r="B82" s="199" t="s">
        <v>1042</v>
      </c>
      <c r="C82" s="611">
        <v>8.130081300813009E-3</v>
      </c>
      <c r="D82" s="611">
        <v>2.032520325203252E-2</v>
      </c>
      <c r="E82" s="611">
        <v>0</v>
      </c>
      <c r="F82" s="611">
        <v>0</v>
      </c>
      <c r="G82" s="179"/>
      <c r="H82" s="460">
        <v>1905.9191777561743</v>
      </c>
      <c r="I82" s="612">
        <f t="shared" si="4"/>
        <v>15.495277867936379</v>
      </c>
      <c r="J82" s="610">
        <f t="shared" si="5"/>
        <v>38.738194669840944</v>
      </c>
      <c r="K82" s="610">
        <f t="shared" si="6"/>
        <v>0</v>
      </c>
      <c r="L82" s="688">
        <f t="shared" si="7"/>
        <v>0</v>
      </c>
      <c r="M82" s="735"/>
      <c r="N82" s="613">
        <f t="shared" si="3"/>
        <v>1524.7353422049396</v>
      </c>
      <c r="O82" s="612">
        <f t="shared" si="8"/>
        <v>12.396222294349103</v>
      </c>
      <c r="P82" s="610">
        <f t="shared" si="9"/>
        <v>30.990555735872753</v>
      </c>
      <c r="Q82" s="610">
        <f t="shared" si="10"/>
        <v>0</v>
      </c>
      <c r="R82" s="610">
        <f t="shared" si="11"/>
        <v>0</v>
      </c>
      <c r="S82" s="179"/>
      <c r="T82" s="480"/>
      <c r="U82" s="179"/>
      <c r="V82" s="766"/>
      <c r="W82" s="766"/>
      <c r="X82" s="766"/>
      <c r="Y82" s="766"/>
      <c r="Z82" s="767"/>
      <c r="AA82" s="767"/>
    </row>
    <row r="83" spans="1:35" s="4" customFormat="1" ht="15" x14ac:dyDescent="0.25">
      <c r="A83" s="5"/>
      <c r="B83" s="199" t="s">
        <v>1043</v>
      </c>
      <c r="C83" s="611">
        <v>0</v>
      </c>
      <c r="D83" s="611">
        <v>0</v>
      </c>
      <c r="E83" s="611">
        <v>5.5E-2</v>
      </c>
      <c r="F83" s="611">
        <v>0</v>
      </c>
      <c r="G83" s="179"/>
      <c r="H83" s="460">
        <v>1581.8060010873965</v>
      </c>
      <c r="I83" s="612">
        <f t="shared" si="4"/>
        <v>0</v>
      </c>
      <c r="J83" s="610">
        <f t="shared" si="5"/>
        <v>0</v>
      </c>
      <c r="K83" s="610">
        <f t="shared" si="6"/>
        <v>86.999330059806809</v>
      </c>
      <c r="L83" s="688">
        <f t="shared" si="7"/>
        <v>0</v>
      </c>
      <c r="M83" s="735"/>
      <c r="N83" s="613">
        <f t="shared" si="3"/>
        <v>1265.4448008699173</v>
      </c>
      <c r="O83" s="612">
        <f t="shared" si="8"/>
        <v>0</v>
      </c>
      <c r="P83" s="610">
        <f t="shared" si="9"/>
        <v>0</v>
      </c>
      <c r="Q83" s="610">
        <f t="shared" si="10"/>
        <v>69.599464047845458</v>
      </c>
      <c r="R83" s="610">
        <f t="shared" si="11"/>
        <v>0</v>
      </c>
      <c r="S83" s="179"/>
      <c r="T83" s="480"/>
      <c r="U83" s="179"/>
      <c r="V83" s="766"/>
      <c r="W83" s="766"/>
      <c r="X83" s="766"/>
      <c r="Y83" s="766"/>
      <c r="Z83" s="767"/>
      <c r="AA83" s="767"/>
    </row>
    <row r="84" spans="1:35" s="4" customFormat="1" ht="15" x14ac:dyDescent="0.25">
      <c r="A84" s="5"/>
      <c r="B84" s="199" t="s">
        <v>1044</v>
      </c>
      <c r="C84" s="611">
        <v>2.8455284552845527E-2</v>
      </c>
      <c r="D84" s="611">
        <v>1.2195121951219513E-2</v>
      </c>
      <c r="E84" s="611">
        <v>2.8000000000000001E-2</v>
      </c>
      <c r="F84" s="611">
        <v>3.0000000000000001E-3</v>
      </c>
      <c r="G84" s="179"/>
      <c r="H84" s="460">
        <v>627.97101883590187</v>
      </c>
      <c r="I84" s="612">
        <f t="shared" si="4"/>
        <v>17.869094031915907</v>
      </c>
      <c r="J84" s="610">
        <f t="shared" si="5"/>
        <v>7.6581831565353893</v>
      </c>
      <c r="K84" s="610">
        <f t="shared" si="6"/>
        <v>17.583188527405252</v>
      </c>
      <c r="L84" s="688">
        <f t="shared" si="7"/>
        <v>1.8839130565077056</v>
      </c>
      <c r="M84" s="735"/>
      <c r="N84" s="613">
        <f t="shared" si="3"/>
        <v>502.3768150687215</v>
      </c>
      <c r="O84" s="612">
        <f t="shared" si="8"/>
        <v>14.295275225532725</v>
      </c>
      <c r="P84" s="610">
        <f t="shared" si="9"/>
        <v>6.1265465252283109</v>
      </c>
      <c r="Q84" s="610">
        <f t="shared" si="10"/>
        <v>14.066550821924203</v>
      </c>
      <c r="R84" s="610">
        <f t="shared" si="11"/>
        <v>1.5071304452061645</v>
      </c>
      <c r="S84" s="179"/>
      <c r="T84" s="480"/>
      <c r="U84" s="179"/>
      <c r="V84" s="766"/>
      <c r="W84" s="766"/>
      <c r="X84" s="766"/>
      <c r="Y84" s="766"/>
      <c r="Z84" s="767"/>
      <c r="AA84" s="767"/>
    </row>
    <row r="85" spans="1:35" s="4" customFormat="1" ht="15" x14ac:dyDescent="0.25">
      <c r="A85" s="5"/>
      <c r="B85" s="5"/>
      <c r="C85" s="614"/>
      <c r="D85" s="614"/>
      <c r="E85" s="614"/>
      <c r="F85" s="614"/>
      <c r="G85" s="179"/>
      <c r="H85" s="5"/>
      <c r="I85" s="5"/>
      <c r="J85" s="180"/>
      <c r="K85" s="179"/>
      <c r="L85" s="179"/>
      <c r="M85" s="615"/>
      <c r="N85" s="615"/>
      <c r="O85" s="179"/>
      <c r="P85" s="180"/>
      <c r="Q85" s="179"/>
      <c r="R85" s="179"/>
      <c r="S85" s="179"/>
      <c r="T85" s="763"/>
      <c r="U85" s="179"/>
      <c r="V85" s="766"/>
      <c r="W85" s="766"/>
      <c r="X85" s="766"/>
      <c r="Y85" s="766"/>
      <c r="Z85" s="767"/>
      <c r="AA85" s="767"/>
      <c r="AI85" s="3"/>
    </row>
    <row r="86" spans="1:35" s="4" customFormat="1" ht="15" x14ac:dyDescent="0.2">
      <c r="A86" s="5"/>
      <c r="B86" s="656" t="s">
        <v>931</v>
      </c>
      <c r="C86" s="5"/>
      <c r="D86" s="5"/>
      <c r="E86" s="112"/>
      <c r="F86" s="5"/>
      <c r="G86" s="5"/>
      <c r="H86" s="5"/>
      <c r="I86" s="5"/>
      <c r="J86" s="5"/>
      <c r="K86" s="179"/>
      <c r="L86" s="179"/>
      <c r="M86" s="179"/>
      <c r="N86" s="5"/>
      <c r="O86" s="179"/>
      <c r="P86" s="5"/>
      <c r="Q86" s="5"/>
      <c r="R86" s="5"/>
      <c r="S86" s="179"/>
      <c r="T86" s="179"/>
      <c r="U86" s="179"/>
      <c r="V86" s="766"/>
      <c r="W86" s="766"/>
      <c r="X86" s="766"/>
      <c r="Y86" s="766"/>
      <c r="Z86" s="767"/>
      <c r="AA86" s="767"/>
      <c r="AI86" s="3"/>
    </row>
    <row r="87" spans="1:35" ht="15" x14ac:dyDescent="0.25">
      <c r="A87" s="5"/>
      <c r="B87" t="s">
        <v>908</v>
      </c>
      <c r="C87" s="5"/>
      <c r="D87" s="5"/>
      <c r="E87" s="5"/>
      <c r="F87" s="5"/>
      <c r="G87" s="5"/>
      <c r="H87" s="5"/>
      <c r="I87" s="5"/>
      <c r="J87" s="5"/>
      <c r="K87" s="5"/>
      <c r="L87" s="5"/>
      <c r="M87" s="5"/>
      <c r="N87" s="5"/>
      <c r="O87" s="5"/>
      <c r="P87" s="5"/>
      <c r="Q87" s="5"/>
      <c r="R87" s="5"/>
      <c r="S87" s="5"/>
      <c r="T87" s="5"/>
      <c r="U87" s="5"/>
      <c r="V87" s="766"/>
      <c r="W87" s="766"/>
      <c r="X87" s="766"/>
      <c r="Y87" s="766"/>
      <c r="Z87" s="767"/>
      <c r="AA87" s="767"/>
      <c r="AC87" s="4"/>
      <c r="AD87" s="4"/>
      <c r="AE87" s="4"/>
    </row>
    <row r="88" spans="1:35" ht="15" x14ac:dyDescent="0.25">
      <c r="A88" s="5"/>
      <c r="B88" t="s">
        <v>150</v>
      </c>
      <c r="C88" s="337"/>
      <c r="D88" s="337"/>
      <c r="E88" s="337"/>
      <c r="F88" s="337"/>
      <c r="G88" s="337"/>
      <c r="H88" s="337"/>
      <c r="I88" s="192"/>
      <c r="J88" s="192"/>
      <c r="K88" s="192"/>
      <c r="L88" s="192"/>
      <c r="M88" s="192"/>
      <c r="N88" s="192"/>
      <c r="O88" s="192"/>
      <c r="P88" s="192"/>
      <c r="Q88" s="192"/>
      <c r="R88" s="192"/>
      <c r="S88" s="192"/>
      <c r="T88" s="192"/>
      <c r="U88" s="192"/>
      <c r="V88" s="766"/>
      <c r="W88" s="766"/>
      <c r="X88" s="766"/>
      <c r="Y88" s="766"/>
      <c r="Z88" s="767"/>
      <c r="AA88" s="767"/>
      <c r="AC88" s="4"/>
      <c r="AD88" s="4"/>
      <c r="AE88" s="4"/>
    </row>
    <row r="89" spans="1:35" ht="14.25" x14ac:dyDescent="0.2">
      <c r="A89" s="152"/>
      <c r="B89" s="762"/>
      <c r="C89" s="762"/>
      <c r="D89" s="762"/>
      <c r="E89" s="762"/>
      <c r="F89" s="762"/>
      <c r="G89" s="762"/>
      <c r="H89" s="762"/>
      <c r="I89" s="762"/>
      <c r="J89" s="762"/>
      <c r="K89" s="762"/>
      <c r="L89" s="762"/>
      <c r="M89" s="762"/>
      <c r="N89" s="762"/>
      <c r="O89" s="762"/>
      <c r="P89" s="762"/>
      <c r="Q89" s="762"/>
      <c r="R89" s="762"/>
      <c r="S89" s="762"/>
      <c r="T89" s="762"/>
      <c r="U89" s="762"/>
      <c r="V89" s="766"/>
      <c r="W89" s="766"/>
      <c r="X89" s="766"/>
      <c r="Y89" s="766"/>
      <c r="Z89" s="767"/>
      <c r="AA89" s="767"/>
      <c r="AC89" s="4"/>
      <c r="AD89" s="4"/>
      <c r="AE89" s="4"/>
    </row>
    <row r="90" spans="1:35" ht="14.25" x14ac:dyDescent="0.2">
      <c r="B90" s="4"/>
      <c r="C90" s="4"/>
      <c r="D90" s="4"/>
      <c r="E90" s="4"/>
      <c r="F90" s="4"/>
      <c r="G90" s="4"/>
      <c r="H90" s="4"/>
      <c r="I90" s="4"/>
      <c r="J90" s="4"/>
      <c r="K90" s="4"/>
      <c r="L90" s="4"/>
      <c r="M90" s="4"/>
      <c r="N90" s="4"/>
      <c r="O90" s="4"/>
      <c r="P90" s="4"/>
      <c r="Q90" s="4"/>
      <c r="R90" s="4"/>
      <c r="S90" s="4"/>
      <c r="T90" s="4"/>
      <c r="U90" s="4"/>
      <c r="V90" s="4"/>
      <c r="W90" s="4"/>
      <c r="X90" s="4"/>
      <c r="Y90" s="4"/>
      <c r="AC90" s="4"/>
      <c r="AD90" s="4"/>
      <c r="AE90" s="4"/>
    </row>
    <row r="91" spans="1:35" ht="14.25" x14ac:dyDescent="0.2">
      <c r="B91" s="4"/>
      <c r="C91" s="4"/>
      <c r="D91" s="4"/>
      <c r="E91" s="4"/>
      <c r="F91" s="4"/>
      <c r="G91" s="4"/>
      <c r="H91" s="4"/>
      <c r="I91" s="4"/>
      <c r="J91" s="4"/>
      <c r="K91" s="4"/>
      <c r="L91" s="4"/>
      <c r="M91" s="4"/>
      <c r="N91" s="4"/>
      <c r="O91" s="4"/>
      <c r="P91" s="4"/>
      <c r="Q91" s="4"/>
      <c r="R91" s="4"/>
      <c r="S91" s="4"/>
      <c r="T91" s="4"/>
      <c r="U91" s="4"/>
      <c r="V91" s="4"/>
      <c r="W91" s="4"/>
      <c r="X91" s="4"/>
      <c r="Y91" s="4"/>
    </row>
    <row r="92" spans="1:35" ht="14.25" x14ac:dyDescent="0.2">
      <c r="B92" s="4"/>
      <c r="C92" s="4"/>
      <c r="D92" s="4"/>
      <c r="E92" s="4"/>
      <c r="F92" s="4"/>
      <c r="G92" s="4"/>
      <c r="H92" s="4"/>
      <c r="I92" s="4"/>
      <c r="J92" s="4"/>
      <c r="K92" s="4"/>
      <c r="L92" s="4"/>
      <c r="M92" s="4"/>
      <c r="N92" s="4"/>
      <c r="O92" s="4"/>
      <c r="P92" s="4"/>
      <c r="Q92" s="4"/>
      <c r="R92" s="4"/>
      <c r="S92" s="4"/>
      <c r="T92" s="4"/>
      <c r="U92" s="4"/>
      <c r="V92" s="4"/>
      <c r="W92" s="4"/>
      <c r="X92" s="4"/>
      <c r="Y92" s="4"/>
    </row>
    <row r="100" spans="3:4" x14ac:dyDescent="0.2">
      <c r="C100" s="616"/>
      <c r="D100" s="616"/>
    </row>
    <row r="101" spans="3:4" x14ac:dyDescent="0.2">
      <c r="C101" s="616"/>
      <c r="D101" s="616"/>
    </row>
    <row r="102" spans="3:4" x14ac:dyDescent="0.2">
      <c r="C102" s="616"/>
      <c r="D102" s="616"/>
    </row>
  </sheetData>
  <sheetProtection algorithmName="SHA-512" hashValue="3uvgqXWKCJlMLCxrt7r10K6Wd3wLSatOuk9yO0dyIhyooPJF14ToL8ghrkViOFSY2mWRgztUK0E8y2Y7O0e3xw==" saltValue="74CV5FKErrsGpwQA5m3j/A==" spinCount="100000" sheet="1" objects="1" scenarios="1"/>
  <sortState xmlns:xlrd2="http://schemas.microsoft.com/office/spreadsheetml/2017/richdata2" ref="B62:O84">
    <sortCondition ref="B62:B84"/>
  </sortState>
  <hyperlinks>
    <hyperlink ref="B55" r:id="rId1" display="https://www.england.nhs.uk/publication/2023-25-nhs-payment-scheme/" xr:uid="{074DF6DC-CFFB-4286-B8AD-90E8539276B2}"/>
    <hyperlink ref="B29" r:id="rId2" display="https://www.england.nhs.uk/publication/2023-25-nhs-payment-scheme/" xr:uid="{D2058AB6-262E-4FCE-9091-29A348203569}"/>
    <hyperlink ref="B40" r:id="rId3" display="https://www.england.nhs.uk/publication/2023-25-nhs-payment-scheme/" xr:uid="{900D3C4C-030C-4090-9540-66275433D2D6}"/>
  </hyperlinks>
  <pageMargins left="0.70866141732283472" right="0.70866141732283472" top="0.74803149606299213" bottom="0.74803149606299213" header="0.31496062992125984" footer="0.31496062992125984"/>
  <pageSetup paperSize="9" scale="1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B1E1-1201-4B1E-9557-5B35097DB6FC}">
  <sheetPr>
    <tabColor theme="8" tint="-0.499984740745262"/>
    <pageSetUpPr fitToPage="1"/>
  </sheetPr>
  <dimension ref="B1:AH28"/>
  <sheetViews>
    <sheetView showGridLines="0" zoomScale="80" zoomScaleNormal="80" zoomScaleSheetLayoutView="80" workbookViewId="0">
      <selection activeCell="I28" sqref="I28"/>
    </sheetView>
  </sheetViews>
  <sheetFormatPr defaultColWidth="8.85546875" defaultRowHeight="15" x14ac:dyDescent="0.25"/>
  <cols>
    <col min="1" max="1" width="3.5703125" customWidth="1"/>
    <col min="2" max="2" width="76.85546875" style="1" customWidth="1"/>
    <col min="3" max="3" width="11.5703125" customWidth="1"/>
    <col min="4" max="8" width="11.710937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692" t="str">
        <f>'Unit costs'!B1</f>
        <v>Trifluridine–tipiracil with bevacizumab for treating metastatic colorectal cancer after 2 systemic treatments</v>
      </c>
      <c r="C1" s="127"/>
      <c r="D1" s="127"/>
      <c r="E1" s="127"/>
      <c r="F1" s="127"/>
      <c r="G1" s="127"/>
      <c r="H1" s="127"/>
      <c r="I1" s="127"/>
      <c r="J1" s="127"/>
      <c r="K1" s="127"/>
      <c r="L1" s="127"/>
      <c r="M1" s="127"/>
      <c r="N1" s="127"/>
      <c r="O1" s="127"/>
      <c r="P1" s="127"/>
      <c r="Q1" s="127"/>
      <c r="R1" s="127"/>
      <c r="S1" s="127"/>
      <c r="T1" s="127"/>
    </row>
    <row r="2" spans="2:34" ht="38.1" customHeight="1" x14ac:dyDescent="0.25">
      <c r="B2" s="378" t="s">
        <v>727</v>
      </c>
      <c r="C2" s="127" t="s">
        <v>107</v>
      </c>
      <c r="D2" s="127" t="s">
        <v>107</v>
      </c>
      <c r="E2" s="127" t="s">
        <v>107</v>
      </c>
      <c r="F2" s="127" t="s">
        <v>107</v>
      </c>
      <c r="G2" s="127" t="s">
        <v>107</v>
      </c>
      <c r="H2" s="127"/>
      <c r="I2" s="127" t="s">
        <v>107</v>
      </c>
      <c r="J2" s="127" t="s">
        <v>107</v>
      </c>
      <c r="K2" s="133"/>
      <c r="L2" s="127"/>
      <c r="M2" s="127"/>
      <c r="N2" s="127"/>
      <c r="O2" s="127"/>
      <c r="P2" s="127"/>
      <c r="Q2" s="127"/>
      <c r="R2" s="127"/>
      <c r="S2" s="127"/>
      <c r="T2" s="127"/>
    </row>
    <row r="3" spans="2:34" x14ac:dyDescent="0.25">
      <c r="B3" s="130" t="s">
        <v>107</v>
      </c>
      <c r="C3" s="133" t="s">
        <v>107</v>
      </c>
      <c r="D3" s="133" t="s">
        <v>107</v>
      </c>
      <c r="E3" s="133" t="s">
        <v>107</v>
      </c>
      <c r="F3" s="133" t="s">
        <v>107</v>
      </c>
      <c r="G3" s="133" t="s">
        <v>107</v>
      </c>
      <c r="H3" s="133" t="s">
        <v>107</v>
      </c>
      <c r="I3" s="133" t="s">
        <v>107</v>
      </c>
      <c r="J3" s="133" t="s">
        <v>107</v>
      </c>
      <c r="K3" s="133"/>
      <c r="L3" s="133"/>
      <c r="M3" s="133"/>
      <c r="N3" s="133"/>
      <c r="O3" s="133"/>
      <c r="P3" s="133"/>
      <c r="Q3" s="133"/>
      <c r="R3" s="133"/>
      <c r="S3" s="133"/>
      <c r="T3" s="133"/>
    </row>
    <row r="4" spans="2:34" s="244" customFormat="1" x14ac:dyDescent="0.25">
      <c r="B4" s="249" t="s">
        <v>728</v>
      </c>
      <c r="F4" s="133"/>
      <c r="G4" s="133"/>
      <c r="H4" s="133"/>
      <c r="I4" s="133"/>
      <c r="J4" s="133" t="s">
        <v>107</v>
      </c>
      <c r="K4" s="133"/>
      <c r="L4" s="133"/>
      <c r="M4" s="133"/>
      <c r="N4" s="133"/>
      <c r="O4" s="133"/>
      <c r="P4" s="133"/>
      <c r="Q4" s="133"/>
      <c r="R4" s="133"/>
      <c r="S4" s="133"/>
      <c r="T4" s="133"/>
    </row>
    <row r="5" spans="2:34" s="244" customFormat="1" x14ac:dyDescent="0.25">
      <c r="B5" s="249" t="s">
        <v>729</v>
      </c>
      <c r="F5" s="133"/>
      <c r="G5" s="133"/>
      <c r="H5" s="133"/>
      <c r="I5" s="133"/>
      <c r="J5" s="133"/>
      <c r="K5" s="133"/>
      <c r="L5" s="133"/>
      <c r="M5" s="133"/>
      <c r="N5" s="133"/>
      <c r="O5" s="133"/>
      <c r="P5" s="133"/>
      <c r="Q5" s="133"/>
      <c r="R5" s="133"/>
      <c r="S5" s="133"/>
      <c r="T5" s="133"/>
    </row>
    <row r="6" spans="2:34" s="244" customFormat="1" x14ac:dyDescent="0.25">
      <c r="B6" s="249"/>
      <c r="C6" s="133" t="s">
        <v>107</v>
      </c>
      <c r="D6" s="133" t="s">
        <v>107</v>
      </c>
      <c r="E6" s="133"/>
      <c r="F6" s="133"/>
      <c r="G6" s="133"/>
      <c r="H6" s="133"/>
      <c r="I6" s="133" t="s">
        <v>107</v>
      </c>
      <c r="J6" s="133" t="s">
        <v>107</v>
      </c>
      <c r="K6" s="133"/>
      <c r="L6" s="133"/>
      <c r="M6" s="133"/>
      <c r="N6" s="133"/>
      <c r="O6" s="133"/>
      <c r="P6" s="133"/>
      <c r="Q6" s="133"/>
      <c r="R6" s="133"/>
      <c r="S6" s="133"/>
      <c r="T6" s="133"/>
    </row>
    <row r="7" spans="2:34" s="244" customFormat="1" ht="45" x14ac:dyDescent="0.25">
      <c r="B7" s="259" t="s">
        <v>930</v>
      </c>
      <c r="C7" s="271"/>
      <c r="D7" s="423" t="s">
        <v>730</v>
      </c>
      <c r="E7" s="272" t="s">
        <v>50</v>
      </c>
      <c r="F7" s="272" t="s">
        <v>51</v>
      </c>
      <c r="G7" s="273" t="s">
        <v>731</v>
      </c>
      <c r="H7" s="273" t="s">
        <v>732</v>
      </c>
      <c r="I7" s="272" t="s">
        <v>733</v>
      </c>
      <c r="K7" s="133"/>
      <c r="L7" s="133"/>
      <c r="N7" s="133"/>
      <c r="O7" s="133"/>
      <c r="P7" s="133"/>
      <c r="Q7" s="133"/>
      <c r="R7" s="133"/>
      <c r="S7" s="133"/>
      <c r="T7" s="133"/>
    </row>
    <row r="8" spans="2:34" s="244" customFormat="1" x14ac:dyDescent="0.25">
      <c r="B8" s="166" t="s">
        <v>1019</v>
      </c>
      <c r="C8" s="736"/>
      <c r="D8" s="128">
        <f>'Inputs and eligible population'!F50</f>
        <v>3401.5656960000001</v>
      </c>
      <c r="E8" s="128">
        <f>'Inputs and eligible population'!G50</f>
        <v>3434.362937516737</v>
      </c>
      <c r="F8" s="128">
        <f>'Inputs and eligible population'!H50</f>
        <v>3467.4764037215268</v>
      </c>
      <c r="G8" s="128">
        <f>'Inputs and eligible population'!I50</f>
        <v>3500.9091435919267</v>
      </c>
      <c r="H8" s="128">
        <f>'Inputs and eligible population'!J50</f>
        <v>3534.6642355031481</v>
      </c>
      <c r="I8" s="128">
        <f>'Inputs and eligible population'!K50</f>
        <v>3568.7447875115045</v>
      </c>
      <c r="K8" s="133"/>
      <c r="L8" s="133"/>
      <c r="N8" s="133"/>
      <c r="O8" s="133"/>
      <c r="P8" s="133"/>
      <c r="Q8" s="133"/>
      <c r="R8" s="133"/>
      <c r="S8" s="133"/>
      <c r="T8" s="133"/>
    </row>
    <row r="9" spans="2:34" s="148" customFormat="1" x14ac:dyDescent="0.25">
      <c r="B9" s="227" t="s">
        <v>945</v>
      </c>
      <c r="C9" s="182"/>
      <c r="D9" s="181">
        <f>'Inputs and eligible population'!F50</f>
        <v>3401.5656960000001</v>
      </c>
      <c r="E9" s="181">
        <f>'Inputs and eligible population'!G50</f>
        <v>3434.362937516737</v>
      </c>
      <c r="F9" s="181">
        <f>'Inputs and eligible population'!H50</f>
        <v>3467.4764037215268</v>
      </c>
      <c r="G9" s="181">
        <f>'Inputs and eligible population'!I50</f>
        <v>3500.9091435919267</v>
      </c>
      <c r="H9" s="181">
        <f>'Inputs and eligible population'!J50</f>
        <v>3534.6642355031481</v>
      </c>
      <c r="I9" s="181">
        <f>'Inputs and eligible population'!K50</f>
        <v>3568.7447875115045</v>
      </c>
      <c r="K9" s="133"/>
      <c r="L9" s="133"/>
    </row>
    <row r="10" spans="2:34" s="244" customFormat="1" x14ac:dyDescent="0.25">
      <c r="B10" s="246" t="s">
        <v>107</v>
      </c>
      <c r="C10" s="133" t="s">
        <v>107</v>
      </c>
      <c r="D10" s="133" t="s">
        <v>107</v>
      </c>
      <c r="E10" s="133" t="s">
        <v>107</v>
      </c>
      <c r="F10" s="133" t="s">
        <v>107</v>
      </c>
      <c r="G10" s="133" t="s">
        <v>107</v>
      </c>
      <c r="H10" s="133"/>
      <c r="I10" s="133"/>
      <c r="K10" s="133"/>
      <c r="L10" s="133"/>
      <c r="N10" s="133"/>
      <c r="O10" s="133"/>
      <c r="P10" s="133"/>
      <c r="Q10" s="133"/>
      <c r="R10" s="133"/>
      <c r="S10" s="133"/>
      <c r="T10" s="133"/>
      <c r="AD10" s="274"/>
      <c r="AE10" s="274"/>
      <c r="AF10" s="274"/>
      <c r="AG10" s="274"/>
      <c r="AH10" s="274"/>
    </row>
    <row r="11" spans="2:34" x14ac:dyDescent="0.25">
      <c r="B11" s="341" t="s">
        <v>954</v>
      </c>
      <c r="C11" s="342"/>
      <c r="D11" s="343"/>
      <c r="E11" s="343"/>
      <c r="F11" s="343"/>
      <c r="G11" s="343"/>
      <c r="H11" s="343"/>
      <c r="I11" s="344"/>
    </row>
    <row r="12" spans="2:34" x14ac:dyDescent="0.25">
      <c r="B12" s="246"/>
      <c r="C12" s="133"/>
      <c r="D12" s="133"/>
      <c r="E12" s="133"/>
      <c r="F12" s="133"/>
      <c r="G12" s="133"/>
      <c r="H12" s="133"/>
      <c r="I12" s="133"/>
    </row>
    <row r="13" spans="2:34" x14ac:dyDescent="0.25">
      <c r="B13" s="279" t="s">
        <v>953</v>
      </c>
      <c r="C13" s="275"/>
      <c r="D13" s="183"/>
      <c r="E13" s="183"/>
      <c r="F13" s="183"/>
      <c r="G13" s="183"/>
      <c r="H13" s="183"/>
      <c r="I13" s="184"/>
    </row>
    <row r="14" spans="2:34" x14ac:dyDescent="0.25">
      <c r="B14" s="350" t="s">
        <v>1052</v>
      </c>
      <c r="C14" s="351"/>
      <c r="D14" s="276">
        <f>(D$8*'Inputs and eligible population'!E70)</f>
        <v>0</v>
      </c>
      <c r="E14" s="276">
        <f>(E$8*'Inputs and eligible population'!F70)</f>
        <v>686.8725875033474</v>
      </c>
      <c r="F14" s="276">
        <f>(F$8*'Inputs and eligible population'!G70)</f>
        <v>1907.1120220468399</v>
      </c>
      <c r="G14" s="276">
        <f>(G$8*'Inputs and eligible population'!H70)</f>
        <v>1925.5000289755599</v>
      </c>
      <c r="H14" s="276">
        <f>(H$8*'Inputs and eligible population'!I70)</f>
        <v>1944.0653295267316</v>
      </c>
      <c r="I14" s="276">
        <f>(I$8*'Inputs and eligible population'!J70)</f>
        <v>1962.8096331313277</v>
      </c>
    </row>
    <row r="15" spans="2:34" x14ac:dyDescent="0.25">
      <c r="B15" s="350" t="s">
        <v>1053</v>
      </c>
      <c r="C15" s="631"/>
      <c r="D15" s="276">
        <f>(D$8*'Inputs and eligible population'!E71)</f>
        <v>1326.6106214400002</v>
      </c>
      <c r="E15" s="276">
        <f>(E$8*'Inputs and eligible population'!F71)</f>
        <v>927.27799312951902</v>
      </c>
      <c r="F15" s="276">
        <f>(F$8*'Inputs and eligible population'!G71)</f>
        <v>242.7233482605069</v>
      </c>
      <c r="G15" s="276">
        <f>(G$8*'Inputs and eligible population'!H71)</f>
        <v>245.0636400514349</v>
      </c>
      <c r="H15" s="276">
        <f>(H$8*'Inputs and eligible population'!I71)</f>
        <v>247.42649648522038</v>
      </c>
      <c r="I15" s="276">
        <f>(I$8*'Inputs and eligible population'!J71)</f>
        <v>249.81213512580533</v>
      </c>
    </row>
    <row r="16" spans="2:34" x14ac:dyDescent="0.25">
      <c r="B16" s="350" t="s">
        <v>1054</v>
      </c>
      <c r="C16" s="351"/>
      <c r="D16" s="276">
        <f>(D$8*'Inputs and eligible population'!E72)</f>
        <v>952.43839488000015</v>
      </c>
      <c r="E16" s="276">
        <f>(E$8*'Inputs and eligible population'!F72)</f>
        <v>686.8725875033474</v>
      </c>
      <c r="F16" s="276">
        <f>(F$8*'Inputs and eligible population'!G72)</f>
        <v>173.37382018607636</v>
      </c>
      <c r="G16" s="276">
        <f>(G$8*'Inputs and eligible population'!H72)</f>
        <v>175.04545717959635</v>
      </c>
      <c r="H16" s="276">
        <f>(H$8*'Inputs and eligible population'!I72)</f>
        <v>176.73321177515743</v>
      </c>
      <c r="I16" s="276">
        <f>(I$8*'Inputs and eligible population'!J72)</f>
        <v>178.43723937557525</v>
      </c>
    </row>
    <row r="17" spans="2:9" x14ac:dyDescent="0.25">
      <c r="B17" s="350" t="s">
        <v>997</v>
      </c>
      <c r="C17" s="631"/>
      <c r="D17" s="276">
        <f>(D$8*'Inputs and eligible population'!E73)</f>
        <v>1122.5166796800002</v>
      </c>
      <c r="E17" s="276">
        <f>(E$8*'Inputs and eligible population'!F73)</f>
        <v>1133.3397693805232</v>
      </c>
      <c r="F17" s="276">
        <f>(F$8*'Inputs and eligible population'!G73)</f>
        <v>1144.2672132281039</v>
      </c>
      <c r="G17" s="276">
        <f>(G$8*'Inputs and eligible population'!H73)</f>
        <v>1155.3000173853359</v>
      </c>
      <c r="H17" s="276">
        <f>(H$8*'Inputs and eligible population'!I73)</f>
        <v>1166.439197716039</v>
      </c>
      <c r="I17" s="276">
        <f>(I$8*'Inputs and eligible population'!J73)</f>
        <v>1177.6857798787964</v>
      </c>
    </row>
    <row r="18" spans="2:9" x14ac:dyDescent="0.25">
      <c r="B18" s="279" t="s">
        <v>951</v>
      </c>
      <c r="C18" s="185"/>
      <c r="D18" s="186">
        <f t="shared" ref="D18:I18" si="0">SUM(D14:D17)</f>
        <v>3401.5656960000006</v>
      </c>
      <c r="E18" s="186">
        <f t="shared" si="0"/>
        <v>3434.362937516737</v>
      </c>
      <c r="F18" s="186">
        <f t="shared" si="0"/>
        <v>3467.4764037215273</v>
      </c>
      <c r="G18" s="186">
        <f t="shared" si="0"/>
        <v>3500.9091435919272</v>
      </c>
      <c r="H18" s="186">
        <f t="shared" si="0"/>
        <v>3534.6642355031486</v>
      </c>
      <c r="I18" s="186">
        <f t="shared" si="0"/>
        <v>3568.7447875115049</v>
      </c>
    </row>
    <row r="19" spans="2:9" x14ac:dyDescent="0.25">
      <c r="B19" s="281"/>
      <c r="C19" s="133"/>
      <c r="D19" s="133"/>
      <c r="E19" s="133"/>
      <c r="F19" s="133"/>
      <c r="G19" s="133"/>
      <c r="H19" s="133"/>
      <c r="I19" s="133"/>
    </row>
    <row r="20" spans="2:9" x14ac:dyDescent="0.25">
      <c r="B20" s="244"/>
      <c r="C20" s="727" t="s">
        <v>734</v>
      </c>
      <c r="D20" s="726" t="s">
        <v>154</v>
      </c>
      <c r="E20" s="726" t="s">
        <v>154</v>
      </c>
      <c r="F20" s="726" t="s">
        <v>154</v>
      </c>
      <c r="G20" s="726" t="s">
        <v>154</v>
      </c>
      <c r="H20" s="726" t="s">
        <v>154</v>
      </c>
      <c r="I20" s="726" t="s">
        <v>154</v>
      </c>
    </row>
    <row r="21" spans="2:9" x14ac:dyDescent="0.25">
      <c r="B21" s="349" t="str">
        <f>B14</f>
        <v>People receiving trifluridine-tipiracil with bevacizumab</v>
      </c>
      <c r="C21" s="277">
        <f>'Unit costs'!P18</f>
        <v>0</v>
      </c>
      <c r="D21" s="277">
        <f t="shared" ref="D21:I24" si="1">D14*$C21/1000</f>
        <v>0</v>
      </c>
      <c r="E21" s="277">
        <f t="shared" si="1"/>
        <v>0</v>
      </c>
      <c r="F21" s="277">
        <f t="shared" si="1"/>
        <v>0</v>
      </c>
      <c r="G21" s="277">
        <f t="shared" si="1"/>
        <v>0</v>
      </c>
      <c r="H21" s="277">
        <f t="shared" si="1"/>
        <v>0</v>
      </c>
      <c r="I21" s="277">
        <f>I14*$C21/1000</f>
        <v>0</v>
      </c>
    </row>
    <row r="22" spans="2:9" x14ac:dyDescent="0.25">
      <c r="B22" s="349" t="str">
        <f>B15</f>
        <v xml:space="preserve">People receiving trifluridine-tipiracil </v>
      </c>
      <c r="C22" s="277">
        <f>'Unit costs'!P23</f>
        <v>0</v>
      </c>
      <c r="D22" s="277">
        <f t="shared" si="1"/>
        <v>0</v>
      </c>
      <c r="E22" s="277">
        <f t="shared" si="1"/>
        <v>0</v>
      </c>
      <c r="F22" s="277">
        <f t="shared" si="1"/>
        <v>0</v>
      </c>
      <c r="G22" s="277">
        <f t="shared" si="1"/>
        <v>0</v>
      </c>
      <c r="H22" s="277">
        <f t="shared" si="1"/>
        <v>0</v>
      </c>
      <c r="I22" s="277">
        <f t="shared" si="1"/>
        <v>0</v>
      </c>
    </row>
    <row r="23" spans="2:9" x14ac:dyDescent="0.25">
      <c r="B23" s="349" t="str">
        <f>B16</f>
        <v>People receiving regorafenib</v>
      </c>
      <c r="C23" s="277">
        <f>'Unit costs'!P27</f>
        <v>0</v>
      </c>
      <c r="D23" s="277">
        <f t="shared" si="1"/>
        <v>0</v>
      </c>
      <c r="E23" s="277">
        <f t="shared" si="1"/>
        <v>0</v>
      </c>
      <c r="F23" s="277">
        <f t="shared" si="1"/>
        <v>0</v>
      </c>
      <c r="G23" s="277">
        <f t="shared" si="1"/>
        <v>0</v>
      </c>
      <c r="H23" s="277">
        <f t="shared" si="1"/>
        <v>0</v>
      </c>
      <c r="I23" s="277">
        <f t="shared" si="1"/>
        <v>0</v>
      </c>
    </row>
    <row r="24" spans="2:9" x14ac:dyDescent="0.25">
      <c r="B24" s="349" t="str">
        <f>B17</f>
        <v>People receiving best supportive care (BSC)</v>
      </c>
      <c r="C24" s="277">
        <v>0</v>
      </c>
      <c r="D24" s="277">
        <f t="shared" si="1"/>
        <v>0</v>
      </c>
      <c r="E24" s="277">
        <f t="shared" si="1"/>
        <v>0</v>
      </c>
      <c r="F24" s="277">
        <f t="shared" si="1"/>
        <v>0</v>
      </c>
      <c r="G24" s="277">
        <f t="shared" si="1"/>
        <v>0</v>
      </c>
      <c r="H24" s="277">
        <f t="shared" si="1"/>
        <v>0</v>
      </c>
      <c r="I24" s="277">
        <f t="shared" si="1"/>
        <v>0</v>
      </c>
    </row>
    <row r="25" spans="2:9" x14ac:dyDescent="0.25">
      <c r="B25" s="283" t="s">
        <v>952</v>
      </c>
      <c r="C25" s="187"/>
      <c r="D25" s="188">
        <f t="shared" ref="D25:I25" si="2">SUM(D21:D24)</f>
        <v>0</v>
      </c>
      <c r="E25" s="188">
        <f t="shared" si="2"/>
        <v>0</v>
      </c>
      <c r="F25" s="188">
        <f t="shared" si="2"/>
        <v>0</v>
      </c>
      <c r="G25" s="188">
        <f t="shared" si="2"/>
        <v>0</v>
      </c>
      <c r="H25" s="188">
        <f t="shared" si="2"/>
        <v>0</v>
      </c>
      <c r="I25" s="188">
        <f t="shared" si="2"/>
        <v>0</v>
      </c>
    </row>
    <row r="26" spans="2:9" x14ac:dyDescent="0.25">
      <c r="B26" s="281"/>
      <c r="C26" s="133"/>
      <c r="D26" s="133"/>
      <c r="E26" s="133"/>
      <c r="F26" s="133"/>
      <c r="G26" s="133"/>
      <c r="H26" s="133"/>
      <c r="I26" s="133"/>
    </row>
    <row r="27" spans="2:9" x14ac:dyDescent="0.25">
      <c r="B27" s="379"/>
      <c r="C27" s="278"/>
      <c r="D27" s="356" t="s">
        <v>156</v>
      </c>
      <c r="E27" s="188">
        <f>E25-$D$25</f>
        <v>0</v>
      </c>
      <c r="F27" s="188">
        <f t="shared" ref="F27:H27" si="3">F25-$D$25</f>
        <v>0</v>
      </c>
      <c r="G27" s="188">
        <f t="shared" si="3"/>
        <v>0</v>
      </c>
      <c r="H27" s="188">
        <f t="shared" si="3"/>
        <v>0</v>
      </c>
      <c r="I27" s="188">
        <f>I25-$D$25</f>
        <v>0</v>
      </c>
    </row>
    <row r="28" spans="2:9" x14ac:dyDescent="0.25">
      <c r="B28" s="379"/>
      <c r="C28" s="278"/>
      <c r="D28" s="284" t="s">
        <v>955</v>
      </c>
      <c r="E28" s="188">
        <f>E27</f>
        <v>0</v>
      </c>
      <c r="F28" s="189">
        <f>F27-E27</f>
        <v>0</v>
      </c>
      <c r="G28" s="189">
        <f>G27-F27</f>
        <v>0</v>
      </c>
      <c r="H28" s="189">
        <f>H27-G27</f>
        <v>0</v>
      </c>
      <c r="I28" s="189">
        <f>I27-H27</f>
        <v>0</v>
      </c>
    </row>
  </sheetData>
  <sheetProtection algorithmName="SHA-512" hashValue="C61Kk4rGoXWmwGWiL0M5JMtPl7qlrgJV/niRr1x6K8Dl9hhDuazy43ikqSf+Z2Dt1wfhNKAh31gjJXOV+5u/Jg==" saltValue="EiuAjzMIoge+mqDvYFj6SA==" spinCount="100000" sheet="1" objects="1" scenarios="1"/>
  <pageMargins left="0.70866141732283472" right="0.70866141732283472" top="0.74803149606299213" bottom="0.74803149606299213" header="0.31496062992125984" footer="0.31496062992125984"/>
  <pageSetup paperSize="9" scale="52"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D83D-4D7E-4D1E-B763-2BF224511BE2}">
  <sheetPr>
    <tabColor theme="8" tint="0.59999389629810485"/>
  </sheetPr>
  <dimension ref="A1:N82"/>
  <sheetViews>
    <sheetView showGridLines="0" zoomScale="80" zoomScaleNormal="80" zoomScaleSheetLayoutView="80" workbookViewId="0">
      <selection activeCell="E28" sqref="E28"/>
    </sheetView>
  </sheetViews>
  <sheetFormatPr defaultColWidth="8.85546875" defaultRowHeight="15" x14ac:dyDescent="0.25"/>
  <cols>
    <col min="1" max="1" width="3.5703125" customWidth="1"/>
    <col min="2" max="2" width="85.42578125" style="1" customWidth="1"/>
    <col min="3" max="3" width="11.7109375" style="1" customWidth="1"/>
    <col min="4" max="4" width="11.5703125" customWidth="1"/>
    <col min="5" max="6" width="11.7109375" customWidth="1"/>
    <col min="7" max="7" width="12.28515625" customWidth="1"/>
    <col min="8" max="8" width="11.7109375" customWidth="1"/>
    <col min="9" max="9" width="44.42578125" customWidth="1"/>
    <col min="10" max="10" width="11.7109375" customWidth="1"/>
    <col min="11" max="11" width="1.28515625" customWidth="1"/>
  </cols>
  <sheetData>
    <row r="1" spans="2:10" ht="30" customHeight="1" x14ac:dyDescent="0.25">
      <c r="B1" s="692" t="str">
        <f>'Unit costs'!B1</f>
        <v>Trifluridine–tipiracil with bevacizumab for treating metastatic colorectal cancer after 2 systemic treatments</v>
      </c>
      <c r="C1" s="144"/>
      <c r="D1" s="141"/>
      <c r="E1" s="141"/>
      <c r="F1" s="141"/>
      <c r="G1" s="141"/>
      <c r="H1" s="141"/>
      <c r="I1" s="141"/>
      <c r="J1" s="141"/>
    </row>
    <row r="2" spans="2:10" ht="30" customHeight="1" x14ac:dyDescent="0.25">
      <c r="B2" s="381" t="s">
        <v>13</v>
      </c>
      <c r="C2" s="141"/>
      <c r="D2" s="127" t="s">
        <v>107</v>
      </c>
      <c r="E2" s="127" t="s">
        <v>107</v>
      </c>
      <c r="F2" s="127" t="s">
        <v>107</v>
      </c>
      <c r="G2" s="127" t="s">
        <v>107</v>
      </c>
      <c r="H2" s="127" t="s">
        <v>107</v>
      </c>
      <c r="I2" s="127" t="s">
        <v>107</v>
      </c>
      <c r="J2" s="141"/>
    </row>
    <row r="3" spans="2:10" x14ac:dyDescent="0.25">
      <c r="B3" s="130" t="s">
        <v>107</v>
      </c>
      <c r="C3" s="130"/>
      <c r="D3" s="133" t="s">
        <v>107</v>
      </c>
      <c r="E3" s="133" t="s">
        <v>107</v>
      </c>
      <c r="F3" s="133" t="s">
        <v>107</v>
      </c>
      <c r="G3" s="133" t="s">
        <v>107</v>
      </c>
      <c r="H3" s="133" t="s">
        <v>107</v>
      </c>
      <c r="I3" s="133" t="s">
        <v>107</v>
      </c>
      <c r="J3" s="141"/>
    </row>
    <row r="4" spans="2:10" x14ac:dyDescent="0.25">
      <c r="B4" s="617"/>
      <c r="C4"/>
      <c r="J4" s="141"/>
    </row>
    <row r="5" spans="2:10" x14ac:dyDescent="0.25">
      <c r="B5" s="249"/>
      <c r="C5" s="249"/>
      <c r="G5" s="133"/>
      <c r="H5" s="133"/>
      <c r="I5" s="133" t="s">
        <v>151</v>
      </c>
      <c r="J5" s="141"/>
    </row>
    <row r="6" spans="2:10" ht="14.45" customHeight="1" x14ac:dyDescent="0.25">
      <c r="B6" s="259" t="s">
        <v>961</v>
      </c>
      <c r="C6" s="260"/>
      <c r="D6" s="164" t="s">
        <v>69</v>
      </c>
      <c r="E6" s="164" t="s">
        <v>70</v>
      </c>
      <c r="F6" s="164" t="s">
        <v>71</v>
      </c>
      <c r="G6" s="164" t="s">
        <v>72</v>
      </c>
      <c r="H6" s="164" t="s">
        <v>73</v>
      </c>
      <c r="J6" s="133"/>
    </row>
    <row r="7" spans="2:10" ht="14.45" customHeight="1" x14ac:dyDescent="0.25">
      <c r="B7" s="166" t="str">
        <f>'Financial impact (cash)'!B8</f>
        <v xml:space="preserve">Eligible population for trifluridine–tipiracil with bevacizumab </v>
      </c>
      <c r="C7" s="618"/>
      <c r="D7" s="128">
        <f>'Financial impact (cash)'!E8</f>
        <v>3434.362937516737</v>
      </c>
      <c r="E7" s="128">
        <f>'Financial impact (cash)'!F8</f>
        <v>3467.4764037215268</v>
      </c>
      <c r="F7" s="128">
        <f>'Financial impact (cash)'!G8</f>
        <v>3500.9091435919267</v>
      </c>
      <c r="G7" s="128">
        <f>'Financial impact (cash)'!H8</f>
        <v>3534.6642355031481</v>
      </c>
      <c r="H7" s="128">
        <f>'Financial impact (cash)'!I8</f>
        <v>3568.7447875115045</v>
      </c>
      <c r="J7" s="133"/>
    </row>
    <row r="8" spans="2:10" ht="14.45" customHeight="1" x14ac:dyDescent="0.25">
      <c r="B8" s="227" t="s">
        <v>962</v>
      </c>
      <c r="C8" s="618"/>
      <c r="D8" s="181">
        <f>'Inputs and eligible population'!G50</f>
        <v>3434.362937516737</v>
      </c>
      <c r="E8" s="181">
        <f>'Inputs and eligible population'!H50</f>
        <v>3467.4764037215268</v>
      </c>
      <c r="F8" s="181">
        <f>'Inputs and eligible population'!I50</f>
        <v>3500.9091435919267</v>
      </c>
      <c r="G8" s="181">
        <f>'Inputs and eligible population'!J50</f>
        <v>3534.6642355031481</v>
      </c>
      <c r="H8" s="181">
        <f>'Inputs and eligible population'!K50</f>
        <v>3568.7447875115045</v>
      </c>
      <c r="J8" s="133"/>
    </row>
    <row r="9" spans="2:10" ht="14.45" customHeight="1" x14ac:dyDescent="0.25">
      <c r="B9" s="261" t="s">
        <v>1055</v>
      </c>
      <c r="C9" s="619"/>
      <c r="D9" s="620">
        <f>'Inputs and eligible population'!F70</f>
        <v>0.2</v>
      </c>
      <c r="E9" s="620">
        <f>'Inputs and eligible population'!G70</f>
        <v>0.55000000000000004</v>
      </c>
      <c r="F9" s="620">
        <f>'Inputs and eligible population'!H70</f>
        <v>0.55000000000000004</v>
      </c>
      <c r="G9" s="620">
        <f>'Inputs and eligible population'!I70</f>
        <v>0.55000000000000004</v>
      </c>
      <c r="H9" s="620">
        <f>'Inputs and eligible population'!J70</f>
        <v>0.55000000000000004</v>
      </c>
      <c r="J9" s="133"/>
    </row>
    <row r="10" spans="2:10" ht="14.45" customHeight="1" x14ac:dyDescent="0.25">
      <c r="B10" s="261" t="s">
        <v>1056</v>
      </c>
      <c r="C10" s="619"/>
      <c r="D10" s="128">
        <f>'Financial impact (cash)'!E14</f>
        <v>686.8725875033474</v>
      </c>
      <c r="E10" s="128">
        <f>'Financial impact (cash)'!F14</f>
        <v>1907.1120220468399</v>
      </c>
      <c r="F10" s="128">
        <f>'Financial impact (cash)'!G14</f>
        <v>1925.5000289755599</v>
      </c>
      <c r="G10" s="128">
        <f>'Financial impact (cash)'!H14</f>
        <v>1944.0653295267316</v>
      </c>
      <c r="H10" s="128">
        <f>'Financial impact (cash)'!I14</f>
        <v>1962.8096331313277</v>
      </c>
      <c r="J10" s="133"/>
    </row>
    <row r="11" spans="2:10" ht="14.45" customHeight="1" x14ac:dyDescent="0.25">
      <c r="B11" s="133"/>
      <c r="C11" s="133"/>
      <c r="D11" s="621"/>
      <c r="E11" s="621"/>
      <c r="F11" s="621"/>
      <c r="G11" s="621"/>
      <c r="H11" s="621"/>
      <c r="I11" s="133"/>
      <c r="J11" s="133"/>
    </row>
    <row r="12" spans="2:10" ht="30" x14ac:dyDescent="0.25">
      <c r="B12" s="266" t="s">
        <v>963</v>
      </c>
      <c r="C12" s="240" t="s">
        <v>152</v>
      </c>
      <c r="D12" s="164" t="s">
        <v>69</v>
      </c>
      <c r="E12" s="164" t="s">
        <v>70</v>
      </c>
      <c r="F12" s="164" t="s">
        <v>71</v>
      </c>
      <c r="G12" s="164" t="s">
        <v>72</v>
      </c>
      <c r="H12" s="164" t="s">
        <v>73</v>
      </c>
      <c r="J12" s="133"/>
    </row>
    <row r="13" spans="2:10" x14ac:dyDescent="0.25">
      <c r="B13" s="694" t="str">
        <f>'Financial impact (cash)'!B14</f>
        <v>People receiving trifluridine-tipiracil with bevacizumab</v>
      </c>
      <c r="C13" s="128">
        <f>'Financial impact (cash)'!D14</f>
        <v>0</v>
      </c>
      <c r="D13" s="128">
        <f>'Financial impact (cash)'!E14</f>
        <v>686.8725875033474</v>
      </c>
      <c r="E13" s="128">
        <f>'Financial impact (cash)'!F14</f>
        <v>1907.1120220468399</v>
      </c>
      <c r="F13" s="128">
        <f>'Financial impact (cash)'!G14</f>
        <v>1925.5000289755599</v>
      </c>
      <c r="G13" s="128">
        <f>'Financial impact (cash)'!H14</f>
        <v>1944.0653295267316</v>
      </c>
      <c r="H13" s="128">
        <f>'Financial impact (cash)'!I14</f>
        <v>1962.8096331313277</v>
      </c>
      <c r="J13" s="133"/>
    </row>
    <row r="14" spans="2:10" x14ac:dyDescent="0.25">
      <c r="B14" s="694" t="str">
        <f>'Financial impact (cash)'!B15</f>
        <v xml:space="preserve">People receiving trifluridine-tipiracil </v>
      </c>
      <c r="C14" s="128">
        <f>'Financial impact (cash)'!D15</f>
        <v>1326.6106214400002</v>
      </c>
      <c r="D14" s="128">
        <f>'Financial impact (cash)'!E15</f>
        <v>927.27799312951902</v>
      </c>
      <c r="E14" s="128">
        <f>'Financial impact (cash)'!F15</f>
        <v>242.7233482605069</v>
      </c>
      <c r="F14" s="128">
        <f>'Financial impact (cash)'!G15</f>
        <v>245.0636400514349</v>
      </c>
      <c r="G14" s="128">
        <f>'Financial impact (cash)'!H15</f>
        <v>247.42649648522038</v>
      </c>
      <c r="H14" s="128">
        <f>'Financial impact (cash)'!I15</f>
        <v>249.81213512580533</v>
      </c>
      <c r="J14" s="133"/>
    </row>
    <row r="15" spans="2:10" x14ac:dyDescent="0.25">
      <c r="B15" s="694" t="str">
        <f>'Financial impact (cash)'!B16</f>
        <v>People receiving regorafenib</v>
      </c>
      <c r="C15" s="128">
        <f>'Financial impact (cash)'!D16</f>
        <v>952.43839488000015</v>
      </c>
      <c r="D15" s="128">
        <f>'Financial impact (cash)'!E16</f>
        <v>686.8725875033474</v>
      </c>
      <c r="E15" s="128">
        <f>'Financial impact (cash)'!F16</f>
        <v>173.37382018607636</v>
      </c>
      <c r="F15" s="128">
        <f>'Financial impact (cash)'!G16</f>
        <v>175.04545717959635</v>
      </c>
      <c r="G15" s="128">
        <f>'Financial impact (cash)'!H16</f>
        <v>176.73321177515743</v>
      </c>
      <c r="H15" s="128">
        <f>'Financial impact (cash)'!I16</f>
        <v>178.43723937557525</v>
      </c>
      <c r="J15" s="133"/>
    </row>
    <row r="16" spans="2:10" x14ac:dyDescent="0.25">
      <c r="B16" s="694" t="str">
        <f>'Financial impact (cash)'!B17</f>
        <v>People receiving best supportive care (BSC)</v>
      </c>
      <c r="C16" s="128">
        <f>'Financial impact (cash)'!D17</f>
        <v>1122.5166796800002</v>
      </c>
      <c r="D16" s="128">
        <f>'Financial impact (cash)'!E17</f>
        <v>1133.3397693805232</v>
      </c>
      <c r="E16" s="128">
        <f>'Financial impact (cash)'!F17</f>
        <v>1144.2672132281039</v>
      </c>
      <c r="F16" s="128">
        <f>'Financial impact (cash)'!G17</f>
        <v>1155.3000173853359</v>
      </c>
      <c r="G16" s="128">
        <f>'Financial impact (cash)'!H17</f>
        <v>1166.439197716039</v>
      </c>
      <c r="H16" s="128">
        <f>'Financial impact (cash)'!I17</f>
        <v>1177.6857798787964</v>
      </c>
      <c r="J16" s="133"/>
    </row>
    <row r="17" spans="1:10" x14ac:dyDescent="0.25">
      <c r="B17" s="267"/>
      <c r="C17" s="181">
        <f t="shared" ref="C17:H17" si="0">SUM(C13:C16)</f>
        <v>3401.5656960000006</v>
      </c>
      <c r="D17" s="181">
        <f t="shared" si="0"/>
        <v>3434.362937516737</v>
      </c>
      <c r="E17" s="181">
        <f t="shared" si="0"/>
        <v>3467.4764037215273</v>
      </c>
      <c r="F17" s="181">
        <f t="shared" si="0"/>
        <v>3500.9091435919272</v>
      </c>
      <c r="G17" s="181">
        <f t="shared" si="0"/>
        <v>3534.6642355031486</v>
      </c>
      <c r="H17" s="181">
        <f t="shared" si="0"/>
        <v>3568.7447875115049</v>
      </c>
      <c r="J17" s="133"/>
    </row>
    <row r="18" spans="1:10" x14ac:dyDescent="0.25">
      <c r="B18" s="246"/>
      <c r="C18" s="359"/>
      <c r="D18" s="359"/>
      <c r="E18" s="359"/>
      <c r="F18" s="359"/>
      <c r="G18" s="359"/>
      <c r="H18" s="359"/>
      <c r="J18" s="133"/>
    </row>
    <row r="19" spans="1:10" ht="15.75" thickBot="1" x14ac:dyDescent="0.3">
      <c r="B19" s="502"/>
      <c r="C19" s="502"/>
      <c r="D19" s="503"/>
      <c r="E19" s="503"/>
      <c r="F19" s="503"/>
      <c r="G19" s="503"/>
      <c r="H19" s="503"/>
      <c r="I19" s="504"/>
      <c r="J19" s="133"/>
    </row>
    <row r="20" spans="1:10" x14ac:dyDescent="0.25">
      <c r="B20" s="269"/>
      <c r="C20" s="269"/>
      <c r="D20" s="338"/>
      <c r="E20" s="338"/>
      <c r="F20" s="338"/>
      <c r="G20" s="338"/>
      <c r="H20" s="338"/>
      <c r="I20" s="133"/>
      <c r="J20" s="133"/>
    </row>
    <row r="21" spans="1:10" ht="30" x14ac:dyDescent="0.25">
      <c r="B21" s="262" t="s">
        <v>964</v>
      </c>
      <c r="C21" s="240" t="s">
        <v>152</v>
      </c>
      <c r="D21" s="164" t="s">
        <v>69</v>
      </c>
      <c r="E21" s="164" t="s">
        <v>70</v>
      </c>
      <c r="F21" s="164" t="s">
        <v>71</v>
      </c>
      <c r="G21" s="164" t="s">
        <v>72</v>
      </c>
      <c r="H21" s="164" t="s">
        <v>73</v>
      </c>
      <c r="I21" s="133"/>
      <c r="J21" s="133"/>
    </row>
    <row r="22" spans="1:10" x14ac:dyDescent="0.25">
      <c r="B22" s="294" t="s">
        <v>153</v>
      </c>
      <c r="C22" s="726" t="s">
        <v>154</v>
      </c>
      <c r="D22" s="726" t="s">
        <v>154</v>
      </c>
      <c r="E22" s="726" t="s">
        <v>154</v>
      </c>
      <c r="F22" s="726" t="s">
        <v>154</v>
      </c>
      <c r="G22" s="726" t="s">
        <v>154</v>
      </c>
      <c r="H22" s="726" t="s">
        <v>154</v>
      </c>
      <c r="I22" s="133"/>
      <c r="J22" s="133"/>
    </row>
    <row r="23" spans="1:10" x14ac:dyDescent="0.25">
      <c r="B23" s="268" t="s">
        <v>155</v>
      </c>
      <c r="C23" s="254">
        <f>'Financial impact (cash)'!D25</f>
        <v>0</v>
      </c>
      <c r="D23" s="254">
        <f>'Financial impact (cash)'!E25</f>
        <v>0</v>
      </c>
      <c r="E23" s="254">
        <f>'Financial impact (cash)'!F25</f>
        <v>0</v>
      </c>
      <c r="F23" s="254">
        <f>'Financial impact (cash)'!G25</f>
        <v>0</v>
      </c>
      <c r="G23" s="254">
        <f>'Financial impact (cash)'!H25</f>
        <v>0</v>
      </c>
      <c r="H23" s="254">
        <f>'Financial impact (cash)'!I25</f>
        <v>0</v>
      </c>
      <c r="I23" s="133"/>
      <c r="J23" s="133"/>
    </row>
    <row r="24" spans="1:10" x14ac:dyDescent="0.25">
      <c r="C24" s="78"/>
      <c r="D24" s="196">
        <f>D23-$C$23</f>
        <v>0</v>
      </c>
      <c r="E24" s="196">
        <f t="shared" ref="E24:G24" si="1">E23-$C$23</f>
        <v>0</v>
      </c>
      <c r="F24" s="196">
        <f t="shared" si="1"/>
        <v>0</v>
      </c>
      <c r="G24" s="196">
        <f t="shared" si="1"/>
        <v>0</v>
      </c>
      <c r="H24" s="196">
        <f>H23-$C$23</f>
        <v>0</v>
      </c>
      <c r="I24" s="464" t="s">
        <v>156</v>
      </c>
      <c r="J24" s="133"/>
    </row>
    <row r="25" spans="1:10" x14ac:dyDescent="0.25">
      <c r="C25" s="88"/>
      <c r="D25" s="196">
        <f>D23-C23</f>
        <v>0</v>
      </c>
      <c r="E25" s="196">
        <f>E23-D23</f>
        <v>0</v>
      </c>
      <c r="F25" s="196">
        <f>F23-E23</f>
        <v>0</v>
      </c>
      <c r="G25" s="196">
        <f>G23-F23</f>
        <v>0</v>
      </c>
      <c r="H25" s="196">
        <f>H23-G23</f>
        <v>0</v>
      </c>
      <c r="I25" s="464" t="s">
        <v>157</v>
      </c>
      <c r="J25" s="133"/>
    </row>
    <row r="26" spans="1:10" x14ac:dyDescent="0.25">
      <c r="D26" s="338"/>
      <c r="E26" s="338"/>
      <c r="F26" s="338"/>
      <c r="G26" s="338"/>
      <c r="H26" s="338"/>
      <c r="I26" s="622"/>
      <c r="J26" s="133"/>
    </row>
    <row r="27" spans="1:10" x14ac:dyDescent="0.25">
      <c r="B27" t="s">
        <v>158</v>
      </c>
      <c r="C27" s="269"/>
      <c r="D27" s="408"/>
      <c r="E27" s="408"/>
      <c r="F27" s="408"/>
      <c r="G27" s="408"/>
      <c r="H27" s="408"/>
      <c r="J27" s="133"/>
    </row>
    <row r="28" spans="1:10" x14ac:dyDescent="0.25">
      <c r="B28" s="623" t="s">
        <v>145</v>
      </c>
      <c r="C28" s="269"/>
      <c r="D28" s="408"/>
      <c r="E28" s="408"/>
      <c r="F28" s="408"/>
      <c r="G28" s="408"/>
      <c r="H28" s="408"/>
      <c r="J28" s="133"/>
    </row>
    <row r="29" spans="1:10" x14ac:dyDescent="0.25">
      <c r="B29" s="269"/>
      <c r="C29" s="269"/>
      <c r="D29" s="408"/>
      <c r="E29" s="408"/>
      <c r="F29" s="408"/>
      <c r="G29" s="408"/>
      <c r="H29" s="408"/>
      <c r="J29" s="133"/>
    </row>
    <row r="30" spans="1:10" ht="30" x14ac:dyDescent="0.25">
      <c r="A30" s="408"/>
      <c r="B30" s="262" t="s">
        <v>941</v>
      </c>
      <c r="C30" s="240" t="s">
        <v>152</v>
      </c>
      <c r="D30" s="164" t="s">
        <v>69</v>
      </c>
      <c r="E30" s="164" t="s">
        <v>70</v>
      </c>
      <c r="F30" s="164" t="s">
        <v>71</v>
      </c>
      <c r="G30" s="164" t="s">
        <v>72</v>
      </c>
      <c r="H30" s="164" t="s">
        <v>73</v>
      </c>
      <c r="J30" s="133"/>
    </row>
    <row r="31" spans="1:10" x14ac:dyDescent="0.25">
      <c r="A31" s="408"/>
      <c r="B31" s="294" t="s">
        <v>159</v>
      </c>
      <c r="C31" s="726" t="s">
        <v>154</v>
      </c>
      <c r="D31" s="726" t="s">
        <v>154</v>
      </c>
      <c r="E31" s="726" t="s">
        <v>154</v>
      </c>
      <c r="F31" s="726" t="s">
        <v>154</v>
      </c>
      <c r="G31" s="726" t="s">
        <v>154</v>
      </c>
      <c r="H31" s="726" t="s">
        <v>154</v>
      </c>
      <c r="J31" s="133"/>
    </row>
    <row r="32" spans="1:10" x14ac:dyDescent="0.25">
      <c r="A32" s="408"/>
      <c r="B32" s="268" t="s">
        <v>160</v>
      </c>
      <c r="C32" s="254">
        <f>IF($B$28="national prices",'Capacity (national prices)'!L23,IF($B$28="local prices",'Capacity (local prices)'!L24,0))</f>
        <v>2671.4354504947742</v>
      </c>
      <c r="D32" s="254">
        <f>IF($B$28="national prices",'Capacity (national prices)'!M23,IF($B$28="local prices",'Capacity (local prices)'!M24,0))</f>
        <v>4382.9253994704113</v>
      </c>
      <c r="E32" s="254">
        <f>IF($B$28="national prices",'Capacity (national prices)'!N23,IF($B$28="local prices",'Capacity (local prices)'!N24,0))</f>
        <v>7400.2640525360202</v>
      </c>
      <c r="F32" s="254">
        <f>IF($B$28="national prices",'Capacity (national prices)'!O23,IF($B$28="local prices",'Capacity (local prices)'!O24,0))</f>
        <v>7471.6159737128073</v>
      </c>
      <c r="G32" s="254">
        <f>IF($B$28="national prices",'Capacity (national prices)'!P23,IF($B$28="local prices",'Capacity (local prices)'!P24,0))</f>
        <v>7543.6558563757608</v>
      </c>
      <c r="H32" s="254">
        <f>IF($B$28="national prices",'Capacity (national prices)'!Q23,IF($B$28="local prices",'Capacity (local prices)'!Q24,0))</f>
        <v>7616.3903337170759</v>
      </c>
      <c r="J32" s="133"/>
    </row>
    <row r="33" spans="1:10" x14ac:dyDescent="0.25">
      <c r="A33" s="408"/>
      <c r="C33" s="78"/>
      <c r="D33" s="196">
        <f>D32-$C$32</f>
        <v>1711.4899489756372</v>
      </c>
      <c r="E33" s="196">
        <f>E32-$C$32</f>
        <v>4728.8286020412461</v>
      </c>
      <c r="F33" s="196">
        <f>F32-$C$32</f>
        <v>4800.1805232180332</v>
      </c>
      <c r="G33" s="196">
        <f>G32-$C$32</f>
        <v>4872.2204058809866</v>
      </c>
      <c r="H33" s="196">
        <f>H32-$C$32</f>
        <v>4944.9548832223018</v>
      </c>
      <c r="I33" s="464" t="s">
        <v>156</v>
      </c>
      <c r="J33" s="133"/>
    </row>
    <row r="34" spans="1:10" x14ac:dyDescent="0.25">
      <c r="A34" s="408"/>
      <c r="C34" s="88"/>
      <c r="D34" s="196">
        <f>D32-C32</f>
        <v>1711.4899489756372</v>
      </c>
      <c r="E34" s="196">
        <f>E32-D32</f>
        <v>3017.3386530656089</v>
      </c>
      <c r="F34" s="196">
        <f>F32-E32</f>
        <v>71.351921176787073</v>
      </c>
      <c r="G34" s="196">
        <f>G32-F32</f>
        <v>72.03988266295346</v>
      </c>
      <c r="H34" s="196">
        <f>H32-G32</f>
        <v>72.734477341315142</v>
      </c>
      <c r="I34" s="464" t="s">
        <v>157</v>
      </c>
      <c r="J34" s="133"/>
    </row>
    <row r="35" spans="1:10" x14ac:dyDescent="0.25">
      <c r="A35" s="408"/>
      <c r="B35" s="408"/>
      <c r="C35" s="408"/>
      <c r="D35" s="408"/>
      <c r="E35" s="408"/>
      <c r="F35" s="408"/>
      <c r="G35" s="408"/>
      <c r="H35" s="408"/>
      <c r="J35" s="133"/>
    </row>
    <row r="36" spans="1:10" ht="30" x14ac:dyDescent="0.25">
      <c r="A36" s="408"/>
      <c r="B36" s="262" t="s">
        <v>942</v>
      </c>
      <c r="C36" s="240" t="s">
        <v>152</v>
      </c>
      <c r="D36" s="164" t="s">
        <v>69</v>
      </c>
      <c r="E36" s="164" t="s">
        <v>70</v>
      </c>
      <c r="F36" s="164" t="s">
        <v>71</v>
      </c>
      <c r="G36" s="164" t="s">
        <v>72</v>
      </c>
      <c r="H36" s="164" t="s">
        <v>73</v>
      </c>
      <c r="J36" s="133"/>
    </row>
    <row r="37" spans="1:10" x14ac:dyDescent="0.25">
      <c r="B37" s="294"/>
      <c r="C37" s="726" t="s">
        <v>154</v>
      </c>
      <c r="D37" s="726" t="s">
        <v>154</v>
      </c>
      <c r="E37" s="726" t="s">
        <v>154</v>
      </c>
      <c r="F37" s="726" t="s">
        <v>154</v>
      </c>
      <c r="G37" s="726" t="s">
        <v>154</v>
      </c>
      <c r="H37" s="726" t="s">
        <v>154</v>
      </c>
      <c r="I37" s="133"/>
      <c r="J37" s="133"/>
    </row>
    <row r="38" spans="1:10" x14ac:dyDescent="0.25">
      <c r="B38" s="498" t="s">
        <v>161</v>
      </c>
      <c r="C38" s="517">
        <f>C23+C32</f>
        <v>2671.4354504947742</v>
      </c>
      <c r="D38" s="517">
        <f t="shared" ref="D38:H38" si="2">D23+D32</f>
        <v>4382.9253994704113</v>
      </c>
      <c r="E38" s="517">
        <f t="shared" si="2"/>
        <v>7400.2640525360202</v>
      </c>
      <c r="F38" s="517">
        <f t="shared" si="2"/>
        <v>7471.6159737128073</v>
      </c>
      <c r="G38" s="517">
        <f t="shared" si="2"/>
        <v>7543.6558563757608</v>
      </c>
      <c r="H38" s="517">
        <f t="shared" si="2"/>
        <v>7616.3903337170759</v>
      </c>
      <c r="I38" s="133"/>
      <c r="J38" s="133"/>
    </row>
    <row r="39" spans="1:10" x14ac:dyDescent="0.25">
      <c r="B39" s="497"/>
      <c r="C39" s="499"/>
      <c r="D39" s="500">
        <f>D38-$C$38</f>
        <v>1711.4899489756372</v>
      </c>
      <c r="E39" s="500">
        <f>E38-$C$38</f>
        <v>4728.8286020412461</v>
      </c>
      <c r="F39" s="500">
        <f>F38-$C$38</f>
        <v>4800.1805232180332</v>
      </c>
      <c r="G39" s="500">
        <f>G38-$C$38</f>
        <v>4872.2204058809866</v>
      </c>
      <c r="H39" s="500">
        <f>H38-$C$38</f>
        <v>4944.9548832223018</v>
      </c>
      <c r="I39" s="464" t="s">
        <v>156</v>
      </c>
      <c r="J39" s="133"/>
    </row>
    <row r="40" spans="1:10" x14ac:dyDescent="0.25">
      <c r="B40" s="497"/>
      <c r="C40" s="499"/>
      <c r="D40" s="501">
        <f>D38-C38</f>
        <v>1711.4899489756372</v>
      </c>
      <c r="E40" s="501">
        <f>E38-D38</f>
        <v>3017.3386530656089</v>
      </c>
      <c r="F40" s="501">
        <f>F38-E38</f>
        <v>71.351921176787073</v>
      </c>
      <c r="G40" s="501">
        <f>G38-F38</f>
        <v>72.03988266295346</v>
      </c>
      <c r="H40" s="501">
        <f>H38-G38</f>
        <v>72.734477341315142</v>
      </c>
      <c r="I40" s="464" t="s">
        <v>157</v>
      </c>
      <c r="J40" s="133"/>
    </row>
    <row r="41" spans="1:10" ht="15.75" thickBot="1" x14ac:dyDescent="0.3">
      <c r="B41" s="502"/>
      <c r="C41" s="502"/>
      <c r="D41" s="503"/>
      <c r="E41" s="503"/>
      <c r="F41" s="503"/>
      <c r="G41" s="503"/>
      <c r="H41" s="503"/>
      <c r="I41" s="504"/>
      <c r="J41" s="133"/>
    </row>
    <row r="42" spans="1:10" x14ac:dyDescent="0.25">
      <c r="B42" s="269"/>
      <c r="C42" s="269"/>
      <c r="D42" s="338"/>
      <c r="E42" s="338"/>
      <c r="F42" s="338"/>
      <c r="G42" s="338"/>
      <c r="H42" s="338"/>
      <c r="I42" s="133"/>
      <c r="J42" s="133"/>
    </row>
    <row r="43" spans="1:10" x14ac:dyDescent="0.25">
      <c r="B43" s="262" t="s">
        <v>162</v>
      </c>
      <c r="C43" s="490"/>
      <c r="D43" s="164" t="s">
        <v>69</v>
      </c>
      <c r="E43" s="164" t="s">
        <v>70</v>
      </c>
      <c r="F43" s="164" t="s">
        <v>71</v>
      </c>
      <c r="G43" s="164" t="s">
        <v>72</v>
      </c>
      <c r="H43" s="164" t="s">
        <v>73</v>
      </c>
      <c r="I43" s="133"/>
      <c r="J43" s="133"/>
    </row>
    <row r="44" spans="1:10" x14ac:dyDescent="0.25">
      <c r="B44" s="493"/>
      <c r="C44" s="491"/>
      <c r="D44" s="492"/>
      <c r="E44" s="492"/>
      <c r="F44" s="492"/>
      <c r="G44" s="492"/>
      <c r="H44" s="492"/>
      <c r="I44" s="133"/>
      <c r="J44" s="133"/>
    </row>
    <row r="45" spans="1:10" x14ac:dyDescent="0.25">
      <c r="B45" s="262" t="s">
        <v>741</v>
      </c>
      <c r="C45" s="263"/>
      <c r="D45" s="183"/>
      <c r="E45" s="183"/>
      <c r="F45" s="183"/>
      <c r="G45" s="183"/>
      <c r="H45" s="183"/>
      <c r="I45" s="184"/>
      <c r="J45" s="133"/>
    </row>
    <row r="46" spans="1:10" ht="30" x14ac:dyDescent="0.25">
      <c r="B46" s="350" t="s">
        <v>1057</v>
      </c>
      <c r="C46" s="624"/>
      <c r="D46" s="626">
        <f>'Capacity (national prices)'!E55</f>
        <v>3434.362937516737</v>
      </c>
      <c r="E46" s="626">
        <f>'Capacity (national prices)'!F55</f>
        <v>9535.5601102341989</v>
      </c>
      <c r="F46" s="626">
        <f>'Capacity (national prices)'!G55</f>
        <v>9627.5001448777984</v>
      </c>
      <c r="G46" s="626">
        <f>'Capacity (national prices)'!H55</f>
        <v>9720.3266476336576</v>
      </c>
      <c r="H46" s="626">
        <f>'Capacity (national prices)'!I55</f>
        <v>9814.048165656639</v>
      </c>
      <c r="I46" s="625" t="s">
        <v>1013</v>
      </c>
      <c r="J46" s="133"/>
    </row>
    <row r="47" spans="1:10" ht="30" x14ac:dyDescent="0.25">
      <c r="B47" s="350" t="s">
        <v>1058</v>
      </c>
      <c r="C47" s="624"/>
      <c r="D47" s="626">
        <f>'Capacity (national prices)'!E56</f>
        <v>3434.362937516737</v>
      </c>
      <c r="E47" s="626">
        <f>'Capacity (national prices)'!F56</f>
        <v>9535.5601102341989</v>
      </c>
      <c r="F47" s="626">
        <f>'Capacity (national prices)'!G56</f>
        <v>9627.5001448777984</v>
      </c>
      <c r="G47" s="626">
        <f>'Capacity (national prices)'!H56</f>
        <v>9720.3266476336576</v>
      </c>
      <c r="H47" s="626">
        <f>'Capacity (national prices)'!I56</f>
        <v>9814.048165656639</v>
      </c>
      <c r="I47" s="625" t="s">
        <v>1014</v>
      </c>
      <c r="J47" s="133"/>
    </row>
    <row r="48" spans="1:10" x14ac:dyDescent="0.25">
      <c r="B48" s="350" t="s">
        <v>1059</v>
      </c>
      <c r="C48" s="624"/>
      <c r="D48" s="626">
        <f>'Capacity (national prices)'!E57</f>
        <v>1854.555986259038</v>
      </c>
      <c r="E48" s="626">
        <f>'Capacity (national prices)'!F57</f>
        <v>485.44669652101379</v>
      </c>
      <c r="F48" s="626">
        <f>'Capacity (national prices)'!G57</f>
        <v>490.1272801028698</v>
      </c>
      <c r="G48" s="626">
        <f>'Capacity (national prices)'!H57</f>
        <v>494.85299297044077</v>
      </c>
      <c r="H48" s="626">
        <f>'Capacity (national prices)'!I57</f>
        <v>499.62427025161065</v>
      </c>
      <c r="I48" s="625" t="s">
        <v>1015</v>
      </c>
      <c r="J48" s="133"/>
    </row>
    <row r="49" spans="2:10" x14ac:dyDescent="0.25">
      <c r="B49" s="350" t="s">
        <v>1060</v>
      </c>
      <c r="C49" s="624"/>
      <c r="D49" s="626">
        <f>'Capacity (national prices)'!E58</f>
        <v>1923.2432450093727</v>
      </c>
      <c r="E49" s="626">
        <f>'Capacity (national prices)'!F58</f>
        <v>485.44669652101379</v>
      </c>
      <c r="F49" s="626">
        <f>'Capacity (national prices)'!G58</f>
        <v>490.12728010286975</v>
      </c>
      <c r="G49" s="626">
        <f>'Capacity (national prices)'!H58</f>
        <v>494.85299297044077</v>
      </c>
      <c r="H49" s="626">
        <f>'Capacity (national prices)'!I58</f>
        <v>499.62427025161065</v>
      </c>
      <c r="I49" s="625" t="s">
        <v>1015</v>
      </c>
      <c r="J49" s="133"/>
    </row>
    <row r="50" spans="2:10" x14ac:dyDescent="0.25">
      <c r="B50" s="627"/>
      <c r="C50" s="628"/>
      <c r="D50" s="629">
        <f>SUM(D46:D49)</f>
        <v>10646.525106301884</v>
      </c>
      <c r="E50" s="629">
        <f>SUM(E46:E49)</f>
        <v>20042.013613510422</v>
      </c>
      <c r="F50" s="629">
        <f>SUM(F46:F49)</f>
        <v>20235.254849961333</v>
      </c>
      <c r="G50" s="629">
        <f>SUM(G46:G49)</f>
        <v>20430.359281208199</v>
      </c>
      <c r="H50" s="629">
        <f>SUM(H46:H49)</f>
        <v>20627.344871816498</v>
      </c>
      <c r="I50" s="630"/>
      <c r="J50" s="133"/>
    </row>
    <row r="51" spans="2:10" x14ac:dyDescent="0.25">
      <c r="B51" s="269"/>
      <c r="C51" s="269"/>
      <c r="D51" s="338"/>
      <c r="E51" s="338"/>
      <c r="F51" s="338"/>
      <c r="G51" s="338"/>
      <c r="H51" s="338"/>
      <c r="I51" s="133"/>
      <c r="J51" s="133"/>
    </row>
    <row r="52" spans="2:10" x14ac:dyDescent="0.25">
      <c r="B52" s="262" t="s">
        <v>163</v>
      </c>
      <c r="C52" s="260"/>
      <c r="D52" s="256"/>
      <c r="E52" s="256"/>
      <c r="F52" s="256"/>
      <c r="G52" s="256"/>
      <c r="H52" s="257"/>
      <c r="I52" s="133"/>
      <c r="J52" s="133"/>
    </row>
    <row r="53" spans="2:10" hidden="1" x14ac:dyDescent="0.25">
      <c r="B53" s="264" t="s">
        <v>901</v>
      </c>
      <c r="C53" s="265"/>
      <c r="D53" s="181" t="e">
        <f>'Capacity (local prices)'!E35</f>
        <v>#REF!</v>
      </c>
      <c r="E53" s="181" t="e">
        <f>'Capacity (local prices)'!F35</f>
        <v>#REF!</v>
      </c>
      <c r="F53" s="181" t="e">
        <f>'Capacity (local prices)'!G35</f>
        <v>#REF!</v>
      </c>
      <c r="G53" s="181" t="e">
        <f>'Capacity (local prices)'!H35</f>
        <v>#REF!</v>
      </c>
      <c r="H53" s="181" t="e">
        <f>'Capacity (local prices)'!I35</f>
        <v>#REF!</v>
      </c>
      <c r="I53" s="133"/>
      <c r="J53" s="133"/>
    </row>
    <row r="54" spans="2:10" x14ac:dyDescent="0.25">
      <c r="B54" s="264" t="s">
        <v>903</v>
      </c>
      <c r="C54" s="265"/>
      <c r="D54" s="181">
        <f>'Capacity (national prices)'!E43</f>
        <v>483.85144476080995</v>
      </c>
      <c r="E54" s="181">
        <f>'Capacity (national prices)'!F43</f>
        <v>1318.3517222311602</v>
      </c>
      <c r="F54" s="181">
        <f>'Capacity (national prices)'!G43</f>
        <v>1354.7098268402206</v>
      </c>
      <c r="G54" s="181">
        <f>'Capacity (national prices)'!H43</f>
        <v>1391.4184892936732</v>
      </c>
      <c r="H54" s="181">
        <f>'Capacity (national prices)'!I43</f>
        <v>1428.4810896027611</v>
      </c>
      <c r="I54" s="133"/>
      <c r="J54" s="133"/>
    </row>
    <row r="55" spans="2:10" x14ac:dyDescent="0.25">
      <c r="B55" s="264" t="s">
        <v>164</v>
      </c>
      <c r="C55" s="265"/>
      <c r="D55" s="181">
        <f>'Capacity (national prices)'!E51</f>
        <v>5326.4763577578833</v>
      </c>
      <c r="E55" s="181">
        <f>'Capacity (national prices)'!F51</f>
        <v>14721.964864966425</v>
      </c>
      <c r="F55" s="181">
        <f>'Capacity (national prices)'!G51</f>
        <v>14915.206101417336</v>
      </c>
      <c r="G55" s="181">
        <f>'Capacity (national prices)'!H51</f>
        <v>15110.310532664194</v>
      </c>
      <c r="H55" s="181">
        <f>'Capacity (national prices)'!I51</f>
        <v>15307.296123272497</v>
      </c>
      <c r="I55" s="133"/>
      <c r="J55" s="133"/>
    </row>
    <row r="56" spans="2:10" x14ac:dyDescent="0.25">
      <c r="B56" s="264" t="s">
        <v>165</v>
      </c>
      <c r="C56" s="265"/>
      <c r="D56" s="181">
        <f>'Capacity (national prices)'!E60</f>
        <v>5326.4763577578833</v>
      </c>
      <c r="E56" s="181">
        <f>'Capacity (national prices)'!F60</f>
        <v>14721.964864966421</v>
      </c>
      <c r="F56" s="181">
        <f>'Capacity (national prices)'!G60</f>
        <v>14915.206101417332</v>
      </c>
      <c r="G56" s="181">
        <f>'Capacity (national prices)'!H60</f>
        <v>15110.310532664198</v>
      </c>
      <c r="H56" s="181">
        <f>'Capacity (national prices)'!I60</f>
        <v>15307.296123272497</v>
      </c>
      <c r="I56" s="133"/>
      <c r="J56" s="133"/>
    </row>
    <row r="57" spans="2:10" x14ac:dyDescent="0.25">
      <c r="I57" s="133"/>
      <c r="J57" s="133"/>
    </row>
    <row r="58" spans="2:10" x14ac:dyDescent="0.25">
      <c r="B58" s="262" t="s">
        <v>166</v>
      </c>
      <c r="C58" s="263"/>
      <c r="D58" s="256"/>
      <c r="E58" s="256"/>
      <c r="F58" s="256"/>
      <c r="G58" s="256"/>
      <c r="H58" s="257"/>
      <c r="I58" s="133"/>
      <c r="J58" s="133"/>
    </row>
    <row r="59" spans="2:10" x14ac:dyDescent="0.25">
      <c r="B59" s="264" t="s">
        <v>167</v>
      </c>
      <c r="C59" s="265"/>
      <c r="D59" s="181">
        <f>'Capacity (national prices)'!E69</f>
        <v>4464.6718187717588</v>
      </c>
      <c r="E59" s="181">
        <f>'Capacity (national prices)'!F69</f>
        <v>12396.228143304459</v>
      </c>
      <c r="F59" s="181">
        <f>'Capacity (national prices)'!G69</f>
        <v>12515.750188341137</v>
      </c>
      <c r="G59" s="181">
        <f>'Capacity (national prices)'!H69</f>
        <v>12636.424641923753</v>
      </c>
      <c r="H59" s="181">
        <f>'Capacity (national prices)'!I69</f>
        <v>12758.262615353631</v>
      </c>
      <c r="I59" s="133"/>
      <c r="J59" s="133"/>
    </row>
    <row r="60" spans="2:10" x14ac:dyDescent="0.25">
      <c r="B60" s="264" t="s">
        <v>168</v>
      </c>
      <c r="C60" s="265"/>
      <c r="D60" s="181">
        <f>'Capacity (national prices)'!E77</f>
        <v>3434.362937516737</v>
      </c>
      <c r="E60" s="181">
        <f>'Capacity (national prices)'!F77</f>
        <v>9535.5601102341989</v>
      </c>
      <c r="F60" s="181">
        <f>'Capacity (national prices)'!G77</f>
        <v>9627.5001448777984</v>
      </c>
      <c r="G60" s="181">
        <f>'Capacity (national prices)'!H77</f>
        <v>9720.3266476336576</v>
      </c>
      <c r="H60" s="181">
        <f>'Capacity (national prices)'!I77</f>
        <v>9814.048165656639</v>
      </c>
      <c r="I60" s="133"/>
      <c r="J60" s="133"/>
    </row>
    <row r="61" spans="2:10" x14ac:dyDescent="0.25">
      <c r="B61" s="264" t="s">
        <v>169</v>
      </c>
      <c r="C61" s="265"/>
      <c r="D61" s="181">
        <f>'Capacity (national prices)'!E85</f>
        <v>3434.362937516737</v>
      </c>
      <c r="E61" s="181">
        <f>'Capacity (national prices)'!F85</f>
        <v>9535.5601102341989</v>
      </c>
      <c r="F61" s="181">
        <f>'Capacity (national prices)'!G85</f>
        <v>9627.5001448777984</v>
      </c>
      <c r="G61" s="181">
        <f>'Capacity (national prices)'!H85</f>
        <v>9720.3266476336576</v>
      </c>
      <c r="H61" s="181">
        <f>'Capacity (national prices)'!I85</f>
        <v>9814.048165656639</v>
      </c>
      <c r="I61" s="133"/>
      <c r="J61" s="133"/>
    </row>
    <row r="62" spans="2:10" x14ac:dyDescent="0.25">
      <c r="I62" s="133"/>
      <c r="J62" s="133"/>
    </row>
    <row r="63" spans="2:10" x14ac:dyDescent="0.25">
      <c r="B63" s="262" t="s">
        <v>170</v>
      </c>
      <c r="C63" s="263"/>
      <c r="D63" s="256"/>
      <c r="E63" s="256"/>
      <c r="F63" s="256"/>
      <c r="G63" s="256"/>
      <c r="H63" s="257"/>
      <c r="I63" s="133"/>
      <c r="J63" s="133"/>
    </row>
    <row r="64" spans="2:10" hidden="1" x14ac:dyDescent="0.25">
      <c r="B64" s="345" t="s">
        <v>171</v>
      </c>
      <c r="C64" s="270"/>
      <c r="D64" s="380" t="e">
        <f>#REF!</f>
        <v>#REF!</v>
      </c>
      <c r="E64" s="181" t="e">
        <f>#REF!</f>
        <v>#REF!</v>
      </c>
      <c r="F64" s="181" t="e">
        <f>#REF!</f>
        <v>#REF!</v>
      </c>
      <c r="G64" s="181" t="e">
        <f>#REF!</f>
        <v>#REF!</v>
      </c>
      <c r="H64" s="181" t="e">
        <f>#REF!</f>
        <v>#REF!</v>
      </c>
      <c r="I64" s="133"/>
      <c r="J64" s="133"/>
    </row>
    <row r="65" spans="2:14" hidden="1" x14ac:dyDescent="0.25">
      <c r="B65" s="345" t="s">
        <v>172</v>
      </c>
      <c r="C65" s="270"/>
      <c r="D65" s="380" t="e">
        <f>#REF!</f>
        <v>#REF!</v>
      </c>
      <c r="E65" s="181" t="e">
        <f>#REF!</f>
        <v>#REF!</v>
      </c>
      <c r="F65" s="181" t="e">
        <f>#REF!</f>
        <v>#REF!</v>
      </c>
      <c r="G65" s="181" t="e">
        <f>#REF!</f>
        <v>#REF!</v>
      </c>
      <c r="H65" s="181" t="e">
        <f>#REF!</f>
        <v>#REF!</v>
      </c>
      <c r="I65" s="133"/>
    </row>
    <row r="66" spans="2:14" ht="14.45" hidden="1" customHeight="1" x14ac:dyDescent="0.25">
      <c r="B66" s="345" t="s">
        <v>173</v>
      </c>
      <c r="C66" s="270"/>
      <c r="D66" s="380" t="e">
        <f>#REF!</f>
        <v>#REF!</v>
      </c>
      <c r="E66" s="181" t="e">
        <f>#REF!</f>
        <v>#REF!</v>
      </c>
      <c r="F66" s="181" t="e">
        <f>#REF!</f>
        <v>#REF!</v>
      </c>
      <c r="G66" s="181" t="e">
        <f>#REF!</f>
        <v>#REF!</v>
      </c>
      <c r="H66" s="181" t="e">
        <f>#REF!</f>
        <v>#REF!</v>
      </c>
      <c r="I66" s="133"/>
      <c r="J66" s="133"/>
    </row>
    <row r="67" spans="2:14" ht="14.45" hidden="1" customHeight="1" x14ac:dyDescent="0.25">
      <c r="B67" s="345" t="s">
        <v>174</v>
      </c>
      <c r="C67" s="270"/>
      <c r="D67" s="380" t="e">
        <f>#REF!</f>
        <v>#REF!</v>
      </c>
      <c r="E67" s="181" t="e">
        <f>#REF!</f>
        <v>#REF!</v>
      </c>
      <c r="F67" s="181" t="e">
        <f>#REF!</f>
        <v>#REF!</v>
      </c>
      <c r="G67" s="181" t="e">
        <f>#REF!</f>
        <v>#REF!</v>
      </c>
      <c r="H67" s="181" t="e">
        <f>#REF!</f>
        <v>#REF!</v>
      </c>
      <c r="I67" s="133"/>
      <c r="J67" s="133"/>
    </row>
    <row r="68" spans="2:14" x14ac:dyDescent="0.25">
      <c r="B68" s="345" t="s">
        <v>175</v>
      </c>
      <c r="C68" s="270"/>
      <c r="D68" s="380">
        <f>'Capacity (national prices)'!E126</f>
        <v>0</v>
      </c>
      <c r="E68" s="380">
        <f>'Capacity (national prices)'!F126</f>
        <v>0</v>
      </c>
      <c r="F68" s="380">
        <f>'Capacity (national prices)'!G126</f>
        <v>0</v>
      </c>
      <c r="G68" s="380">
        <f>'Capacity (national prices)'!H126</f>
        <v>0</v>
      </c>
      <c r="H68" s="380">
        <f>'Capacity (national prices)'!I126</f>
        <v>0</v>
      </c>
      <c r="I68" s="133"/>
      <c r="J68" s="133"/>
    </row>
    <row r="69" spans="2:14" x14ac:dyDescent="0.25">
      <c r="I69" s="133"/>
      <c r="J69" s="133"/>
    </row>
    <row r="70" spans="2:14" x14ac:dyDescent="0.25">
      <c r="B70" s="262" t="s">
        <v>176</v>
      </c>
      <c r="C70" s="263"/>
      <c r="D70" s="256"/>
      <c r="E70" s="256"/>
      <c r="F70" s="256"/>
      <c r="G70" s="256"/>
      <c r="H70" s="257"/>
      <c r="I70" s="133"/>
      <c r="J70" s="133"/>
    </row>
    <row r="71" spans="2:14" x14ac:dyDescent="0.25">
      <c r="B71" s="345" t="s">
        <v>177</v>
      </c>
      <c r="C71" s="270"/>
      <c r="D71" s="380">
        <f>'Capacity (national prices)'!E136</f>
        <v>0</v>
      </c>
      <c r="E71" s="380">
        <f>'Capacity (national prices)'!F136</f>
        <v>0</v>
      </c>
      <c r="F71" s="380">
        <f>'Capacity (national prices)'!G136</f>
        <v>0</v>
      </c>
      <c r="G71" s="380">
        <f>'Capacity (national prices)'!H136</f>
        <v>0</v>
      </c>
      <c r="H71" s="380">
        <f>'Capacity (national prices)'!I136</f>
        <v>0</v>
      </c>
      <c r="I71" s="133"/>
      <c r="J71" s="133"/>
    </row>
    <row r="72" spans="2:14" x14ac:dyDescent="0.25">
      <c r="I72" s="133"/>
      <c r="J72" s="133"/>
    </row>
    <row r="73" spans="2:14" x14ac:dyDescent="0.25">
      <c r="B73" s="262" t="s">
        <v>178</v>
      </c>
      <c r="C73" s="263"/>
      <c r="D73" s="256"/>
      <c r="E73" s="256"/>
      <c r="F73" s="256"/>
      <c r="G73" s="256"/>
      <c r="H73" s="257"/>
      <c r="I73" s="133"/>
      <c r="J73" s="133"/>
    </row>
    <row r="74" spans="2:14" x14ac:dyDescent="0.25">
      <c r="B74" s="264" t="s">
        <v>965</v>
      </c>
      <c r="C74" s="265"/>
      <c r="D74" s="380">
        <f>'Capacity (national prices)'!E146</f>
        <v>32.797241516736449</v>
      </c>
      <c r="E74" s="380">
        <f>'Capacity (national prices)'!F146</f>
        <v>65.910707721526705</v>
      </c>
      <c r="F74" s="380">
        <f>'Capacity (national prices)'!G146</f>
        <v>99.343447591926633</v>
      </c>
      <c r="G74" s="380">
        <f>'Capacity (national prices)'!H146</f>
        <v>133.098539503148</v>
      </c>
      <c r="H74" s="380">
        <f>'Capacity (national prices)'!I146</f>
        <v>167.17909151150434</v>
      </c>
      <c r="I74" s="133"/>
      <c r="J74" s="133"/>
    </row>
    <row r="75" spans="2:14" x14ac:dyDescent="0.25">
      <c r="I75" s="133"/>
      <c r="J75" s="133"/>
    </row>
    <row r="76" spans="2:14" x14ac:dyDescent="0.25">
      <c r="B76" s="262" t="s">
        <v>179</v>
      </c>
      <c r="C76" s="260"/>
      <c r="D76" s="256"/>
      <c r="E76" s="256"/>
      <c r="F76" s="256"/>
      <c r="G76" s="256"/>
      <c r="H76" s="257"/>
      <c r="I76" s="133"/>
      <c r="J76" s="133"/>
    </row>
    <row r="77" spans="2:14" x14ac:dyDescent="0.25">
      <c r="B77" s="264" t="s">
        <v>180</v>
      </c>
      <c r="C77" s="265"/>
      <c r="D77" s="380">
        <f>'Capacity (national prices)'!E176</f>
        <v>129.69822274448234</v>
      </c>
      <c r="E77" s="380">
        <f>'Capacity (national prices)'!F176</f>
        <v>352.62412323387457</v>
      </c>
      <c r="F77" s="380">
        <f>'Capacity (national prices)'!G176</f>
        <v>373.65817958104822</v>
      </c>
      <c r="G77" s="380">
        <f>'Capacity (national prices)'!H176</f>
        <v>394.89504224970528</v>
      </c>
      <c r="H77" s="380">
        <f>'Capacity (national prices)'!I176</f>
        <v>416.33666665935129</v>
      </c>
      <c r="I77" s="133"/>
      <c r="J77" s="133"/>
    </row>
    <row r="78" spans="2:14" x14ac:dyDescent="0.25">
      <c r="B78" s="269"/>
      <c r="C78" s="269"/>
      <c r="D78" s="255"/>
      <c r="E78" s="255"/>
      <c r="F78" s="255"/>
      <c r="G78" s="255"/>
      <c r="H78" s="255"/>
      <c r="I78" s="133"/>
      <c r="J78" s="133"/>
    </row>
    <row r="80" spans="2:14" x14ac:dyDescent="0.25">
      <c r="D80" s="824"/>
      <c r="E80" s="825"/>
      <c r="F80" s="825"/>
      <c r="G80" s="825"/>
      <c r="H80" s="825"/>
      <c r="I80" s="825"/>
      <c r="J80" s="825"/>
      <c r="K80" s="825"/>
      <c r="L80" s="825"/>
      <c r="M80" s="825"/>
      <c r="N80" s="825"/>
    </row>
    <row r="81" spans="4:14" x14ac:dyDescent="0.25">
      <c r="D81" s="825"/>
      <c r="E81" s="825"/>
      <c r="F81" s="825"/>
      <c r="G81" s="825"/>
      <c r="H81" s="825"/>
      <c r="I81" s="825"/>
      <c r="J81" s="825"/>
      <c r="K81" s="825"/>
      <c r="L81" s="825"/>
      <c r="M81" s="825"/>
      <c r="N81" s="825"/>
    </row>
    <row r="82" spans="4:14" x14ac:dyDescent="0.25">
      <c r="D82" s="824"/>
      <c r="E82" s="825"/>
      <c r="F82" s="825"/>
      <c r="G82" s="825"/>
      <c r="H82" s="825"/>
      <c r="I82" s="825"/>
      <c r="J82" s="825"/>
      <c r="K82" s="825"/>
      <c r="L82" s="825"/>
      <c r="M82" s="825"/>
      <c r="N82" s="825"/>
    </row>
  </sheetData>
  <sheetProtection algorithmName="SHA-512" hashValue="v8PPL4Z2h37qPOo1+gYNlBKzzjpLHsfVFkW0r1fWiNWo4Aworm6wn3dmrwt3sISyvmIoE4hQHKxw2ka2lC5YWQ==" saltValue="3/TExcfSx3g4BBKPTWHz0w==" spinCount="100000" sheet="1" objects="1" scenarios="1"/>
  <mergeCells count="2">
    <mergeCell ref="D80:N81"/>
    <mergeCell ref="D82:N82"/>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912E6311-74C6-41EC-8C65-686A8A45E1BA}">
          <x14:formula1>
            <xm:f>'Population selection'!$S$5:$S$6</xm:f>
          </x14:formula1>
          <xm:sqref>B28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C292-D367-4731-939D-4B4A01193C9A}">
  <sheetPr>
    <tabColor theme="8" tint="-0.499984740745262"/>
    <pageSetUpPr fitToPage="1"/>
  </sheetPr>
  <dimension ref="A1:AN183"/>
  <sheetViews>
    <sheetView showGridLines="0" zoomScale="70" zoomScaleNormal="70" zoomScaleSheetLayoutView="30" workbookViewId="0">
      <selection activeCell="B131" sqref="B131"/>
    </sheetView>
  </sheetViews>
  <sheetFormatPr defaultColWidth="8.85546875" defaultRowHeight="15" x14ac:dyDescent="0.25"/>
  <cols>
    <col min="1" max="1" width="3.5703125" customWidth="1"/>
    <col min="2" max="2" width="74.42578125" style="1" customWidth="1"/>
    <col min="3" max="9" width="12.5703125" customWidth="1"/>
    <col min="10" max="10" width="1.85546875" customWidth="1"/>
    <col min="11" max="11" width="10.4257812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692" t="str">
        <f>'Unit costs'!B1</f>
        <v>Trifluridine–tipiracil with bevacizumab for treating metastatic colorectal cancer after 2 systemic treatments</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5" t="s">
        <v>735</v>
      </c>
      <c r="C2" s="127" t="s">
        <v>107</v>
      </c>
      <c r="D2" s="127" t="s">
        <v>107</v>
      </c>
      <c r="E2" s="496"/>
      <c r="F2" s="127" t="s">
        <v>107</v>
      </c>
      <c r="G2" s="127" t="s">
        <v>107</v>
      </c>
      <c r="H2" s="127" t="s">
        <v>107</v>
      </c>
      <c r="I2" s="127" t="s">
        <v>107</v>
      </c>
      <c r="J2" s="127"/>
      <c r="K2" s="127"/>
      <c r="L2" s="127"/>
      <c r="M2" s="127"/>
      <c r="N2" s="127"/>
      <c r="O2" s="127"/>
      <c r="P2" s="127"/>
      <c r="Q2" s="127"/>
      <c r="R2" s="127"/>
      <c r="S2" s="127"/>
      <c r="T2" s="127"/>
      <c r="U2" s="127"/>
      <c r="V2" s="127"/>
      <c r="W2" s="127"/>
      <c r="X2" s="127"/>
      <c r="Y2" s="127"/>
      <c r="Z2" s="127"/>
    </row>
    <row r="3" spans="1:40" ht="14.45" customHeight="1" x14ac:dyDescent="0.25">
      <c r="B3" s="130" t="s">
        <v>107</v>
      </c>
      <c r="C3" s="133" t="s">
        <v>107</v>
      </c>
      <c r="D3" s="133" t="s">
        <v>107</v>
      </c>
      <c r="F3" s="133" t="s">
        <v>107</v>
      </c>
      <c r="G3" s="133" t="s">
        <v>107</v>
      </c>
      <c r="H3" s="133" t="s">
        <v>107</v>
      </c>
      <c r="I3" s="133" t="s">
        <v>107</v>
      </c>
      <c r="J3" s="127"/>
      <c r="K3" s="127"/>
      <c r="L3" s="127"/>
      <c r="M3" s="127"/>
      <c r="N3" s="127"/>
      <c r="O3" s="127"/>
      <c r="P3" s="127"/>
      <c r="Q3" s="133"/>
      <c r="R3" s="133"/>
      <c r="S3" s="133"/>
      <c r="T3" s="133"/>
      <c r="U3" s="133"/>
      <c r="V3" s="133"/>
      <c r="W3" s="133"/>
      <c r="X3" s="133"/>
      <c r="Y3" s="133"/>
      <c r="Z3" s="133"/>
    </row>
    <row r="4" spans="1:40" ht="14.45" customHeight="1" x14ac:dyDescent="0.25">
      <c r="B4" t="s">
        <v>736</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59" t="s">
        <v>37</v>
      </c>
      <c r="C6" s="210"/>
      <c r="D6" s="423" t="s">
        <v>730</v>
      </c>
      <c r="E6" s="257" t="s">
        <v>50</v>
      </c>
      <c r="F6" s="257" t="s">
        <v>51</v>
      </c>
      <c r="G6" s="164" t="s">
        <v>731</v>
      </c>
      <c r="H6" s="164" t="s">
        <v>732</v>
      </c>
      <c r="I6" s="257" t="s">
        <v>733</v>
      </c>
      <c r="L6" s="423" t="s">
        <v>730</v>
      </c>
      <c r="M6" s="257" t="s">
        <v>50</v>
      </c>
      <c r="N6" s="257" t="s">
        <v>51</v>
      </c>
      <c r="O6" s="164" t="s">
        <v>731</v>
      </c>
      <c r="P6" s="164" t="s">
        <v>732</v>
      </c>
      <c r="Q6" s="257" t="s">
        <v>733</v>
      </c>
      <c r="R6" s="133"/>
      <c r="S6" s="133"/>
      <c r="T6" s="133"/>
      <c r="U6" s="133"/>
      <c r="V6" s="133"/>
      <c r="W6" s="133"/>
      <c r="X6" s="133"/>
      <c r="Y6" s="133"/>
      <c r="Z6" s="133"/>
      <c r="AJ6" s="286"/>
      <c r="AK6" s="286"/>
      <c r="AL6" s="286"/>
      <c r="AM6" s="286"/>
      <c r="AN6" s="286"/>
    </row>
    <row r="7" spans="1:40" x14ac:dyDescent="0.25">
      <c r="B7" s="227" t="s">
        <v>962</v>
      </c>
      <c r="C7" s="167"/>
      <c r="D7" s="380">
        <f>'Inputs and eligible population'!F50</f>
        <v>3401.5656960000001</v>
      </c>
      <c r="E7" s="380">
        <f>'Inputs and eligible population'!G50</f>
        <v>3434.362937516737</v>
      </c>
      <c r="F7" s="380">
        <f>'Inputs and eligible population'!H50</f>
        <v>3467.4764037215268</v>
      </c>
      <c r="G7" s="380">
        <f>'Inputs and eligible population'!I50</f>
        <v>3500.9091435919267</v>
      </c>
      <c r="H7" s="380">
        <f>'Inputs and eligible population'!J50</f>
        <v>3534.6642355031481</v>
      </c>
      <c r="I7" s="380">
        <f>'Inputs and eligible population'!K50</f>
        <v>3568.7447875115045</v>
      </c>
      <c r="P7" s="133"/>
      <c r="Q7" s="133"/>
      <c r="R7" s="133"/>
      <c r="S7" s="133"/>
      <c r="T7" s="133"/>
      <c r="U7" s="133"/>
      <c r="V7" s="133"/>
      <c r="W7" s="133"/>
      <c r="X7" s="133"/>
      <c r="Y7" s="133"/>
      <c r="Z7" s="133"/>
      <c r="AJ7" s="286"/>
      <c r="AK7" s="286"/>
      <c r="AL7" s="286"/>
      <c r="AM7" s="286"/>
      <c r="AN7" s="286"/>
    </row>
    <row r="8" spans="1:40" x14ac:dyDescent="0.25">
      <c r="B8"/>
      <c r="L8" s="148"/>
      <c r="M8" s="148"/>
      <c r="N8" s="148"/>
      <c r="O8" s="148"/>
      <c r="P8" s="728"/>
      <c r="Q8" s="728"/>
      <c r="R8" s="133"/>
      <c r="S8" s="133"/>
      <c r="T8" s="133"/>
      <c r="U8" s="133"/>
      <c r="V8" s="133"/>
      <c r="W8" s="133"/>
      <c r="X8" s="133"/>
      <c r="Y8" s="133"/>
      <c r="Z8" s="133"/>
      <c r="AJ8" s="286"/>
      <c r="AK8" s="286"/>
      <c r="AL8" s="286"/>
      <c r="AM8" s="286"/>
      <c r="AN8" s="286"/>
    </row>
    <row r="9" spans="1:40" x14ac:dyDescent="0.25">
      <c r="B9" s="279" t="s">
        <v>737</v>
      </c>
      <c r="C9" s="440"/>
      <c r="D9" s="440"/>
      <c r="E9" s="441"/>
      <c r="F9" s="440"/>
      <c r="G9" s="442"/>
      <c r="H9" s="443"/>
      <c r="I9" s="443"/>
      <c r="J9" s="159"/>
      <c r="L9" s="726" t="s">
        <v>154</v>
      </c>
      <c r="M9" s="726" t="s">
        <v>154</v>
      </c>
      <c r="N9" s="726" t="s">
        <v>154</v>
      </c>
      <c r="O9" s="726" t="s">
        <v>154</v>
      </c>
      <c r="P9" s="726" t="s">
        <v>154</v>
      </c>
      <c r="Q9" s="726" t="s">
        <v>154</v>
      </c>
      <c r="R9" s="133"/>
      <c r="S9" s="133"/>
      <c r="T9" s="133"/>
      <c r="U9" s="133"/>
      <c r="V9" s="133"/>
      <c r="W9" s="133"/>
      <c r="X9" s="133"/>
      <c r="Y9" s="133"/>
      <c r="Z9" s="133"/>
      <c r="AJ9" s="286"/>
      <c r="AK9" s="286"/>
      <c r="AL9" s="286"/>
      <c r="AM9" s="286"/>
      <c r="AN9" s="286"/>
    </row>
    <row r="10" spans="1:40" x14ac:dyDescent="0.25">
      <c r="A10" s="295"/>
      <c r="B10" s="667" t="s">
        <v>1045</v>
      </c>
      <c r="C10" s="385"/>
      <c r="D10" s="425">
        <f>'Capacity (national prices)'!D42</f>
        <v>2452.5288668160001</v>
      </c>
      <c r="E10" s="425">
        <f>'Capacity (national prices)'!E42</f>
        <v>2936.3803115768101</v>
      </c>
      <c r="F10" s="425">
        <f>'Capacity (national prices)'!F42</f>
        <v>3770.8805890471604</v>
      </c>
      <c r="G10" s="425">
        <f>'Capacity (national prices)'!G42</f>
        <v>3807.2386936562207</v>
      </c>
      <c r="H10" s="425">
        <f>'Capacity (national prices)'!H42</f>
        <v>3843.9473561096734</v>
      </c>
      <c r="I10" s="425">
        <f>'Capacity (national prices)'!I42</f>
        <v>3881.0099564187612</v>
      </c>
      <c r="L10" s="208"/>
      <c r="M10" s="208"/>
      <c r="N10" s="208"/>
      <c r="O10" s="208"/>
      <c r="P10" s="417"/>
      <c r="Q10" s="417"/>
      <c r="R10" s="133"/>
      <c r="S10" s="133"/>
      <c r="T10" s="133"/>
      <c r="U10" s="133"/>
      <c r="V10" s="133"/>
      <c r="W10" s="133"/>
      <c r="X10" s="133"/>
      <c r="Y10" s="133"/>
      <c r="Z10" s="133"/>
      <c r="AJ10" s="286"/>
      <c r="AK10" s="286"/>
      <c r="AL10" s="286"/>
      <c r="AM10" s="286"/>
      <c r="AN10" s="286"/>
    </row>
    <row r="11" spans="1:40" x14ac:dyDescent="0.25">
      <c r="A11" s="295"/>
      <c r="B11" s="667" t="s">
        <v>1046</v>
      </c>
      <c r="C11" s="385"/>
      <c r="D11" s="425">
        <f>D43</f>
        <v>613.13221670400003</v>
      </c>
      <c r="E11" s="425">
        <f t="shared" ref="E11:I11" si="0">E43</f>
        <v>734.09507789420252</v>
      </c>
      <c r="F11" s="425">
        <f t="shared" si="0"/>
        <v>942.72014726179009</v>
      </c>
      <c r="G11" s="425">
        <f t="shared" si="0"/>
        <v>951.80967341405517</v>
      </c>
      <c r="H11" s="425">
        <f t="shared" si="0"/>
        <v>960.98683902741834</v>
      </c>
      <c r="I11" s="425">
        <f t="shared" si="0"/>
        <v>970.25248910469031</v>
      </c>
      <c r="L11" s="292">
        <f t="shared" ref="L11:Q11" si="1">L43</f>
        <v>54.159797043025925</v>
      </c>
      <c r="M11" s="292">
        <f t="shared" si="1"/>
        <v>74.84987960541477</v>
      </c>
      <c r="N11" s="292">
        <f t="shared" si="1"/>
        <v>110.47093755453477</v>
      </c>
      <c r="O11" s="292">
        <f t="shared" si="1"/>
        <v>111.53607706479531</v>
      </c>
      <c r="P11" s="292">
        <f t="shared" si="1"/>
        <v>112.61148644513602</v>
      </c>
      <c r="Q11" s="292">
        <f t="shared" si="1"/>
        <v>113.69726471566685</v>
      </c>
      <c r="R11" s="133"/>
      <c r="S11" s="133"/>
      <c r="T11" s="133"/>
      <c r="U11" s="133"/>
      <c r="V11" s="133"/>
      <c r="W11" s="133"/>
      <c r="X11" s="133"/>
      <c r="Y11" s="133"/>
      <c r="Z11" s="133"/>
      <c r="AJ11" s="286"/>
      <c r="AK11" s="286"/>
      <c r="AL11" s="286"/>
      <c r="AM11" s="286"/>
      <c r="AN11" s="286"/>
    </row>
    <row r="12" spans="1:40" x14ac:dyDescent="0.25">
      <c r="A12" s="295"/>
      <c r="B12" s="444" t="str">
        <f>B46</f>
        <v>Administrations</v>
      </c>
      <c r="C12" s="419"/>
      <c r="D12" s="418">
        <f t="shared" ref="D12:I12" si="2">D51</f>
        <v>5320.0487485440008</v>
      </c>
      <c r="E12" s="418">
        <f t="shared" si="2"/>
        <v>10646.525106301884</v>
      </c>
      <c r="F12" s="418">
        <f t="shared" si="2"/>
        <v>20042.013613510426</v>
      </c>
      <c r="G12" s="418">
        <f t="shared" si="2"/>
        <v>20235.254849961337</v>
      </c>
      <c r="H12" s="418">
        <f t="shared" si="2"/>
        <v>20430.359281208195</v>
      </c>
      <c r="I12" s="418">
        <f t="shared" si="2"/>
        <v>20627.344871816498</v>
      </c>
      <c r="L12" s="208"/>
      <c r="M12" s="208"/>
      <c r="N12" s="208"/>
      <c r="O12" s="208"/>
      <c r="P12" s="417"/>
      <c r="Q12" s="417"/>
      <c r="R12" s="133"/>
      <c r="S12" s="133"/>
      <c r="T12" s="133"/>
      <c r="U12" s="133"/>
      <c r="V12" s="133"/>
      <c r="W12" s="133"/>
      <c r="X12" s="133"/>
      <c r="Y12" s="133"/>
      <c r="Z12" s="133"/>
      <c r="AJ12" s="286"/>
      <c r="AK12" s="286"/>
      <c r="AL12" s="286"/>
      <c r="AM12" s="286"/>
      <c r="AN12" s="286"/>
    </row>
    <row r="13" spans="1:40" x14ac:dyDescent="0.25">
      <c r="A13" s="287"/>
      <c r="B13" s="445" t="str">
        <f>B64</f>
        <v>Administrations - duration of administrations (hours)</v>
      </c>
      <c r="C13" s="450"/>
      <c r="D13" s="420">
        <f t="shared" ref="D13:I13" si="3">D69</f>
        <v>0</v>
      </c>
      <c r="E13" s="420">
        <f t="shared" si="3"/>
        <v>4464.6718187717588</v>
      </c>
      <c r="F13" s="420">
        <f t="shared" si="3"/>
        <v>12396.228143304459</v>
      </c>
      <c r="G13" s="420">
        <f t="shared" si="3"/>
        <v>12515.750188341137</v>
      </c>
      <c r="H13" s="420">
        <f t="shared" si="3"/>
        <v>12636.424641923753</v>
      </c>
      <c r="I13" s="420">
        <f t="shared" si="3"/>
        <v>12758.262615353631</v>
      </c>
      <c r="L13" s="292">
        <f>L69</f>
        <v>0</v>
      </c>
      <c r="M13" s="292">
        <f t="shared" ref="M13:Q13" si="4">M69</f>
        <v>188.18591716122961</v>
      </c>
      <c r="N13" s="292">
        <f t="shared" si="4"/>
        <v>522.50101624028287</v>
      </c>
      <c r="O13" s="292">
        <f t="shared" si="4"/>
        <v>527.5388704385789</v>
      </c>
      <c r="P13" s="292">
        <f t="shared" si="4"/>
        <v>532.6252986570862</v>
      </c>
      <c r="Q13" s="292">
        <f t="shared" si="4"/>
        <v>537.76076923715561</v>
      </c>
      <c r="R13" s="133"/>
      <c r="S13" s="133"/>
      <c r="T13" s="133"/>
      <c r="U13" s="133"/>
      <c r="V13" s="133"/>
      <c r="W13" s="133"/>
      <c r="X13" s="133"/>
      <c r="Y13" s="133"/>
      <c r="Z13" s="133"/>
      <c r="AJ13" s="286"/>
      <c r="AK13" s="286"/>
      <c r="AL13" s="286"/>
      <c r="AM13" s="286"/>
      <c r="AN13" s="286"/>
    </row>
    <row r="14" spans="1:40" x14ac:dyDescent="0.25">
      <c r="A14" s="287"/>
      <c r="B14" s="445" t="str">
        <f>B72</f>
        <v>Preparation time before administration (hours)</v>
      </c>
      <c r="C14" s="450"/>
      <c r="D14" s="420">
        <f t="shared" ref="D14:I14" si="5">D77</f>
        <v>0</v>
      </c>
      <c r="E14" s="420">
        <f t="shared" si="5"/>
        <v>3434.362937516737</v>
      </c>
      <c r="F14" s="420">
        <f t="shared" si="5"/>
        <v>9535.5601102341989</v>
      </c>
      <c r="G14" s="420">
        <f t="shared" si="5"/>
        <v>9627.5001448777984</v>
      </c>
      <c r="H14" s="420">
        <f t="shared" si="5"/>
        <v>9720.3266476336576</v>
      </c>
      <c r="I14" s="420">
        <f t="shared" si="5"/>
        <v>9814.048165656639</v>
      </c>
      <c r="L14" s="292">
        <f>L77</f>
        <v>0</v>
      </c>
      <c r="M14" s="292">
        <f t="shared" ref="M14:Q14" si="6">M77</f>
        <v>144.75839781633044</v>
      </c>
      <c r="N14" s="292">
        <f t="shared" si="6"/>
        <v>401.92385864637146</v>
      </c>
      <c r="O14" s="292">
        <f t="shared" si="6"/>
        <v>405.79913110659919</v>
      </c>
      <c r="P14" s="292">
        <f t="shared" si="6"/>
        <v>409.71176819775866</v>
      </c>
      <c r="Q14" s="292">
        <f t="shared" si="6"/>
        <v>413.66213018242729</v>
      </c>
      <c r="R14" s="133"/>
      <c r="S14" s="133"/>
      <c r="T14" s="133"/>
      <c r="U14" s="133"/>
      <c r="V14" s="133"/>
      <c r="W14" s="133"/>
      <c r="X14" s="133"/>
      <c r="Y14" s="133"/>
      <c r="Z14" s="133"/>
      <c r="AJ14" s="286"/>
      <c r="AK14" s="286"/>
      <c r="AL14" s="286"/>
      <c r="AM14" s="286"/>
      <c r="AN14" s="286"/>
    </row>
    <row r="15" spans="1:40" x14ac:dyDescent="0.25">
      <c r="A15" s="287"/>
      <c r="B15" s="445" t="str">
        <f>B80</f>
        <v>Post administration nursing time (hours)</v>
      </c>
      <c r="C15" s="450"/>
      <c r="D15" s="420">
        <f t="shared" ref="D15:I15" si="7">D85</f>
        <v>0</v>
      </c>
      <c r="E15" s="421">
        <f t="shared" si="7"/>
        <v>3434.362937516737</v>
      </c>
      <c r="F15" s="420">
        <f t="shared" si="7"/>
        <v>9535.5601102341989</v>
      </c>
      <c r="G15" s="420">
        <f t="shared" si="7"/>
        <v>9627.5001448777984</v>
      </c>
      <c r="H15" s="420">
        <f t="shared" si="7"/>
        <v>9720.3266476336576</v>
      </c>
      <c r="I15" s="420">
        <f t="shared" si="7"/>
        <v>9814.048165656639</v>
      </c>
      <c r="L15" s="292">
        <f>L85</f>
        <v>0</v>
      </c>
      <c r="M15" s="292">
        <f t="shared" ref="M15:Q15" si="8">M85</f>
        <v>144.75839781633044</v>
      </c>
      <c r="N15" s="292">
        <f t="shared" si="8"/>
        <v>401.92385864637146</v>
      </c>
      <c r="O15" s="292">
        <f t="shared" si="8"/>
        <v>405.79913110659919</v>
      </c>
      <c r="P15" s="292">
        <f t="shared" si="8"/>
        <v>409.71176819775866</v>
      </c>
      <c r="Q15" s="292">
        <f t="shared" si="8"/>
        <v>413.66213018242729</v>
      </c>
      <c r="R15" s="133"/>
      <c r="S15" s="133"/>
      <c r="T15" s="133"/>
      <c r="U15" s="133"/>
      <c r="V15" s="133"/>
      <c r="W15" s="133"/>
      <c r="X15" s="133"/>
      <c r="Y15" s="133"/>
      <c r="Z15" s="133"/>
      <c r="AJ15" s="286"/>
      <c r="AK15" s="286"/>
      <c r="AL15" s="286"/>
      <c r="AM15" s="286"/>
      <c r="AN15" s="286"/>
    </row>
    <row r="16" spans="1:40" hidden="1" x14ac:dyDescent="0.25">
      <c r="A16" s="289"/>
      <c r="B16" s="446" t="str">
        <f>B89</f>
        <v>In-house aseptic unit preparations, number made</v>
      </c>
      <c r="C16" s="451"/>
      <c r="D16" s="422"/>
      <c r="E16" s="422"/>
      <c r="F16" s="422"/>
      <c r="G16" s="422"/>
      <c r="H16" s="422"/>
      <c r="I16" s="422"/>
      <c r="L16" s="208"/>
      <c r="M16" s="208"/>
      <c r="N16" s="208"/>
      <c r="O16" s="208"/>
      <c r="P16" s="417"/>
      <c r="Q16" s="417"/>
      <c r="R16" s="133"/>
      <c r="S16" s="133"/>
      <c r="T16" s="133"/>
      <c r="U16" s="133"/>
      <c r="V16" s="133"/>
      <c r="W16" s="133"/>
      <c r="X16" s="133"/>
      <c r="Y16" s="133"/>
      <c r="Z16" s="133"/>
      <c r="AJ16" s="286"/>
      <c r="AK16" s="286"/>
      <c r="AL16" s="286"/>
      <c r="AM16" s="286"/>
      <c r="AN16" s="286"/>
    </row>
    <row r="17" spans="1:40" hidden="1" x14ac:dyDescent="0.25">
      <c r="A17" s="289"/>
      <c r="B17" s="446" t="str">
        <f>B97</f>
        <v>Bought-in aseptic unit preparations, number bought in</v>
      </c>
      <c r="C17" s="451"/>
      <c r="D17" s="422"/>
      <c r="E17" s="422"/>
      <c r="F17" s="422"/>
      <c r="G17" s="422"/>
      <c r="H17" s="422"/>
      <c r="I17" s="422"/>
      <c r="L17" s="208"/>
      <c r="M17" s="208"/>
      <c r="N17" s="208"/>
      <c r="O17" s="208"/>
      <c r="P17" s="417"/>
      <c r="Q17" s="417"/>
      <c r="R17" s="133"/>
      <c r="S17" s="133"/>
      <c r="T17" s="133"/>
      <c r="U17" s="133"/>
      <c r="V17" s="133"/>
      <c r="W17" s="133"/>
      <c r="X17" s="133"/>
      <c r="Y17" s="133"/>
      <c r="Z17" s="133"/>
      <c r="AJ17" s="286"/>
      <c r="AK17" s="286"/>
      <c r="AL17" s="286"/>
      <c r="AM17" s="286"/>
      <c r="AN17" s="286"/>
    </row>
    <row r="18" spans="1:40" hidden="1" x14ac:dyDescent="0.25">
      <c r="A18" s="289"/>
      <c r="B18" s="446" t="str">
        <f>B105</f>
        <v>In-house aseptic unit preparations, pharmacy time (hours)</v>
      </c>
      <c r="C18" s="451"/>
      <c r="D18" s="422"/>
      <c r="E18" s="422"/>
      <c r="F18" s="422"/>
      <c r="G18" s="422"/>
      <c r="H18" s="422"/>
      <c r="I18" s="422"/>
      <c r="L18" s="208"/>
      <c r="M18" s="208"/>
      <c r="N18" s="208"/>
      <c r="O18" s="208"/>
      <c r="P18" s="417"/>
      <c r="Q18" s="417"/>
      <c r="R18" s="133"/>
      <c r="S18" s="133"/>
      <c r="T18" s="133"/>
      <c r="U18" s="133"/>
      <c r="V18" s="133"/>
      <c r="W18" s="133"/>
      <c r="X18" s="133"/>
      <c r="Y18" s="133"/>
      <c r="Z18" s="133"/>
      <c r="AJ18" s="286"/>
      <c r="AK18" s="286"/>
      <c r="AL18" s="286"/>
      <c r="AM18" s="286"/>
      <c r="AN18" s="286"/>
    </row>
    <row r="19" spans="1:40" hidden="1" x14ac:dyDescent="0.25">
      <c r="A19" s="289"/>
      <c r="B19" s="446" t="str">
        <f>B113</f>
        <v>Bought-in aseptic unit preparations, pharmacy time (hours)</v>
      </c>
      <c r="C19" s="451"/>
      <c r="D19" s="422"/>
      <c r="E19" s="422"/>
      <c r="F19" s="422"/>
      <c r="G19" s="422"/>
      <c r="H19" s="422"/>
      <c r="I19" s="422"/>
      <c r="L19" s="208"/>
      <c r="M19" s="208"/>
      <c r="N19" s="208"/>
      <c r="O19" s="208"/>
      <c r="P19" s="417"/>
      <c r="Q19" s="417"/>
      <c r="R19" s="133"/>
      <c r="S19" s="133"/>
      <c r="T19" s="133"/>
      <c r="U19" s="133"/>
      <c r="V19" s="133"/>
      <c r="W19" s="133"/>
      <c r="X19" s="133"/>
      <c r="Y19" s="133"/>
      <c r="Z19" s="133"/>
      <c r="AJ19" s="286"/>
      <c r="AK19" s="286"/>
      <c r="AL19" s="286"/>
      <c r="AM19" s="286"/>
      <c r="AN19" s="286"/>
    </row>
    <row r="20" spans="1:40" x14ac:dyDescent="0.25">
      <c r="A20" s="289"/>
      <c r="B20" s="446" t="str">
        <f>B121</f>
        <v>Drug regimen prep (hours)</v>
      </c>
      <c r="C20" s="451"/>
      <c r="D20" s="422">
        <f>D126</f>
        <v>0</v>
      </c>
      <c r="E20" s="422">
        <f t="shared" ref="E20:I20" si="9">E126</f>
        <v>0</v>
      </c>
      <c r="F20" s="422">
        <f t="shared" si="9"/>
        <v>0</v>
      </c>
      <c r="G20" s="422">
        <f t="shared" si="9"/>
        <v>0</v>
      </c>
      <c r="H20" s="422">
        <f t="shared" si="9"/>
        <v>0</v>
      </c>
      <c r="I20" s="422">
        <f t="shared" si="9"/>
        <v>0</v>
      </c>
      <c r="L20" s="292">
        <f>L126</f>
        <v>0</v>
      </c>
      <c r="M20" s="292">
        <f t="shared" ref="M20:Q20" si="10">M126</f>
        <v>0</v>
      </c>
      <c r="N20" s="292">
        <f t="shared" si="10"/>
        <v>0</v>
      </c>
      <c r="O20" s="292">
        <f t="shared" si="10"/>
        <v>0</v>
      </c>
      <c r="P20" s="292">
        <f t="shared" si="10"/>
        <v>0</v>
      </c>
      <c r="Q20" s="292">
        <f t="shared" si="10"/>
        <v>0</v>
      </c>
      <c r="R20" s="133"/>
      <c r="S20" s="133"/>
      <c r="T20" s="133"/>
      <c r="U20" s="133"/>
      <c r="V20" s="133"/>
      <c r="W20" s="133"/>
      <c r="X20" s="133"/>
      <c r="Y20" s="133"/>
      <c r="Z20" s="133"/>
      <c r="AJ20" s="286"/>
      <c r="AK20" s="286"/>
      <c r="AL20" s="286"/>
      <c r="AM20" s="286"/>
      <c r="AN20" s="286"/>
    </row>
    <row r="21" spans="1:40" x14ac:dyDescent="0.25">
      <c r="A21" s="330"/>
      <c r="B21" s="447" t="str">
        <f>B130</f>
        <v>Appointments with x specialty (hours)</v>
      </c>
      <c r="C21" s="452"/>
      <c r="D21" s="426">
        <f t="shared" ref="D21:I21" si="11">D136</f>
        <v>0</v>
      </c>
      <c r="E21" s="426">
        <f t="shared" si="11"/>
        <v>0</v>
      </c>
      <c r="F21" s="426">
        <f t="shared" si="11"/>
        <v>0</v>
      </c>
      <c r="G21" s="426">
        <f t="shared" si="11"/>
        <v>0</v>
      </c>
      <c r="H21" s="426">
        <f t="shared" si="11"/>
        <v>0</v>
      </c>
      <c r="I21" s="426">
        <f t="shared" si="11"/>
        <v>0</v>
      </c>
      <c r="L21" s="292">
        <f>L136</f>
        <v>0</v>
      </c>
      <c r="M21" s="292">
        <f t="shared" ref="M21:P21" si="12">M136</f>
        <v>0</v>
      </c>
      <c r="N21" s="292">
        <f t="shared" si="12"/>
        <v>0</v>
      </c>
      <c r="O21" s="292">
        <f t="shared" si="12"/>
        <v>0</v>
      </c>
      <c r="P21" s="292">
        <f t="shared" si="12"/>
        <v>0</v>
      </c>
      <c r="Q21" s="292">
        <f>Q136</f>
        <v>0</v>
      </c>
      <c r="R21" s="133"/>
      <c r="S21" s="133"/>
      <c r="T21" s="133"/>
      <c r="U21" s="133"/>
      <c r="V21" s="133"/>
      <c r="W21" s="133"/>
      <c r="X21" s="133"/>
      <c r="Y21" s="133"/>
      <c r="Z21" s="133"/>
      <c r="AJ21" s="286"/>
      <c r="AK21" s="286"/>
      <c r="AL21" s="286"/>
      <c r="AM21" s="286"/>
      <c r="AN21" s="286"/>
    </row>
    <row r="22" spans="1:40" x14ac:dyDescent="0.25">
      <c r="A22" s="290"/>
      <c r="B22" s="448" t="s">
        <v>947</v>
      </c>
      <c r="C22" s="453"/>
      <c r="D22" s="427">
        <f>D146</f>
        <v>0</v>
      </c>
      <c r="E22" s="427">
        <f t="shared" ref="E22:I22" si="13">E146</f>
        <v>0</v>
      </c>
      <c r="F22" s="427">
        <f t="shared" si="13"/>
        <v>0</v>
      </c>
      <c r="G22" s="427">
        <f t="shared" si="13"/>
        <v>0</v>
      </c>
      <c r="H22" s="427">
        <f t="shared" si="13"/>
        <v>0</v>
      </c>
      <c r="I22" s="427">
        <f t="shared" si="13"/>
        <v>0</v>
      </c>
      <c r="L22" s="292">
        <f>L146</f>
        <v>0</v>
      </c>
      <c r="M22" s="292">
        <f t="shared" ref="M22:Q22" si="14">M146</f>
        <v>0</v>
      </c>
      <c r="N22" s="292">
        <f t="shared" si="14"/>
        <v>0</v>
      </c>
      <c r="O22" s="292">
        <f t="shared" si="14"/>
        <v>0</v>
      </c>
      <c r="P22" s="292">
        <f t="shared" si="14"/>
        <v>0</v>
      </c>
      <c r="Q22" s="292">
        <f t="shared" si="14"/>
        <v>0</v>
      </c>
      <c r="R22" s="133"/>
      <c r="S22" s="133"/>
      <c r="T22" s="133"/>
      <c r="U22" s="133"/>
      <c r="V22" s="133"/>
      <c r="W22" s="133"/>
      <c r="X22" s="133"/>
      <c r="Y22" s="133"/>
      <c r="Z22" s="133"/>
      <c r="AJ22" s="286"/>
      <c r="AK22" s="286"/>
      <c r="AL22" s="286"/>
      <c r="AM22" s="286"/>
      <c r="AN22" s="286"/>
    </row>
    <row r="23" spans="1:40" x14ac:dyDescent="0.25">
      <c r="A23" s="291"/>
      <c r="B23" s="449" t="str">
        <f>B149</f>
        <v>Adverse events, various (cases)</v>
      </c>
      <c r="C23" s="433"/>
      <c r="D23" s="428">
        <f t="shared" ref="D23:I23" si="15">D176</f>
        <v>1828.9228974739483</v>
      </c>
      <c r="E23" s="428">
        <f t="shared" si="15"/>
        <v>1958.6211202184306</v>
      </c>
      <c r="F23" s="428">
        <f t="shared" si="15"/>
        <v>2181.5470207078229</v>
      </c>
      <c r="G23" s="428">
        <f t="shared" si="15"/>
        <v>2202.5810770549965</v>
      </c>
      <c r="H23" s="428">
        <f t="shared" si="15"/>
        <v>2223.8179397236536</v>
      </c>
      <c r="I23" s="428">
        <f t="shared" si="15"/>
        <v>2245.2595641332996</v>
      </c>
      <c r="J23" s="133"/>
      <c r="K23" s="133"/>
      <c r="L23" s="292">
        <f t="shared" ref="L23:P23" si="16">L176</f>
        <v>1246.3354509171124</v>
      </c>
      <c r="M23" s="292">
        <f t="shared" si="16"/>
        <v>1267.0532596049163</v>
      </c>
      <c r="N23" s="292">
        <f t="shared" si="16"/>
        <v>1295.8876206864836</v>
      </c>
      <c r="O23" s="292">
        <f t="shared" si="16"/>
        <v>1308.3823196200319</v>
      </c>
      <c r="P23" s="292">
        <f t="shared" si="16"/>
        <v>1320.9974900350167</v>
      </c>
      <c r="Q23" s="292">
        <f>Q176</f>
        <v>1333.7342934942674</v>
      </c>
      <c r="R23" s="133"/>
      <c r="S23" s="133"/>
      <c r="T23" s="133"/>
      <c r="U23" s="133"/>
      <c r="V23" s="133"/>
      <c r="W23" s="133"/>
      <c r="X23" s="133"/>
      <c r="Y23" s="133"/>
      <c r="Z23" s="133"/>
    </row>
    <row r="24" spans="1:40" x14ac:dyDescent="0.25">
      <c r="B24" s="249"/>
      <c r="D24" s="286"/>
      <c r="F24" s="133"/>
      <c r="G24" s="133"/>
      <c r="H24" s="133"/>
      <c r="I24" s="133"/>
      <c r="J24" s="133"/>
      <c r="K24" s="133"/>
      <c r="L24" s="293">
        <f t="shared" ref="L24:Q24" si="17">SUM(L11:L23)</f>
        <v>1300.4952479601384</v>
      </c>
      <c r="M24" s="293">
        <f t="shared" si="17"/>
        <v>1819.6058520042216</v>
      </c>
      <c r="N24" s="293">
        <f t="shared" si="17"/>
        <v>2732.7072917740443</v>
      </c>
      <c r="O24" s="293">
        <f t="shared" si="17"/>
        <v>2759.0555293366042</v>
      </c>
      <c r="P24" s="293">
        <f t="shared" si="17"/>
        <v>2785.6578115327561</v>
      </c>
      <c r="Q24" s="293">
        <f t="shared" si="17"/>
        <v>2812.5165878119442</v>
      </c>
      <c r="R24" s="133"/>
      <c r="S24" s="133"/>
      <c r="T24" s="133"/>
      <c r="U24" s="133"/>
      <c r="V24" s="133"/>
      <c r="W24" s="133"/>
      <c r="X24" s="133"/>
      <c r="Y24" s="133"/>
      <c r="Z24" s="133"/>
    </row>
    <row r="25" spans="1:40" x14ac:dyDescent="0.25">
      <c r="B25" s="320"/>
      <c r="C25" s="320"/>
      <c r="D25" s="320"/>
      <c r="E25" s="320"/>
      <c r="F25" s="320"/>
      <c r="G25" s="320"/>
      <c r="H25" s="320"/>
      <c r="I25" s="320"/>
      <c r="J25" s="320"/>
      <c r="K25" s="320"/>
      <c r="L25" s="320"/>
      <c r="P25" s="133"/>
      <c r="Q25" s="133"/>
      <c r="R25" s="133"/>
      <c r="S25" s="133"/>
      <c r="V25" s="133"/>
      <c r="W25" s="133"/>
      <c r="X25" s="133"/>
      <c r="Y25" s="133"/>
      <c r="Z25" s="133"/>
      <c r="AJ25" s="286"/>
      <c r="AK25" s="286"/>
      <c r="AL25" s="286"/>
      <c r="AM25" s="286"/>
      <c r="AN25" s="286"/>
    </row>
    <row r="26" spans="1:40" x14ac:dyDescent="0.25">
      <c r="B26" s="372" t="s">
        <v>738</v>
      </c>
      <c r="C26" s="373"/>
      <c r="D26" s="373"/>
      <c r="E26" s="374"/>
      <c r="F26" s="373"/>
      <c r="G26" s="375"/>
      <c r="H26" s="376"/>
      <c r="I26" s="376"/>
      <c r="J26" s="376"/>
      <c r="K26" s="376"/>
      <c r="L26" s="376"/>
      <c r="M26" s="376"/>
      <c r="N26" s="376"/>
      <c r="O26" s="376"/>
      <c r="P26" s="376"/>
      <c r="Q26" s="377"/>
      <c r="R26" s="133"/>
      <c r="S26" s="133"/>
      <c r="T26" s="133"/>
      <c r="U26" s="133"/>
      <c r="V26" s="133"/>
      <c r="W26" s="133"/>
      <c r="X26" s="133"/>
      <c r="Y26" s="133"/>
      <c r="Z26" s="133"/>
      <c r="AJ26" s="286"/>
      <c r="AK26" s="286"/>
      <c r="AL26" s="286"/>
      <c r="AM26" s="286"/>
      <c r="AN26" s="286"/>
    </row>
    <row r="27" spans="1:40" hidden="1" x14ac:dyDescent="0.25">
      <c r="A27" s="288"/>
      <c r="B27" s="663"/>
      <c r="C27" s="658"/>
      <c r="D27" s="659"/>
      <c r="E27" s="660"/>
      <c r="F27" s="288"/>
      <c r="G27" s="288"/>
      <c r="H27" s="220"/>
      <c r="I27" s="220"/>
      <c r="J27" s="220"/>
      <c r="K27" s="220"/>
      <c r="L27" s="220"/>
      <c r="M27" s="220"/>
      <c r="N27" s="220"/>
      <c r="O27" s="220"/>
      <c r="P27" s="220"/>
      <c r="Q27" s="220"/>
      <c r="R27" s="133"/>
      <c r="S27" s="133"/>
      <c r="T27" s="133"/>
      <c r="U27" s="133"/>
      <c r="V27" s="133"/>
      <c r="W27" s="133"/>
      <c r="X27" s="133"/>
      <c r="Y27" s="133"/>
      <c r="Z27" s="133"/>
      <c r="AJ27" s="286"/>
      <c r="AK27" s="286"/>
      <c r="AL27" s="286"/>
      <c r="AM27" s="286"/>
      <c r="AN27" s="286"/>
    </row>
    <row r="28" spans="1:40" hidden="1" x14ac:dyDescent="0.25">
      <c r="A28" s="288"/>
      <c r="B28" s="634" t="s">
        <v>909</v>
      </c>
      <c r="C28" s="668"/>
      <c r="D28" s="668"/>
      <c r="E28" s="635"/>
      <c r="F28" s="636"/>
      <c r="G28" s="306"/>
      <c r="H28" s="306"/>
      <c r="I28" s="385"/>
      <c r="J28" s="669"/>
      <c r="K28" s="288"/>
      <c r="L28" s="288"/>
      <c r="M28" s="288"/>
      <c r="N28" s="288"/>
      <c r="O28" s="288"/>
      <c r="P28" s="288"/>
      <c r="Q28" s="220"/>
      <c r="R28" s="133"/>
      <c r="S28" s="133"/>
      <c r="V28" s="133"/>
    </row>
    <row r="29" spans="1:40" hidden="1" x14ac:dyDescent="0.25">
      <c r="A29" s="661"/>
      <c r="B29" s="662" t="s">
        <v>901</v>
      </c>
      <c r="C29" s="395"/>
      <c r="D29" s="395"/>
      <c r="E29" s="395"/>
      <c r="F29" s="395"/>
      <c r="G29" s="395"/>
      <c r="H29" s="395"/>
      <c r="I29" s="219"/>
      <c r="J29" s="220"/>
      <c r="K29" s="220"/>
      <c r="L29" s="220"/>
      <c r="M29" s="220"/>
      <c r="N29" s="220"/>
      <c r="O29" s="220"/>
      <c r="P29" s="220"/>
      <c r="Q29" s="220"/>
      <c r="R29" s="133"/>
      <c r="S29" s="133"/>
      <c r="T29" s="133"/>
      <c r="U29" s="133"/>
      <c r="V29" s="133"/>
      <c r="W29" s="133"/>
      <c r="X29" s="133"/>
      <c r="Y29" s="133"/>
      <c r="Z29" s="133"/>
      <c r="AJ29" s="286"/>
      <c r="AK29" s="286"/>
      <c r="AL29" s="286"/>
      <c r="AM29" s="286"/>
      <c r="AN29" s="286"/>
    </row>
    <row r="30" spans="1:40" ht="45" hidden="1" x14ac:dyDescent="0.25">
      <c r="A30" s="661"/>
      <c r="B30" s="319" t="s">
        <v>124</v>
      </c>
      <c r="C30" s="165" t="s">
        <v>739</v>
      </c>
      <c r="D30" s="423" t="s">
        <v>730</v>
      </c>
      <c r="E30" s="257" t="s">
        <v>50</v>
      </c>
      <c r="F30" s="257" t="s">
        <v>51</v>
      </c>
      <c r="G30" s="164" t="s">
        <v>731</v>
      </c>
      <c r="H30" s="164" t="s">
        <v>732</v>
      </c>
      <c r="I30" s="257" t="s">
        <v>733</v>
      </c>
      <c r="J30" s="666"/>
      <c r="K30" s="670" t="s">
        <v>929</v>
      </c>
      <c r="L30" s="423" t="s">
        <v>730</v>
      </c>
      <c r="M30" s="257" t="s">
        <v>50</v>
      </c>
      <c r="N30" s="257" t="s">
        <v>51</v>
      </c>
      <c r="O30" s="164" t="s">
        <v>731</v>
      </c>
      <c r="P30" s="164" t="s">
        <v>732</v>
      </c>
      <c r="Q30" s="257" t="s">
        <v>733</v>
      </c>
      <c r="R30" s="133"/>
      <c r="S30" s="133"/>
      <c r="T30" s="133"/>
      <c r="U30" s="133"/>
      <c r="V30" s="133"/>
      <c r="W30" s="133"/>
      <c r="X30" s="133"/>
      <c r="Y30" s="133"/>
      <c r="Z30" s="133"/>
      <c r="AJ30" s="286"/>
      <c r="AK30" s="286"/>
      <c r="AL30" s="286"/>
      <c r="AM30" s="286"/>
      <c r="AN30" s="286"/>
    </row>
    <row r="31" spans="1:40" hidden="1" x14ac:dyDescent="0.25">
      <c r="A31" s="661"/>
      <c r="B31" s="350" t="s">
        <v>938</v>
      </c>
      <c r="C31" s="632" t="e">
        <f>'Inputs and eligible population'!#REF!</f>
        <v>#REF!</v>
      </c>
      <c r="D31" s="128" t="e">
        <f>'Financial impact (cash)'!D14*$C$31</f>
        <v>#REF!</v>
      </c>
      <c r="E31" s="128" t="e">
        <f>'Financial impact (cash)'!E14*$C$31</f>
        <v>#REF!</v>
      </c>
      <c r="F31" s="128" t="e">
        <f>'Financial impact (cash)'!F14*$C$31</f>
        <v>#REF!</v>
      </c>
      <c r="G31" s="128" t="e">
        <f>'Financial impact (cash)'!G14*$C$31</f>
        <v>#REF!</v>
      </c>
      <c r="H31" s="128" t="e">
        <f>'Financial impact (cash)'!H14*$C$31</f>
        <v>#REF!</v>
      </c>
      <c r="I31" s="128" t="e">
        <f>'Financial impact (cash)'!I14*$C$31</f>
        <v>#REF!</v>
      </c>
      <c r="J31" s="666"/>
      <c r="K31" s="671" t="e">
        <f>'Inputs and eligible population'!$N$84</f>
        <v>#REF!</v>
      </c>
      <c r="L31" s="292" t="e">
        <f>(D31*'Inputs and eligible population'!$F84/60*'Inputs and eligible population'!$N$84)/1000</f>
        <v>#REF!</v>
      </c>
      <c r="M31" s="292" t="e">
        <f>(E31*'Inputs and eligible population'!$F84/60*'Inputs and eligible population'!$N$84)/1000</f>
        <v>#REF!</v>
      </c>
      <c r="N31" s="292" t="e">
        <f>(F31*'Inputs and eligible population'!$F84/60*'Inputs and eligible population'!$N$84)/1000</f>
        <v>#REF!</v>
      </c>
      <c r="O31" s="292" t="e">
        <f>(G31*'Inputs and eligible population'!$F84/60*'Inputs and eligible population'!$N$84)/1000</f>
        <v>#REF!</v>
      </c>
      <c r="P31" s="292" t="e">
        <f>(H31*'Inputs and eligible population'!$F84/60*'Inputs and eligible population'!$N$84)/1000</f>
        <v>#REF!</v>
      </c>
      <c r="Q31" s="292" t="e">
        <f>(I31*'Inputs and eligible population'!$F84/60*'Inputs and eligible population'!$N$84)/1000</f>
        <v>#REF!</v>
      </c>
      <c r="R31" s="133"/>
      <c r="S31" s="133"/>
      <c r="T31" s="133"/>
      <c r="U31" s="133"/>
      <c r="V31" s="133"/>
      <c r="W31" s="133"/>
      <c r="X31" s="133"/>
      <c r="Y31" s="133"/>
      <c r="Z31" s="133"/>
      <c r="AJ31" s="286"/>
      <c r="AK31" s="286"/>
      <c r="AL31" s="286"/>
      <c r="AM31" s="286"/>
      <c r="AN31" s="286"/>
    </row>
    <row r="32" spans="1:40" hidden="1" x14ac:dyDescent="0.25">
      <c r="A32" s="661"/>
      <c r="B32" s="350" t="s">
        <v>939</v>
      </c>
      <c r="C32" s="632" t="e">
        <f>'Inputs and eligible population'!#REF!</f>
        <v>#REF!</v>
      </c>
      <c r="D32" s="128" t="e">
        <f>'Financial impact (cash)'!D15*$C$31</f>
        <v>#REF!</v>
      </c>
      <c r="E32" s="128" t="e">
        <f>'Financial impact (cash)'!E15*$C$31</f>
        <v>#REF!</v>
      </c>
      <c r="F32" s="128" t="e">
        <f>'Financial impact (cash)'!F15*$C$31</f>
        <v>#REF!</v>
      </c>
      <c r="G32" s="128" t="e">
        <f>'Financial impact (cash)'!G15*$C$31</f>
        <v>#REF!</v>
      </c>
      <c r="H32" s="128" t="e">
        <f>'Financial impact (cash)'!H15*$C$31</f>
        <v>#REF!</v>
      </c>
      <c r="I32" s="128" t="e">
        <f>'Financial impact (cash)'!I15*$C$31</f>
        <v>#REF!</v>
      </c>
      <c r="J32" s="666"/>
      <c r="K32" s="671" t="e">
        <f>'Inputs and eligible population'!$N$84</f>
        <v>#REF!</v>
      </c>
      <c r="L32" s="292" t="e">
        <f>(D32*'Inputs and eligible population'!$G$84/60*'Inputs and eligible population'!$N$84)/1000</f>
        <v>#REF!</v>
      </c>
      <c r="M32" s="292" t="e">
        <f>(E32*'Inputs and eligible population'!$G$84/60*'Inputs and eligible population'!$N$84)/1000</f>
        <v>#REF!</v>
      </c>
      <c r="N32" s="292" t="e">
        <f>(F32*'Inputs and eligible population'!$G$84/60*'Inputs and eligible population'!$N$84)/1000</f>
        <v>#REF!</v>
      </c>
      <c r="O32" s="292" t="e">
        <f>(G32*'Inputs and eligible population'!$G$84/60*'Inputs and eligible population'!$N$84)/1000</f>
        <v>#REF!</v>
      </c>
      <c r="P32" s="292" t="e">
        <f>(H32*'Inputs and eligible population'!$G$84/60*'Inputs and eligible population'!$N$84)/1000</f>
        <v>#REF!</v>
      </c>
      <c r="Q32" s="292" t="e">
        <f>(I32*'Inputs and eligible population'!$G$84/60*'Inputs and eligible population'!$N$84)/1000</f>
        <v>#REF!</v>
      </c>
      <c r="R32" s="133"/>
      <c r="S32" s="133"/>
      <c r="T32" s="133"/>
      <c r="U32" s="133"/>
      <c r="V32" s="133"/>
      <c r="W32" s="133"/>
      <c r="X32" s="133"/>
      <c r="Y32" s="133"/>
      <c r="Z32" s="133"/>
      <c r="AJ32" s="286"/>
      <c r="AK32" s="286"/>
      <c r="AL32" s="286"/>
      <c r="AM32" s="286"/>
      <c r="AN32" s="286"/>
    </row>
    <row r="33" spans="1:40" hidden="1" x14ac:dyDescent="0.25">
      <c r="A33" s="661"/>
      <c r="B33" s="350" t="s">
        <v>940</v>
      </c>
      <c r="C33" s="632" t="e">
        <f>'Inputs and eligible population'!#REF!</f>
        <v>#REF!</v>
      </c>
      <c r="D33" s="128" t="e">
        <f>'Financial impact (cash)'!D16*$C$31</f>
        <v>#REF!</v>
      </c>
      <c r="E33" s="128" t="e">
        <f>'Financial impact (cash)'!E16*$C$31</f>
        <v>#REF!</v>
      </c>
      <c r="F33" s="128" t="e">
        <f>'Financial impact (cash)'!F16*$C$31</f>
        <v>#REF!</v>
      </c>
      <c r="G33" s="128" t="e">
        <f>'Financial impact (cash)'!G16*$C$31</f>
        <v>#REF!</v>
      </c>
      <c r="H33" s="128" t="e">
        <f>'Financial impact (cash)'!H16*$C$31</f>
        <v>#REF!</v>
      </c>
      <c r="I33" s="128" t="e">
        <f>'Financial impact (cash)'!I16*$C$31</f>
        <v>#REF!</v>
      </c>
      <c r="J33" s="666"/>
      <c r="K33" s="671" t="e">
        <f>'Inputs and eligible population'!$N$84</f>
        <v>#REF!</v>
      </c>
      <c r="L33" s="292" t="e">
        <f>(D33*'Inputs and eligible population'!$H$84/60*'Inputs and eligible population'!$N$84)/1000</f>
        <v>#REF!</v>
      </c>
      <c r="M33" s="292" t="e">
        <f>(E33*'Inputs and eligible population'!$H$84/60*'Inputs and eligible population'!$N$84)/1000</f>
        <v>#REF!</v>
      </c>
      <c r="N33" s="292" t="e">
        <f>(F33*'Inputs and eligible population'!$H$84/60*'Inputs and eligible population'!$N$84)/1000</f>
        <v>#REF!</v>
      </c>
      <c r="O33" s="292" t="e">
        <f>(G33*'Inputs and eligible population'!$H$84/60*'Inputs and eligible population'!$N$84)/1000</f>
        <v>#REF!</v>
      </c>
      <c r="P33" s="292" t="e">
        <f>(H33*'Inputs and eligible population'!$H$84/60*'Inputs and eligible population'!$N$84)/1000</f>
        <v>#REF!</v>
      </c>
      <c r="Q33" s="292" t="e">
        <f>(I33*'Inputs and eligible population'!$H$84/60*'Inputs and eligible population'!$N$84)/1000</f>
        <v>#REF!</v>
      </c>
      <c r="R33" s="133"/>
      <c r="S33" s="133"/>
      <c r="T33" s="133"/>
      <c r="U33" s="133"/>
      <c r="V33" s="133"/>
      <c r="W33" s="133"/>
      <c r="X33" s="133"/>
      <c r="Y33" s="133"/>
      <c r="Z33" s="133"/>
      <c r="AJ33" s="286"/>
      <c r="AK33" s="286"/>
      <c r="AL33" s="286"/>
      <c r="AM33" s="286"/>
      <c r="AN33" s="286"/>
    </row>
    <row r="34" spans="1:40" hidden="1" x14ac:dyDescent="0.25">
      <c r="A34" s="661"/>
      <c r="B34" s="518"/>
      <c r="C34" s="283"/>
      <c r="D34" s="186" t="e">
        <f t="shared" ref="D34:I34" si="18">SUM(D31:D33)</f>
        <v>#REF!</v>
      </c>
      <c r="E34" s="186" t="e">
        <f t="shared" si="18"/>
        <v>#REF!</v>
      </c>
      <c r="F34" s="186" t="e">
        <f t="shared" si="18"/>
        <v>#REF!</v>
      </c>
      <c r="G34" s="186" t="e">
        <f t="shared" si="18"/>
        <v>#REF!</v>
      </c>
      <c r="H34" s="186" t="e">
        <f t="shared" si="18"/>
        <v>#REF!</v>
      </c>
      <c r="I34" s="186" t="e">
        <f t="shared" si="18"/>
        <v>#REF!</v>
      </c>
      <c r="J34" s="666"/>
      <c r="K34" s="220"/>
      <c r="L34" s="293" t="e">
        <f t="shared" ref="L34:Q34" si="19">SUM(L31:L33)</f>
        <v>#REF!</v>
      </c>
      <c r="M34" s="293" t="e">
        <f t="shared" si="19"/>
        <v>#REF!</v>
      </c>
      <c r="N34" s="293" t="e">
        <f t="shared" si="19"/>
        <v>#REF!</v>
      </c>
      <c r="O34" s="293" t="e">
        <f t="shared" si="19"/>
        <v>#REF!</v>
      </c>
      <c r="P34" s="293" t="e">
        <f t="shared" si="19"/>
        <v>#REF!</v>
      </c>
      <c r="Q34" s="293" t="e">
        <f t="shared" si="19"/>
        <v>#REF!</v>
      </c>
      <c r="R34" s="133"/>
      <c r="S34" s="133"/>
      <c r="T34" s="133"/>
      <c r="U34" s="133"/>
      <c r="V34" s="133"/>
      <c r="W34" s="133"/>
      <c r="X34" s="133"/>
      <c r="Y34" s="133"/>
      <c r="Z34" s="133"/>
      <c r="AJ34" s="286"/>
      <c r="AK34" s="286"/>
      <c r="AL34" s="286"/>
      <c r="AM34" s="286"/>
      <c r="AN34" s="286"/>
    </row>
    <row r="35" spans="1:40" hidden="1" x14ac:dyDescent="0.25">
      <c r="A35" s="661"/>
      <c r="B35" s="258"/>
      <c r="C35" s="258"/>
      <c r="D35" s="285" t="s">
        <v>913</v>
      </c>
      <c r="E35" s="186" t="e">
        <f>E34-$D$34</f>
        <v>#REF!</v>
      </c>
      <c r="F35" s="186" t="e">
        <f>F34-$D$34</f>
        <v>#REF!</v>
      </c>
      <c r="G35" s="186" t="e">
        <f>G34-$D$34</f>
        <v>#REF!</v>
      </c>
      <c r="H35" s="186" t="e">
        <f>H34-$D$34</f>
        <v>#REF!</v>
      </c>
      <c r="I35" s="186" t="e">
        <f>I34-$D$34</f>
        <v>#REF!</v>
      </c>
      <c r="J35" s="666"/>
      <c r="K35" s="220"/>
      <c r="L35" s="220"/>
      <c r="M35" s="293" t="e">
        <f>M34-L34</f>
        <v>#REF!</v>
      </c>
      <c r="N35" s="293" t="e">
        <f t="shared" ref="N35:Q35" si="20">N34-M34</f>
        <v>#REF!</v>
      </c>
      <c r="O35" s="293" t="e">
        <f t="shared" si="20"/>
        <v>#REF!</v>
      </c>
      <c r="P35" s="293" t="e">
        <f t="shared" si="20"/>
        <v>#REF!</v>
      </c>
      <c r="Q35" s="293" t="e">
        <f t="shared" si="20"/>
        <v>#REF!</v>
      </c>
      <c r="R35" s="133"/>
      <c r="S35" s="133"/>
      <c r="T35" s="133"/>
      <c r="U35" s="133"/>
      <c r="V35" s="133"/>
      <c r="W35" s="133"/>
      <c r="X35" s="133"/>
      <c r="Y35" s="133"/>
      <c r="Z35" s="133"/>
      <c r="AJ35" s="286"/>
      <c r="AK35" s="286"/>
      <c r="AL35" s="286"/>
      <c r="AM35" s="286"/>
      <c r="AN35" s="286"/>
    </row>
    <row r="36" spans="1:40" hidden="1" x14ac:dyDescent="0.25">
      <c r="A36" s="288"/>
      <c r="B36" s="663"/>
      <c r="C36" s="658"/>
      <c r="D36" s="659"/>
      <c r="E36" s="660"/>
      <c r="F36" s="288"/>
      <c r="G36" s="288"/>
      <c r="H36" s="288"/>
      <c r="I36" s="306"/>
      <c r="J36" s="220"/>
      <c r="K36" s="220"/>
      <c r="L36" s="220"/>
      <c r="M36" s="220"/>
      <c r="N36" s="220"/>
      <c r="O36" s="220"/>
      <c r="P36" s="220"/>
      <c r="Q36" s="220"/>
      <c r="R36" s="133"/>
      <c r="S36" s="133"/>
      <c r="T36" s="133"/>
      <c r="U36" s="133"/>
      <c r="V36" s="133"/>
      <c r="W36" s="133"/>
      <c r="X36" s="133"/>
      <c r="Y36" s="133"/>
      <c r="Z36" s="133"/>
      <c r="AJ36" s="286"/>
      <c r="AK36" s="286"/>
      <c r="AL36" s="286"/>
      <c r="AM36" s="286"/>
      <c r="AN36" s="286"/>
    </row>
    <row r="37" spans="1:40" x14ac:dyDescent="0.25">
      <c r="A37" s="288"/>
      <c r="B37" s="394" t="s">
        <v>1046</v>
      </c>
      <c r="C37" s="395"/>
      <c r="D37" s="395"/>
      <c r="E37" s="395"/>
      <c r="F37" s="395"/>
      <c r="G37" s="395"/>
      <c r="H37" s="395"/>
      <c r="I37" s="219"/>
      <c r="J37" s="220"/>
      <c r="K37" s="220"/>
      <c r="L37" s="220"/>
      <c r="M37" s="220"/>
      <c r="N37" s="220"/>
      <c r="O37" s="220"/>
      <c r="P37" s="220"/>
      <c r="Q37" s="220"/>
      <c r="R37" s="133"/>
      <c r="S37" s="133"/>
      <c r="T37" s="133"/>
      <c r="U37" s="133"/>
      <c r="V37" s="133"/>
      <c r="W37" s="133"/>
      <c r="X37" s="133"/>
      <c r="Y37" s="133"/>
      <c r="Z37" s="133"/>
      <c r="AJ37" s="286"/>
      <c r="AK37" s="286"/>
      <c r="AL37" s="286"/>
      <c r="AM37" s="286"/>
      <c r="AN37" s="286"/>
    </row>
    <row r="38" spans="1:40" ht="45" x14ac:dyDescent="0.25">
      <c r="A38" s="288"/>
      <c r="B38" s="279" t="s">
        <v>124</v>
      </c>
      <c r="C38" s="165" t="s">
        <v>739</v>
      </c>
      <c r="D38" s="423" t="s">
        <v>730</v>
      </c>
      <c r="E38" s="257" t="s">
        <v>50</v>
      </c>
      <c r="F38" s="257" t="s">
        <v>51</v>
      </c>
      <c r="G38" s="164" t="s">
        <v>731</v>
      </c>
      <c r="H38" s="164" t="s">
        <v>732</v>
      </c>
      <c r="I38" s="257" t="s">
        <v>733</v>
      </c>
      <c r="J38" s="220"/>
      <c r="K38" s="670" t="s">
        <v>929</v>
      </c>
      <c r="L38" s="423" t="s">
        <v>730</v>
      </c>
      <c r="M38" s="257" t="s">
        <v>50</v>
      </c>
      <c r="N38" s="257" t="s">
        <v>51</v>
      </c>
      <c r="O38" s="164" t="s">
        <v>731</v>
      </c>
      <c r="P38" s="164" t="s">
        <v>732</v>
      </c>
      <c r="Q38" s="257" t="s">
        <v>733</v>
      </c>
      <c r="R38" s="133"/>
      <c r="S38" s="133"/>
      <c r="T38" s="133"/>
      <c r="U38" s="133"/>
      <c r="V38" s="133"/>
      <c r="W38" s="133"/>
      <c r="X38" s="133"/>
      <c r="Y38" s="133"/>
      <c r="Z38" s="133"/>
      <c r="AJ38" s="286"/>
      <c r="AK38" s="286"/>
      <c r="AL38" s="286"/>
      <c r="AM38" s="286"/>
      <c r="AN38" s="286"/>
    </row>
    <row r="39" spans="1:40" x14ac:dyDescent="0.25">
      <c r="A39" s="288"/>
      <c r="B39" s="350" t="str">
        <f>Summary!B13</f>
        <v>People receiving trifluridine-tipiracil with bevacizumab</v>
      </c>
      <c r="C39" s="632">
        <f>'Inputs and eligible population'!F85</f>
        <v>1.25</v>
      </c>
      <c r="D39" s="128">
        <f>'Financial impact (cash)'!D14*$C$39*'Inputs and eligible population'!$F86/60</f>
        <v>0</v>
      </c>
      <c r="E39" s="128">
        <f>'Financial impact (cash)'!E14*$C$39*'Inputs and eligible population'!$F86/60</f>
        <v>214.64768359479606</v>
      </c>
      <c r="F39" s="128">
        <f>'Financial impact (cash)'!F14*$C$39*'Inputs and eligible population'!$F86/60</f>
        <v>595.97250688963743</v>
      </c>
      <c r="G39" s="128">
        <f>'Financial impact (cash)'!G14*$C$39*'Inputs and eligible population'!$F86/60</f>
        <v>601.7187590548624</v>
      </c>
      <c r="H39" s="128">
        <f>'Financial impact (cash)'!H14*$C$39*'Inputs and eligible population'!$F86/60</f>
        <v>607.5204154771036</v>
      </c>
      <c r="I39" s="128">
        <f>'Financial impact (cash)'!I14*$C$39*'Inputs and eligible population'!$F86/60</f>
        <v>613.37801035353993</v>
      </c>
      <c r="J39" s="220"/>
      <c r="K39" s="671">
        <f>'Inputs and eligible population'!$N$86</f>
        <v>121.08</v>
      </c>
      <c r="L39" s="292">
        <f>$K$39*D39/1000</f>
        <v>0</v>
      </c>
      <c r="M39" s="292">
        <f t="shared" ref="M39:Q39" si="21">$K$39*E39/1000</f>
        <v>25.98954152965791</v>
      </c>
      <c r="N39" s="292">
        <f t="shared" si="21"/>
        <v>72.160351134197285</v>
      </c>
      <c r="O39" s="292">
        <f t="shared" si="21"/>
        <v>72.856107346362734</v>
      </c>
      <c r="P39" s="292">
        <f t="shared" si="21"/>
        <v>73.55857190596771</v>
      </c>
      <c r="Q39" s="292">
        <f t="shared" si="21"/>
        <v>74.26780949360662</v>
      </c>
      <c r="R39" s="133"/>
      <c r="S39" s="133"/>
      <c r="T39" s="133"/>
      <c r="U39" s="133"/>
      <c r="V39" s="133"/>
      <c r="W39" s="133"/>
      <c r="X39" s="133"/>
      <c r="Y39" s="133"/>
      <c r="Z39" s="133"/>
      <c r="AJ39" s="286"/>
      <c r="AK39" s="286"/>
      <c r="AL39" s="286"/>
      <c r="AM39" s="286"/>
      <c r="AN39" s="286"/>
    </row>
    <row r="40" spans="1:40" x14ac:dyDescent="0.25">
      <c r="A40" s="288"/>
      <c r="B40" s="350" t="str">
        <f>Summary!B14</f>
        <v xml:space="preserve">People receiving trifluridine-tipiracil </v>
      </c>
      <c r="C40" s="632">
        <f>'Inputs and eligible population'!G85</f>
        <v>0.5</v>
      </c>
      <c r="D40" s="128">
        <f>'Financial impact (cash)'!D15*$C$40*'Inputs and eligible population'!$G86/60</f>
        <v>165.82632768000002</v>
      </c>
      <c r="E40" s="128">
        <f>'Financial impact (cash)'!E15*$C$40*'Inputs and eligible population'!$G86/60</f>
        <v>115.90974914118988</v>
      </c>
      <c r="F40" s="128">
        <f>'Financial impact (cash)'!F15*$C$40*'Inputs and eligible population'!$G86/60</f>
        <v>30.340418532563362</v>
      </c>
      <c r="G40" s="128">
        <f>'Financial impact (cash)'!G15*$C$40*'Inputs and eligible population'!$G86/60</f>
        <v>30.632955006429363</v>
      </c>
      <c r="H40" s="128">
        <f>'Financial impact (cash)'!H15*$C$40*'Inputs and eligible population'!$G86/60</f>
        <v>30.928312060652548</v>
      </c>
      <c r="I40" s="128">
        <f>'Financial impact (cash)'!I15*$C$40*'Inputs and eligible population'!$G86/60</f>
        <v>31.226516890725666</v>
      </c>
      <c r="J40" s="220"/>
      <c r="K40" s="671">
        <f>'Inputs and eligible population'!$N$86</f>
        <v>121.08</v>
      </c>
      <c r="L40" s="292">
        <f>$K$40*D403/1000</f>
        <v>0</v>
      </c>
      <c r="M40" s="292">
        <f t="shared" ref="M40:Q40" si="22">$K$40*E403/1000</f>
        <v>0</v>
      </c>
      <c r="N40" s="292">
        <f t="shared" si="22"/>
        <v>0</v>
      </c>
      <c r="O40" s="292">
        <f t="shared" si="22"/>
        <v>0</v>
      </c>
      <c r="P40" s="292">
        <f t="shared" si="22"/>
        <v>0</v>
      </c>
      <c r="Q40" s="292">
        <f t="shared" si="22"/>
        <v>0</v>
      </c>
      <c r="R40" s="133"/>
      <c r="S40" s="133"/>
      <c r="T40" s="133"/>
      <c r="U40" s="133"/>
      <c r="V40" s="133"/>
      <c r="W40" s="133"/>
      <c r="X40" s="133"/>
      <c r="Y40" s="133"/>
      <c r="Z40" s="133"/>
      <c r="AJ40" s="286"/>
      <c r="AK40" s="286"/>
      <c r="AL40" s="286"/>
      <c r="AM40" s="286"/>
      <c r="AN40" s="286"/>
    </row>
    <row r="41" spans="1:40" x14ac:dyDescent="0.25">
      <c r="A41" s="288"/>
      <c r="B41" s="350" t="str">
        <f>Summary!B15</f>
        <v>People receiving regorafenib</v>
      </c>
      <c r="C41" s="632">
        <f>'Inputs and eligible population'!H85</f>
        <v>0.7</v>
      </c>
      <c r="D41" s="128">
        <f>'Financial impact (cash)'!D16*$C$41*'Inputs and eligible population'!$H86/60</f>
        <v>166.67671910400003</v>
      </c>
      <c r="E41" s="128">
        <f>'Financial impact (cash)'!E16*$C$41*'Inputs and eligible population'!$H86/60</f>
        <v>120.20270281308579</v>
      </c>
      <c r="F41" s="128">
        <f>'Financial impact (cash)'!F16*$C$41*'Inputs and eligible population'!$H86/60</f>
        <v>30.340418532563362</v>
      </c>
      <c r="G41" s="128">
        <f>'Financial impact (cash)'!G16*$C$41*'Inputs and eligible population'!$H86/60</f>
        <v>30.632955006429359</v>
      </c>
      <c r="H41" s="128">
        <f>'Financial impact (cash)'!H16*$C$41*'Inputs and eligible population'!$H86/60</f>
        <v>30.928312060652548</v>
      </c>
      <c r="I41" s="128">
        <f>'Financial impact (cash)'!I16*$C$41*'Inputs and eligible population'!$H86/60</f>
        <v>31.226516890725666</v>
      </c>
      <c r="J41" s="220"/>
      <c r="K41" s="671">
        <f>'Inputs and eligible population'!$N$86</f>
        <v>121.08</v>
      </c>
      <c r="L41" s="292">
        <f>$K$41*D41/1000</f>
        <v>20.181217149112321</v>
      </c>
      <c r="M41" s="292">
        <f t="shared" ref="M41:Q41" si="23">$K$41*E41/1000</f>
        <v>14.554143256608429</v>
      </c>
      <c r="N41" s="292">
        <f t="shared" si="23"/>
        <v>3.6736178759227718</v>
      </c>
      <c r="O41" s="292">
        <f t="shared" si="23"/>
        <v>3.709038192178467</v>
      </c>
      <c r="P41" s="292">
        <f t="shared" si="23"/>
        <v>3.7448000243038106</v>
      </c>
      <c r="Q41" s="292">
        <f t="shared" si="23"/>
        <v>3.7809066651290637</v>
      </c>
      <c r="R41" s="133"/>
      <c r="S41" s="133"/>
      <c r="T41" s="133"/>
      <c r="U41" s="133"/>
      <c r="V41" s="133"/>
      <c r="W41" s="133"/>
      <c r="X41" s="133"/>
      <c r="Y41" s="133"/>
      <c r="Z41" s="133"/>
      <c r="AJ41" s="286"/>
      <c r="AK41" s="286"/>
      <c r="AL41" s="286"/>
      <c r="AM41" s="286"/>
      <c r="AN41" s="286"/>
    </row>
    <row r="42" spans="1:40" x14ac:dyDescent="0.25">
      <c r="A42" s="288"/>
      <c r="B42" s="350" t="str">
        <f>Summary!B16</f>
        <v>People receiving best supportive care (BSC)</v>
      </c>
      <c r="C42" s="632">
        <f>'Inputs and eligible population'!I85</f>
        <v>1</v>
      </c>
      <c r="D42" s="128">
        <f>'Financial impact (cash)'!D17*$C$42*'Inputs and eligible population'!$I86/60</f>
        <v>280.62916992000004</v>
      </c>
      <c r="E42" s="128">
        <f>'Financial impact (cash)'!E17*$C$42*'Inputs and eligible population'!$I86/60</f>
        <v>283.3349423451308</v>
      </c>
      <c r="F42" s="128">
        <f>'Financial impact (cash)'!F17*$C$42*'Inputs and eligible population'!$I86/60</f>
        <v>286.06680330702596</v>
      </c>
      <c r="G42" s="128">
        <f>'Financial impact (cash)'!G17*$C$42*'Inputs and eligible population'!$I86/60</f>
        <v>288.82500434633397</v>
      </c>
      <c r="H42" s="128">
        <f>'Financial impact (cash)'!H17*$C$42*'Inputs and eligible population'!$I86/60</f>
        <v>291.60979942900974</v>
      </c>
      <c r="I42" s="128">
        <f>'Financial impact (cash)'!I17*$C$42*'Inputs and eligible population'!$I86/60</f>
        <v>294.42144496969911</v>
      </c>
      <c r="J42" s="220"/>
      <c r="K42" s="671">
        <f>'Inputs and eligible population'!$N$86</f>
        <v>121.08</v>
      </c>
      <c r="L42" s="292">
        <f>$K$42*D42/1000</f>
        <v>33.978579893913604</v>
      </c>
      <c r="M42" s="292">
        <f t="shared" ref="M42:Q42" si="24">$K$42*E42/1000</f>
        <v>34.30619481914843</v>
      </c>
      <c r="N42" s="292">
        <f t="shared" si="24"/>
        <v>34.636968544414707</v>
      </c>
      <c r="O42" s="292">
        <f t="shared" si="24"/>
        <v>34.970931526254112</v>
      </c>
      <c r="P42" s="292">
        <f t="shared" si="24"/>
        <v>35.308114514864499</v>
      </c>
      <c r="Q42" s="292">
        <f t="shared" si="24"/>
        <v>35.648548556931161</v>
      </c>
      <c r="R42" s="133"/>
      <c r="S42" s="133"/>
      <c r="T42" s="133"/>
      <c r="U42" s="133"/>
      <c r="V42" s="133"/>
      <c r="W42" s="133"/>
      <c r="X42" s="133"/>
      <c r="Y42" s="133"/>
      <c r="Z42" s="133"/>
      <c r="AJ42" s="286"/>
      <c r="AK42" s="286"/>
      <c r="AL42" s="286"/>
      <c r="AM42" s="286"/>
      <c r="AN42" s="286"/>
    </row>
    <row r="43" spans="1:40" x14ac:dyDescent="0.25">
      <c r="A43" s="288"/>
      <c r="B43" s="280"/>
      <c r="C43" s="760"/>
      <c r="D43" s="186">
        <f t="shared" ref="D43:I43" si="25">SUM(D39:D42)</f>
        <v>613.13221670400003</v>
      </c>
      <c r="E43" s="186">
        <f t="shared" si="25"/>
        <v>734.09507789420252</v>
      </c>
      <c r="F43" s="186">
        <f t="shared" si="25"/>
        <v>942.72014726179009</v>
      </c>
      <c r="G43" s="186">
        <f t="shared" si="25"/>
        <v>951.80967341405517</v>
      </c>
      <c r="H43" s="186">
        <f t="shared" si="25"/>
        <v>960.98683902741834</v>
      </c>
      <c r="I43" s="186">
        <f t="shared" si="25"/>
        <v>970.25248910469031</v>
      </c>
      <c r="J43" s="220"/>
      <c r="K43" s="220"/>
      <c r="L43" s="292">
        <f>SUM(L39:L42)</f>
        <v>54.159797043025925</v>
      </c>
      <c r="M43" s="292">
        <f t="shared" ref="M43:Q43" si="26">SUM(M39:M42)</f>
        <v>74.84987960541477</v>
      </c>
      <c r="N43" s="292">
        <f t="shared" si="26"/>
        <v>110.47093755453477</v>
      </c>
      <c r="O43" s="292">
        <f t="shared" si="26"/>
        <v>111.53607706479531</v>
      </c>
      <c r="P43" s="292">
        <f t="shared" si="26"/>
        <v>112.61148644513602</v>
      </c>
      <c r="Q43" s="292">
        <f t="shared" si="26"/>
        <v>113.69726471566685</v>
      </c>
      <c r="R43" s="133"/>
      <c r="S43" s="133"/>
      <c r="T43" s="133"/>
      <c r="U43" s="133"/>
      <c r="V43" s="133"/>
      <c r="W43" s="133"/>
      <c r="X43" s="133"/>
      <c r="Y43" s="133"/>
      <c r="Z43" s="133"/>
      <c r="AJ43" s="286"/>
      <c r="AK43" s="286"/>
      <c r="AL43" s="286"/>
      <c r="AM43" s="286"/>
      <c r="AN43" s="286"/>
    </row>
    <row r="44" spans="1:40" x14ac:dyDescent="0.25">
      <c r="A44" s="288"/>
      <c r="B44" s="305"/>
      <c r="C44" s="258"/>
      <c r="D44" s="285" t="s">
        <v>913</v>
      </c>
      <c r="E44" s="186">
        <f>E43-$D$43</f>
        <v>120.96286119020249</v>
      </c>
      <c r="F44" s="186">
        <f>F43-$D$43</f>
        <v>329.58793055779006</v>
      </c>
      <c r="G44" s="186">
        <f>G43-$D$43</f>
        <v>338.67745671005514</v>
      </c>
      <c r="H44" s="186">
        <f>H43-$D$43</f>
        <v>347.85462232341831</v>
      </c>
      <c r="I44" s="186">
        <f>I43-$D$43</f>
        <v>357.12027240069028</v>
      </c>
      <c r="J44" s="220"/>
      <c r="K44" s="220"/>
      <c r="L44" s="220"/>
      <c r="M44" s="293">
        <f>M43-$L$43</f>
        <v>20.690082562388845</v>
      </c>
      <c r="N44" s="293">
        <f t="shared" ref="N44:Q44" si="27">N43-$L$43</f>
        <v>56.311140511508846</v>
      </c>
      <c r="O44" s="293">
        <f t="shared" si="27"/>
        <v>57.376280021769382</v>
      </c>
      <c r="P44" s="293">
        <f t="shared" si="27"/>
        <v>58.451689402110098</v>
      </c>
      <c r="Q44" s="293">
        <f t="shared" si="27"/>
        <v>59.537467672640922</v>
      </c>
      <c r="R44" s="133"/>
      <c r="S44" s="133"/>
      <c r="T44" s="638"/>
      <c r="U44" s="133"/>
      <c r="V44" s="133"/>
      <c r="W44" s="133"/>
      <c r="X44" s="133"/>
      <c r="Y44" s="133"/>
      <c r="Z44" s="133"/>
      <c r="AJ44" s="286"/>
      <c r="AK44" s="286"/>
      <c r="AL44" s="286"/>
      <c r="AM44" s="286"/>
      <c r="AN44" s="286"/>
    </row>
    <row r="45" spans="1:40" x14ac:dyDescent="0.25">
      <c r="A45" s="288"/>
      <c r="B45" s="288"/>
      <c r="C45" s="288"/>
      <c r="D45" s="664"/>
      <c r="E45" s="665"/>
      <c r="F45" s="665"/>
      <c r="G45" s="665"/>
      <c r="H45" s="665"/>
      <c r="I45" s="665"/>
      <c r="J45" s="220"/>
      <c r="K45" s="220"/>
      <c r="L45" s="220"/>
      <c r="M45" s="220"/>
      <c r="N45" s="220"/>
      <c r="O45" s="220"/>
      <c r="P45" s="220"/>
      <c r="Q45" s="220"/>
      <c r="R45" s="133"/>
      <c r="S45" s="133"/>
      <c r="T45" s="133"/>
      <c r="U45" s="133"/>
      <c r="V45" s="133"/>
      <c r="W45" s="133"/>
      <c r="X45" s="133"/>
      <c r="Y45" s="133"/>
      <c r="Z45" s="133"/>
      <c r="AJ45" s="286"/>
      <c r="AK45" s="286"/>
      <c r="AL45" s="286"/>
      <c r="AM45" s="286"/>
      <c r="AN45" s="286"/>
    </row>
    <row r="46" spans="1:40" x14ac:dyDescent="0.25">
      <c r="A46" s="300"/>
      <c r="B46" s="387" t="s">
        <v>123</v>
      </c>
      <c r="C46" s="388"/>
      <c r="D46" s="388"/>
      <c r="E46" s="388"/>
      <c r="F46" s="388"/>
      <c r="G46" s="388"/>
      <c r="H46" s="388"/>
      <c r="I46" s="388"/>
      <c r="J46" s="429"/>
      <c r="K46" s="216"/>
      <c r="L46" s="216"/>
      <c r="M46" s="216"/>
      <c r="N46" s="216"/>
      <c r="O46" s="216"/>
      <c r="P46" s="216"/>
      <c r="Q46" s="216"/>
      <c r="R46" s="133"/>
      <c r="S46" s="133"/>
      <c r="T46" s="133"/>
      <c r="U46" s="133"/>
      <c r="V46" s="133"/>
      <c r="W46" s="133"/>
      <c r="X46" s="133"/>
      <c r="Y46" s="133"/>
      <c r="Z46" s="133"/>
      <c r="AJ46" s="286"/>
      <c r="AK46" s="286"/>
      <c r="AL46" s="286"/>
      <c r="AM46" s="286"/>
      <c r="AN46" s="286"/>
    </row>
    <row r="47" spans="1:40" ht="45" x14ac:dyDescent="0.25">
      <c r="A47" s="300"/>
      <c r="B47" s="319" t="s">
        <v>124</v>
      </c>
      <c r="C47" s="165" t="s">
        <v>127</v>
      </c>
      <c r="D47" s="423" t="s">
        <v>730</v>
      </c>
      <c r="E47" s="257" t="s">
        <v>50</v>
      </c>
      <c r="F47" s="257" t="s">
        <v>51</v>
      </c>
      <c r="G47" s="164" t="s">
        <v>731</v>
      </c>
      <c r="H47" s="164" t="s">
        <v>732</v>
      </c>
      <c r="I47" s="257" t="s">
        <v>733</v>
      </c>
      <c r="J47" s="429"/>
      <c r="K47" s="216"/>
      <c r="L47" s="216"/>
      <c r="M47" s="216"/>
      <c r="N47" s="216"/>
      <c r="O47" s="216"/>
      <c r="P47" s="216"/>
      <c r="Q47" s="216"/>
      <c r="R47" s="133"/>
      <c r="S47" s="133"/>
      <c r="T47" s="133"/>
      <c r="U47" s="133"/>
      <c r="V47" s="133"/>
      <c r="W47" s="133"/>
      <c r="X47" s="133"/>
      <c r="Y47" s="133"/>
      <c r="Z47" s="133"/>
      <c r="AJ47" s="286"/>
      <c r="AK47" s="286"/>
      <c r="AL47" s="286"/>
      <c r="AM47" s="286"/>
      <c r="AN47" s="286"/>
    </row>
    <row r="48" spans="1:40" x14ac:dyDescent="0.25">
      <c r="A48" s="300"/>
      <c r="B48" s="633" t="s">
        <v>1013</v>
      </c>
      <c r="C48" s="292">
        <f>'Unit costs'!O34</f>
        <v>178</v>
      </c>
      <c r="D48" s="128">
        <f>D56</f>
        <v>0</v>
      </c>
      <c r="E48" s="128">
        <f t="shared" ref="E48:I48" si="28">E56</f>
        <v>3434.362937516737</v>
      </c>
      <c r="F48" s="128">
        <f t="shared" si="28"/>
        <v>9535.5601102341989</v>
      </c>
      <c r="G48" s="128">
        <f t="shared" si="28"/>
        <v>9627.5001448777984</v>
      </c>
      <c r="H48" s="128">
        <f t="shared" si="28"/>
        <v>9720.3266476336576</v>
      </c>
      <c r="I48" s="128">
        <f t="shared" si="28"/>
        <v>9814.048165656639</v>
      </c>
      <c r="J48" s="429"/>
      <c r="K48" s="216"/>
      <c r="L48" s="216"/>
      <c r="M48" s="216"/>
      <c r="N48" s="216"/>
      <c r="O48" s="216"/>
      <c r="P48" s="216"/>
      <c r="Q48" s="216"/>
      <c r="R48" s="133"/>
      <c r="S48" s="133"/>
      <c r="T48" s="133"/>
      <c r="U48" s="133"/>
      <c r="V48" s="133"/>
      <c r="W48" s="133"/>
      <c r="X48" s="133"/>
      <c r="Y48" s="133"/>
      <c r="Z48" s="133"/>
      <c r="AJ48" s="286"/>
      <c r="AK48" s="286"/>
      <c r="AL48" s="286"/>
      <c r="AM48" s="286"/>
      <c r="AN48" s="286"/>
    </row>
    <row r="49" spans="1:40" x14ac:dyDescent="0.25">
      <c r="A49" s="300"/>
      <c r="B49" s="633" t="s">
        <v>1014</v>
      </c>
      <c r="C49" s="292">
        <f>'Unit costs'!O35</f>
        <v>356</v>
      </c>
      <c r="D49" s="128">
        <f>D57</f>
        <v>0</v>
      </c>
      <c r="E49" s="128">
        <f t="shared" ref="E49:I49" si="29">E57</f>
        <v>3434.362937516737</v>
      </c>
      <c r="F49" s="128">
        <f t="shared" si="29"/>
        <v>9535.5601102341989</v>
      </c>
      <c r="G49" s="128">
        <f t="shared" si="29"/>
        <v>9627.5001448777984</v>
      </c>
      <c r="H49" s="128">
        <f t="shared" si="29"/>
        <v>9720.3266476336576</v>
      </c>
      <c r="I49" s="128">
        <f t="shared" si="29"/>
        <v>9814.048165656639</v>
      </c>
      <c r="J49" s="429"/>
      <c r="K49" s="216"/>
      <c r="L49" s="216"/>
      <c r="M49" s="216"/>
      <c r="N49" s="216"/>
      <c r="O49" s="216"/>
      <c r="P49" s="216"/>
      <c r="Q49" s="216"/>
      <c r="R49" s="133"/>
      <c r="S49" s="133"/>
      <c r="T49" s="133"/>
      <c r="U49" s="133"/>
      <c r="V49" s="133"/>
      <c r="W49" s="133"/>
      <c r="X49" s="133"/>
      <c r="Y49" s="133"/>
      <c r="Z49" s="133"/>
      <c r="AJ49" s="286"/>
      <c r="AK49" s="286"/>
      <c r="AL49" s="286"/>
      <c r="AM49" s="286"/>
      <c r="AN49" s="286"/>
    </row>
    <row r="50" spans="1:40" x14ac:dyDescent="0.25">
      <c r="A50" s="300"/>
      <c r="B50" s="633" t="s">
        <v>1015</v>
      </c>
      <c r="C50" s="292">
        <f>'Unit costs'!O36</f>
        <v>142</v>
      </c>
      <c r="D50" s="128">
        <f>D58+D59</f>
        <v>5320.0487485440008</v>
      </c>
      <c r="E50" s="128">
        <f t="shared" ref="E50:I50" si="30">E58+E59</f>
        <v>3777.7992312684109</v>
      </c>
      <c r="F50" s="128">
        <f t="shared" si="30"/>
        <v>970.89339304202758</v>
      </c>
      <c r="G50" s="128">
        <f t="shared" si="30"/>
        <v>980.25456020573961</v>
      </c>
      <c r="H50" s="128">
        <f t="shared" si="30"/>
        <v>989.70598594088153</v>
      </c>
      <c r="I50" s="128">
        <f t="shared" si="30"/>
        <v>999.24854050322131</v>
      </c>
      <c r="J50" s="429"/>
      <c r="K50" s="216"/>
      <c r="L50" s="216"/>
      <c r="M50" s="216"/>
      <c r="N50" s="216"/>
      <c r="O50" s="216"/>
      <c r="P50" s="216"/>
      <c r="Q50" s="216"/>
      <c r="R50" s="133"/>
      <c r="S50" s="133"/>
      <c r="T50" s="133"/>
      <c r="U50" s="133"/>
      <c r="V50" s="133"/>
      <c r="W50" s="133"/>
      <c r="X50" s="133"/>
      <c r="Y50" s="133"/>
      <c r="Z50" s="133"/>
      <c r="AJ50" s="286"/>
      <c r="AK50" s="286"/>
      <c r="AL50" s="286"/>
      <c r="AM50" s="286"/>
      <c r="AN50" s="286"/>
    </row>
    <row r="51" spans="1:40" x14ac:dyDescent="0.25">
      <c r="A51" s="300"/>
      <c r="B51" s="322"/>
      <c r="C51" s="322"/>
      <c r="D51" s="186">
        <f>SUM(D48:D50)</f>
        <v>5320.0487485440008</v>
      </c>
      <c r="E51" s="186">
        <f t="shared" ref="E51:I51" si="31">SUM(E48:E50)</f>
        <v>10646.525106301884</v>
      </c>
      <c r="F51" s="186">
        <f t="shared" si="31"/>
        <v>20042.013613510426</v>
      </c>
      <c r="G51" s="186">
        <f t="shared" si="31"/>
        <v>20235.254849961337</v>
      </c>
      <c r="H51" s="186">
        <f t="shared" si="31"/>
        <v>20430.359281208195</v>
      </c>
      <c r="I51" s="186">
        <f t="shared" si="31"/>
        <v>20627.344871816498</v>
      </c>
      <c r="J51" s="429"/>
      <c r="K51" s="216"/>
      <c r="L51" s="216"/>
      <c r="M51" s="216"/>
      <c r="N51" s="216"/>
      <c r="O51" s="216"/>
      <c r="P51" s="216"/>
      <c r="Q51" s="216"/>
      <c r="R51" s="133"/>
      <c r="S51" s="133"/>
      <c r="T51" s="133"/>
      <c r="U51" s="133"/>
      <c r="V51" s="133"/>
      <c r="W51" s="133"/>
      <c r="X51" s="133"/>
      <c r="Y51" s="133"/>
      <c r="Z51" s="133"/>
      <c r="AJ51" s="286"/>
      <c r="AK51" s="286"/>
      <c r="AL51" s="286"/>
      <c r="AM51" s="286"/>
      <c r="AN51" s="286"/>
    </row>
    <row r="52" spans="1:40" x14ac:dyDescent="0.25">
      <c r="A52" s="300"/>
      <c r="B52" s="258"/>
      <c r="C52" s="258"/>
      <c r="D52" s="285" t="s">
        <v>740</v>
      </c>
      <c r="E52" s="186">
        <f>E51-D51</f>
        <v>5326.4763577578833</v>
      </c>
      <c r="F52" s="186">
        <f>F51-$D$51</f>
        <v>14721.964864966425</v>
      </c>
      <c r="G52" s="186">
        <f>G51-$D$51</f>
        <v>14915.206101417336</v>
      </c>
      <c r="H52" s="186">
        <f>H51-$D$51</f>
        <v>15110.310532664194</v>
      </c>
      <c r="I52" s="186">
        <f>I51-$D$51</f>
        <v>15307.296123272497</v>
      </c>
      <c r="J52" s="429"/>
      <c r="K52" s="216"/>
      <c r="L52" s="216"/>
      <c r="M52" s="216"/>
      <c r="N52" s="216"/>
      <c r="O52" s="216"/>
      <c r="P52" s="216"/>
      <c r="Q52" s="216"/>
      <c r="R52" s="133"/>
      <c r="S52" s="133"/>
      <c r="T52" s="133"/>
      <c r="U52" s="133"/>
      <c r="V52" s="133"/>
      <c r="W52" s="133"/>
      <c r="X52" s="133"/>
      <c r="Y52" s="133"/>
      <c r="Z52" s="133"/>
      <c r="AJ52" s="286"/>
      <c r="AK52" s="286"/>
      <c r="AL52" s="286"/>
      <c r="AM52" s="286"/>
      <c r="AN52" s="286"/>
    </row>
    <row r="53" spans="1:40" x14ac:dyDescent="0.25">
      <c r="A53" s="295"/>
      <c r="B53" s="321"/>
      <c r="C53" s="298"/>
      <c r="D53" s="297"/>
      <c r="E53" s="298"/>
      <c r="F53" s="299"/>
      <c r="G53" s="295"/>
      <c r="H53" s="295"/>
      <c r="I53" s="296"/>
      <c r="J53" s="216"/>
      <c r="K53" s="216"/>
      <c r="L53" s="216"/>
      <c r="M53" s="216"/>
      <c r="N53" s="216"/>
      <c r="O53" s="216"/>
      <c r="P53" s="216"/>
      <c r="Q53" s="216"/>
      <c r="R53" s="133"/>
      <c r="S53" s="133"/>
      <c r="T53" s="133"/>
      <c r="U53" s="133"/>
      <c r="V53" s="133"/>
      <c r="W53" s="133"/>
      <c r="X53" s="133"/>
      <c r="Y53" s="133"/>
      <c r="Z53" s="133"/>
      <c r="AJ53" s="286"/>
      <c r="AK53" s="286"/>
      <c r="AL53" s="286"/>
      <c r="AM53" s="286"/>
      <c r="AN53" s="286"/>
    </row>
    <row r="54" spans="1:40" x14ac:dyDescent="0.25">
      <c r="A54" s="300"/>
      <c r="B54" s="387" t="s">
        <v>967</v>
      </c>
      <c r="C54" s="388"/>
      <c r="D54" s="388"/>
      <c r="E54" s="388"/>
      <c r="F54" s="388"/>
      <c r="G54" s="388"/>
      <c r="H54" s="388"/>
      <c r="I54" s="388"/>
      <c r="J54" s="429"/>
      <c r="K54" s="216"/>
      <c r="L54" s="216"/>
      <c r="M54" s="216"/>
      <c r="N54" s="216"/>
      <c r="O54" s="216"/>
      <c r="P54" s="216"/>
      <c r="Q54" s="216"/>
      <c r="R54" s="133"/>
      <c r="S54" s="133"/>
      <c r="T54" s="133"/>
      <c r="U54" s="133"/>
      <c r="V54" s="133"/>
      <c r="W54" s="133"/>
      <c r="X54" s="133"/>
      <c r="Y54" s="133"/>
      <c r="Z54" s="133"/>
      <c r="AJ54" s="286"/>
      <c r="AK54" s="286"/>
      <c r="AL54" s="286"/>
      <c r="AM54" s="286"/>
      <c r="AN54" s="286"/>
    </row>
    <row r="55" spans="1:40" ht="45" x14ac:dyDescent="0.25">
      <c r="A55" s="300"/>
      <c r="B55" s="319" t="s">
        <v>124</v>
      </c>
      <c r="C55" s="165" t="s">
        <v>742</v>
      </c>
      <c r="D55" s="423" t="s">
        <v>730</v>
      </c>
      <c r="E55" s="257" t="s">
        <v>50</v>
      </c>
      <c r="F55" s="257" t="s">
        <v>51</v>
      </c>
      <c r="G55" s="164" t="s">
        <v>731</v>
      </c>
      <c r="H55" s="164" t="s">
        <v>732</v>
      </c>
      <c r="I55" s="257" t="s">
        <v>733</v>
      </c>
      <c r="J55" s="429"/>
      <c r="K55" s="216"/>
      <c r="L55" s="216"/>
      <c r="M55" s="216"/>
      <c r="N55" s="216"/>
      <c r="O55" s="216"/>
      <c r="P55" s="216"/>
      <c r="Q55" s="216"/>
      <c r="R55" s="133"/>
      <c r="V55" s="133"/>
      <c r="AJ55" s="286"/>
      <c r="AK55" s="286"/>
      <c r="AL55" s="286"/>
      <c r="AM55" s="286"/>
      <c r="AN55" s="286"/>
    </row>
    <row r="56" spans="1:40" x14ac:dyDescent="0.25">
      <c r="A56" s="300"/>
      <c r="B56" s="350" t="s">
        <v>1057</v>
      </c>
      <c r="C56" s="128">
        <f>'Unit costs'!K9</f>
        <v>5</v>
      </c>
      <c r="D56" s="128">
        <f>'Financial impact (cash)'!D14*'Capacity (local prices)'!$C$56</f>
        <v>0</v>
      </c>
      <c r="E56" s="128">
        <f>'Financial impact (cash)'!E14*'Capacity (local prices)'!$C$56</f>
        <v>3434.362937516737</v>
      </c>
      <c r="F56" s="128">
        <f>'Financial impact (cash)'!F14*'Capacity (local prices)'!$C$56</f>
        <v>9535.5601102341989</v>
      </c>
      <c r="G56" s="128">
        <f>'Financial impact (cash)'!G14*'Capacity (local prices)'!$C$56</f>
        <v>9627.5001448777984</v>
      </c>
      <c r="H56" s="128">
        <f>'Financial impact (cash)'!H14*'Capacity (local prices)'!$C$56</f>
        <v>9720.3266476336576</v>
      </c>
      <c r="I56" s="128">
        <f>'Financial impact (cash)'!I14*'Capacity (local prices)'!$C$56</f>
        <v>9814.048165656639</v>
      </c>
      <c r="J56" s="429"/>
      <c r="K56" s="216"/>
      <c r="L56" s="216"/>
      <c r="M56" s="216"/>
      <c r="N56" s="216"/>
      <c r="O56" s="216"/>
      <c r="P56" s="216"/>
      <c r="Q56" s="216"/>
      <c r="R56" s="133"/>
      <c r="V56" s="133"/>
      <c r="AJ56" s="286"/>
      <c r="AK56" s="286"/>
      <c r="AL56" s="286"/>
      <c r="AM56" s="286"/>
      <c r="AN56" s="286"/>
    </row>
    <row r="57" spans="1:40" x14ac:dyDescent="0.25">
      <c r="A57" s="300"/>
      <c r="B57" s="350" t="s">
        <v>1058</v>
      </c>
      <c r="C57" s="128">
        <f>'Unit costs'!K11</f>
        <v>5</v>
      </c>
      <c r="D57" s="128">
        <f>'Financial impact (cash)'!D14*'Capacity (local prices)'!$C$57</f>
        <v>0</v>
      </c>
      <c r="E57" s="128">
        <f>'Financial impact (cash)'!E14*'Capacity (local prices)'!$C$57</f>
        <v>3434.362937516737</v>
      </c>
      <c r="F57" s="128">
        <f>'Financial impact (cash)'!F14*'Capacity (local prices)'!$C$57</f>
        <v>9535.5601102341989</v>
      </c>
      <c r="G57" s="128">
        <f>'Financial impact (cash)'!G14*'Capacity (local prices)'!$C$57</f>
        <v>9627.5001448777984</v>
      </c>
      <c r="H57" s="128">
        <f>'Financial impact (cash)'!H14*'Capacity (local prices)'!$C$57</f>
        <v>9720.3266476336576</v>
      </c>
      <c r="I57" s="128">
        <f>'Financial impact (cash)'!I14*'Capacity (local prices)'!$C$57</f>
        <v>9814.048165656639</v>
      </c>
      <c r="J57" s="429"/>
      <c r="K57" s="216"/>
      <c r="L57" s="216"/>
      <c r="M57" s="216"/>
      <c r="N57" s="216"/>
      <c r="O57" s="216"/>
      <c r="P57" s="216"/>
      <c r="Q57" s="216"/>
      <c r="R57" s="133"/>
      <c r="V57" s="133"/>
      <c r="AJ57" s="286"/>
      <c r="AK57" s="286"/>
      <c r="AL57" s="286"/>
      <c r="AM57" s="286"/>
      <c r="AN57" s="286"/>
    </row>
    <row r="58" spans="1:40" x14ac:dyDescent="0.25">
      <c r="A58" s="300"/>
      <c r="B58" s="350" t="s">
        <v>1059</v>
      </c>
      <c r="C58" s="128">
        <f>'Unit costs'!K22</f>
        <v>2</v>
      </c>
      <c r="D58" s="128">
        <f>'Financial impact (cash)'!D15*'Capacity (local prices)'!$C$58</f>
        <v>2653.2212428800003</v>
      </c>
      <c r="E58" s="128">
        <f>'Financial impact (cash)'!E15*'Capacity (local prices)'!$C$58</f>
        <v>1854.555986259038</v>
      </c>
      <c r="F58" s="128">
        <f>'Financial impact (cash)'!F15*'Capacity (local prices)'!$C$58</f>
        <v>485.44669652101379</v>
      </c>
      <c r="G58" s="128">
        <f>'Financial impact (cash)'!G15*'Capacity (local prices)'!$C$58</f>
        <v>490.1272801028698</v>
      </c>
      <c r="H58" s="128">
        <f>'Financial impact (cash)'!H15*'Capacity (local prices)'!$C$58</f>
        <v>494.85299297044077</v>
      </c>
      <c r="I58" s="128">
        <f>'Financial impact (cash)'!I15*'Capacity (local prices)'!$C$58</f>
        <v>499.62427025161065</v>
      </c>
      <c r="J58" s="429"/>
      <c r="K58" s="216"/>
      <c r="L58" s="216"/>
      <c r="M58" s="216"/>
      <c r="N58" s="216"/>
      <c r="O58" s="216"/>
      <c r="P58" s="216"/>
      <c r="Q58" s="216"/>
      <c r="R58" s="133"/>
      <c r="V58" s="133"/>
      <c r="AJ58" s="286"/>
      <c r="AK58" s="286"/>
      <c r="AL58" s="286"/>
      <c r="AM58" s="286"/>
      <c r="AN58" s="286"/>
    </row>
    <row r="59" spans="1:40" x14ac:dyDescent="0.25">
      <c r="A59" s="300"/>
      <c r="B59" s="349" t="s">
        <v>1060</v>
      </c>
      <c r="C59" s="128">
        <f>'Unit costs'!K26</f>
        <v>2.8</v>
      </c>
      <c r="D59" s="128">
        <f>'Financial impact (cash)'!D16*'Capacity (local prices)'!$C$59</f>
        <v>2666.8275056640005</v>
      </c>
      <c r="E59" s="128">
        <f>'Financial impact (cash)'!E16*'Capacity (local prices)'!$C$59</f>
        <v>1923.2432450093727</v>
      </c>
      <c r="F59" s="128">
        <f>'Financial impact (cash)'!F16*'Capacity (local prices)'!$C$59</f>
        <v>485.44669652101379</v>
      </c>
      <c r="G59" s="128">
        <f>'Financial impact (cash)'!G16*'Capacity (local prices)'!$C$59</f>
        <v>490.12728010286975</v>
      </c>
      <c r="H59" s="128">
        <f>'Financial impact (cash)'!H16*'Capacity (local prices)'!$C$59</f>
        <v>494.85299297044077</v>
      </c>
      <c r="I59" s="128">
        <f>'Financial impact (cash)'!I16*'Capacity (local prices)'!$C$59</f>
        <v>499.62427025161065</v>
      </c>
      <c r="J59" s="429"/>
      <c r="K59" s="216"/>
      <c r="L59" s="216"/>
      <c r="M59" s="216"/>
      <c r="N59" s="216"/>
      <c r="O59" s="216"/>
      <c r="P59" s="216"/>
      <c r="Q59" s="216"/>
      <c r="R59" s="133"/>
      <c r="V59" s="133"/>
      <c r="AJ59" s="286"/>
      <c r="AK59" s="286"/>
      <c r="AL59" s="286"/>
      <c r="AM59" s="286"/>
      <c r="AN59" s="286"/>
    </row>
    <row r="60" spans="1:40" x14ac:dyDescent="0.25">
      <c r="A60" s="300"/>
      <c r="B60" s="322"/>
      <c r="C60" s="322"/>
      <c r="D60" s="186">
        <f t="shared" ref="D60:I60" si="32">SUM(D56:D59)</f>
        <v>5320.0487485440008</v>
      </c>
      <c r="E60" s="186">
        <f>SUM(E56:E59)</f>
        <v>10646.525106301884</v>
      </c>
      <c r="F60" s="186">
        <f t="shared" si="32"/>
        <v>20042.013613510422</v>
      </c>
      <c r="G60" s="186">
        <f t="shared" si="32"/>
        <v>20235.254849961333</v>
      </c>
      <c r="H60" s="186">
        <f t="shared" si="32"/>
        <v>20430.359281208199</v>
      </c>
      <c r="I60" s="186">
        <f t="shared" si="32"/>
        <v>20627.344871816498</v>
      </c>
      <c r="J60" s="295"/>
      <c r="K60" s="295"/>
      <c r="L60" s="295"/>
      <c r="M60" s="295"/>
      <c r="N60" s="295"/>
      <c r="O60" s="295"/>
      <c r="P60" s="295"/>
      <c r="Q60" s="295"/>
      <c r="R60" s="133"/>
      <c r="V60" s="133"/>
      <c r="AJ60" s="286"/>
      <c r="AK60" s="286"/>
      <c r="AL60" s="286"/>
      <c r="AM60" s="286"/>
      <c r="AN60" s="286"/>
    </row>
    <row r="61" spans="1:40" x14ac:dyDescent="0.25">
      <c r="A61" s="300"/>
      <c r="B61" s="258"/>
      <c r="C61" s="258"/>
      <c r="D61" s="285" t="s">
        <v>743</v>
      </c>
      <c r="E61" s="186">
        <f>E60-$D$60</f>
        <v>5326.4763577578833</v>
      </c>
      <c r="F61" s="186">
        <f>F60-$D$60</f>
        <v>14721.964864966421</v>
      </c>
      <c r="G61" s="186">
        <f>G60-$D$60</f>
        <v>14915.206101417332</v>
      </c>
      <c r="H61" s="186">
        <f>H60-$D$60</f>
        <v>15110.310532664198</v>
      </c>
      <c r="I61" s="186">
        <f>I60-$D$60</f>
        <v>15307.296123272497</v>
      </c>
      <c r="J61" s="295"/>
      <c r="K61" s="295"/>
      <c r="L61" s="295"/>
      <c r="M61" s="295"/>
      <c r="N61" s="295"/>
      <c r="O61" s="295"/>
      <c r="P61" s="295"/>
      <c r="Q61" s="295"/>
      <c r="R61" s="133"/>
      <c r="S61" s="133"/>
      <c r="T61" s="133"/>
      <c r="U61" s="133"/>
      <c r="V61" s="133"/>
      <c r="W61" s="133"/>
      <c r="X61" s="133"/>
      <c r="Y61" s="133"/>
      <c r="Z61" s="133"/>
      <c r="AJ61" s="286"/>
      <c r="AK61" s="286"/>
      <c r="AL61" s="286"/>
      <c r="AM61" s="286"/>
      <c r="AN61" s="286"/>
    </row>
    <row r="62" spans="1:40" x14ac:dyDescent="0.25">
      <c r="A62" s="295"/>
      <c r="B62" s="321"/>
      <c r="C62" s="298"/>
      <c r="D62" s="298"/>
      <c r="E62" s="299"/>
      <c r="F62" s="295"/>
      <c r="G62" s="295"/>
      <c r="H62" s="216"/>
      <c r="I62" s="216"/>
      <c r="J62" s="216"/>
      <c r="K62" s="216"/>
      <c r="L62" s="216"/>
      <c r="M62" s="216"/>
      <c r="N62" s="216"/>
      <c r="O62" s="216"/>
      <c r="P62" s="216"/>
      <c r="Q62" s="216"/>
      <c r="R62" s="133"/>
      <c r="S62" s="133"/>
      <c r="T62" s="133"/>
      <c r="U62" s="133"/>
      <c r="V62" s="133"/>
      <c r="W62" s="133"/>
      <c r="X62" s="133"/>
      <c r="Y62" s="133"/>
      <c r="Z62" s="133"/>
      <c r="AJ62" s="286"/>
      <c r="AK62" s="286"/>
      <c r="AL62" s="286"/>
      <c r="AM62" s="286"/>
      <c r="AN62" s="286"/>
    </row>
    <row r="63" spans="1:40" x14ac:dyDescent="0.25">
      <c r="A63" s="287"/>
      <c r="B63" s="323" t="s">
        <v>744</v>
      </c>
      <c r="C63" s="301"/>
      <c r="D63" s="301"/>
      <c r="E63" s="302"/>
      <c r="F63" s="303"/>
      <c r="G63" s="304"/>
      <c r="H63" s="304"/>
      <c r="I63" s="304"/>
      <c r="J63" s="434"/>
      <c r="K63" s="287"/>
      <c r="L63" s="287"/>
      <c r="M63" s="287"/>
      <c r="N63" s="287"/>
      <c r="O63" s="287"/>
      <c r="P63" s="287"/>
      <c r="Q63" s="218"/>
      <c r="R63" s="133"/>
      <c r="V63" s="133"/>
    </row>
    <row r="64" spans="1:40" x14ac:dyDescent="0.25">
      <c r="A64" s="287"/>
      <c r="B64" s="389" t="s">
        <v>745</v>
      </c>
      <c r="C64" s="390"/>
      <c r="D64" s="390"/>
      <c r="E64" s="390"/>
      <c r="F64" s="390"/>
      <c r="G64" s="390"/>
      <c r="H64" s="390"/>
      <c r="I64" s="217"/>
      <c r="J64" s="431"/>
      <c r="K64" s="218"/>
      <c r="L64" s="430"/>
      <c r="M64" s="430"/>
      <c r="N64" s="430"/>
      <c r="O64" s="430"/>
      <c r="P64" s="430"/>
      <c r="Q64" s="430"/>
      <c r="R64" s="133"/>
      <c r="V64" s="133"/>
    </row>
    <row r="65" spans="1:40" ht="74.45" customHeight="1" x14ac:dyDescent="0.25">
      <c r="A65" s="287"/>
      <c r="B65" s="282" t="s">
        <v>124</v>
      </c>
      <c r="C65" s="165" t="s">
        <v>746</v>
      </c>
      <c r="D65" s="423" t="s">
        <v>730</v>
      </c>
      <c r="E65" s="257" t="s">
        <v>50</v>
      </c>
      <c r="F65" s="257" t="s">
        <v>51</v>
      </c>
      <c r="G65" s="164" t="s">
        <v>731</v>
      </c>
      <c r="H65" s="164" t="s">
        <v>732</v>
      </c>
      <c r="I65" s="257" t="s">
        <v>733</v>
      </c>
      <c r="J65" s="287"/>
      <c r="K65" s="670" t="s">
        <v>929</v>
      </c>
      <c r="L65" s="423" t="s">
        <v>730</v>
      </c>
      <c r="M65" s="532" t="s">
        <v>50</v>
      </c>
      <c r="N65" s="532" t="s">
        <v>51</v>
      </c>
      <c r="O65" s="424" t="s">
        <v>731</v>
      </c>
      <c r="P65" s="424" t="s">
        <v>732</v>
      </c>
      <c r="Q65" s="532" t="s">
        <v>733</v>
      </c>
      <c r="R65" s="133"/>
      <c r="V65" s="133"/>
    </row>
    <row r="66" spans="1:40" x14ac:dyDescent="0.25">
      <c r="A66" s="287"/>
      <c r="B66" s="350" t="s">
        <v>1052</v>
      </c>
      <c r="C66" s="149">
        <f>'Inputs and eligible population'!F87</f>
        <v>39</v>
      </c>
      <c r="D66" s="128">
        <f>((D56+D57)*$C$66)/60</f>
        <v>0</v>
      </c>
      <c r="E66" s="128">
        <f t="shared" ref="E66:I66" si="33">((E56+E57)*$C$66)/60</f>
        <v>4464.6718187717588</v>
      </c>
      <c r="F66" s="128">
        <f t="shared" si="33"/>
        <v>12396.228143304459</v>
      </c>
      <c r="G66" s="128">
        <f t="shared" si="33"/>
        <v>12515.750188341137</v>
      </c>
      <c r="H66" s="128">
        <f t="shared" si="33"/>
        <v>12636.424641923753</v>
      </c>
      <c r="I66" s="128">
        <f t="shared" si="33"/>
        <v>12758.262615353631</v>
      </c>
      <c r="J66" s="287"/>
      <c r="K66" s="671">
        <f>'Inputs and eligible population'!$N$87</f>
        <v>42.15</v>
      </c>
      <c r="L66" s="292">
        <f>(D66*'Inputs and eligible population'!$N$87)/1000</f>
        <v>0</v>
      </c>
      <c r="M66" s="292">
        <f>(E66*'Inputs and eligible population'!$N$87)/1000</f>
        <v>188.18591716122961</v>
      </c>
      <c r="N66" s="292">
        <f>(F66*'Inputs and eligible population'!$N$87)/1000</f>
        <v>522.50101624028287</v>
      </c>
      <c r="O66" s="292">
        <f>(G66*'Inputs and eligible population'!$N$87)/1000</f>
        <v>527.5388704385789</v>
      </c>
      <c r="P66" s="292">
        <f>(H66*'Inputs and eligible population'!$N$87)/1000</f>
        <v>532.6252986570862</v>
      </c>
      <c r="Q66" s="292">
        <f>(I66*'Inputs and eligible population'!$N$87)/1000</f>
        <v>537.76076923715561</v>
      </c>
      <c r="S66" s="133"/>
      <c r="T66" s="133"/>
      <c r="U66" s="133"/>
      <c r="V66" s="133"/>
      <c r="W66" s="133"/>
      <c r="X66" s="133"/>
      <c r="Y66" s="133"/>
      <c r="Z66" s="133"/>
      <c r="AJ66" s="286"/>
      <c r="AK66" s="286"/>
      <c r="AL66" s="286"/>
      <c r="AM66" s="286"/>
      <c r="AN66" s="286"/>
    </row>
    <row r="67" spans="1:40" x14ac:dyDescent="0.25">
      <c r="A67" s="287"/>
      <c r="B67" s="350" t="s">
        <v>1053</v>
      </c>
      <c r="C67" s="149">
        <f>'Inputs and eligible population'!G87</f>
        <v>0</v>
      </c>
      <c r="D67" s="128">
        <f>(D58*$C$67)/60</f>
        <v>0</v>
      </c>
      <c r="E67" s="128">
        <f t="shared" ref="E67:I67" si="34">(E58*$C$67)/60</f>
        <v>0</v>
      </c>
      <c r="F67" s="128">
        <f t="shared" si="34"/>
        <v>0</v>
      </c>
      <c r="G67" s="128">
        <f t="shared" si="34"/>
        <v>0</v>
      </c>
      <c r="H67" s="128">
        <f t="shared" si="34"/>
        <v>0</v>
      </c>
      <c r="I67" s="128">
        <f t="shared" si="34"/>
        <v>0</v>
      </c>
      <c r="J67" s="287"/>
      <c r="K67" s="671">
        <f>'Inputs and eligible population'!$N$87</f>
        <v>42.15</v>
      </c>
      <c r="L67" s="292">
        <f>(D67*'Inputs and eligible population'!$N$87)/1000</f>
        <v>0</v>
      </c>
      <c r="M67" s="292">
        <f>(E67*'Inputs and eligible population'!$N$87)/1000</f>
        <v>0</v>
      </c>
      <c r="N67" s="292">
        <f>(F67*'Inputs and eligible population'!$N$87)/1000</f>
        <v>0</v>
      </c>
      <c r="O67" s="292">
        <f>(G67*'Inputs and eligible population'!$N$87)/1000</f>
        <v>0</v>
      </c>
      <c r="P67" s="292">
        <f>(H67*'Inputs and eligible population'!$N$87)/1000</f>
        <v>0</v>
      </c>
      <c r="Q67" s="292">
        <f>(I67*'Inputs and eligible population'!$N$87)/1000</f>
        <v>0</v>
      </c>
      <c r="S67" s="133"/>
      <c r="T67" s="133"/>
      <c r="U67" s="133"/>
      <c r="V67" s="133"/>
      <c r="W67" s="133"/>
      <c r="X67" s="133"/>
      <c r="Y67" s="133"/>
      <c r="Z67" s="133"/>
      <c r="AJ67" s="286"/>
      <c r="AK67" s="286"/>
      <c r="AL67" s="286"/>
      <c r="AM67" s="286"/>
      <c r="AN67" s="286"/>
    </row>
    <row r="68" spans="1:40" ht="15.95" customHeight="1" x14ac:dyDescent="0.25">
      <c r="A68" s="287"/>
      <c r="B68" s="350" t="s">
        <v>1054</v>
      </c>
      <c r="C68" s="149">
        <f>'Inputs and eligible population'!H87</f>
        <v>0</v>
      </c>
      <c r="D68" s="128">
        <f>(D59*$C$68)/60</f>
        <v>0</v>
      </c>
      <c r="E68" s="128">
        <f>(E59*$C$68)/60</f>
        <v>0</v>
      </c>
      <c r="F68" s="128">
        <f t="shared" ref="F68:I68" si="35">(F59*$C$68)/60</f>
        <v>0</v>
      </c>
      <c r="G68" s="128">
        <f t="shared" si="35"/>
        <v>0</v>
      </c>
      <c r="H68" s="128">
        <f t="shared" si="35"/>
        <v>0</v>
      </c>
      <c r="I68" s="128">
        <f t="shared" si="35"/>
        <v>0</v>
      </c>
      <c r="J68" s="287"/>
      <c r="K68" s="671">
        <f>'Inputs and eligible population'!$N$87</f>
        <v>42.15</v>
      </c>
      <c r="L68" s="292">
        <f>(D68*'Inputs and eligible population'!$N$87)/1000</f>
        <v>0</v>
      </c>
      <c r="M68" s="292">
        <f>(E68*'Inputs and eligible population'!$N$87)/1000</f>
        <v>0</v>
      </c>
      <c r="N68" s="292">
        <f>(F68*'Inputs and eligible population'!$N$87)/1000</f>
        <v>0</v>
      </c>
      <c r="O68" s="292">
        <f>(G68*'Inputs and eligible population'!$N$87)/1000</f>
        <v>0</v>
      </c>
      <c r="P68" s="292">
        <f>(H68*'Inputs and eligible population'!$N$87)/1000</f>
        <v>0</v>
      </c>
      <c r="Q68" s="292">
        <f>(I68*'Inputs and eligible population'!$N$87)/1000</f>
        <v>0</v>
      </c>
      <c r="S68" s="133"/>
      <c r="T68" s="133"/>
      <c r="U68" s="133"/>
      <c r="V68" s="133"/>
      <c r="W68" s="133"/>
      <c r="X68" s="133"/>
      <c r="Y68" s="133"/>
      <c r="Z68" s="133"/>
      <c r="AJ68" s="286"/>
      <c r="AK68" s="286"/>
      <c r="AL68" s="286"/>
      <c r="AM68" s="286"/>
      <c r="AN68" s="286"/>
    </row>
    <row r="69" spans="1:40" x14ac:dyDescent="0.25">
      <c r="A69" s="287"/>
      <c r="B69" s="283" t="s">
        <v>747</v>
      </c>
      <c r="C69" s="322"/>
      <c r="D69" s="186">
        <f t="shared" ref="D69:I69" si="36">SUM(D66:D68)</f>
        <v>0</v>
      </c>
      <c r="E69" s="186">
        <f t="shared" si="36"/>
        <v>4464.6718187717588</v>
      </c>
      <c r="F69" s="186">
        <f t="shared" si="36"/>
        <v>12396.228143304459</v>
      </c>
      <c r="G69" s="186">
        <f t="shared" si="36"/>
        <v>12515.750188341137</v>
      </c>
      <c r="H69" s="186">
        <f t="shared" si="36"/>
        <v>12636.424641923753</v>
      </c>
      <c r="I69" s="186">
        <f t="shared" si="36"/>
        <v>12758.262615353631</v>
      </c>
      <c r="J69" s="287"/>
      <c r="K69" s="287"/>
      <c r="L69" s="293">
        <f t="shared" ref="L69:Q69" si="37">SUM(L66:L68)</f>
        <v>0</v>
      </c>
      <c r="M69" s="293">
        <f t="shared" si="37"/>
        <v>188.18591716122961</v>
      </c>
      <c r="N69" s="293">
        <f t="shared" si="37"/>
        <v>522.50101624028287</v>
      </c>
      <c r="O69" s="293">
        <f t="shared" si="37"/>
        <v>527.5388704385789</v>
      </c>
      <c r="P69" s="293">
        <f t="shared" si="37"/>
        <v>532.6252986570862</v>
      </c>
      <c r="Q69" s="293">
        <f t="shared" si="37"/>
        <v>537.76076923715561</v>
      </c>
      <c r="S69" s="133"/>
      <c r="T69" s="133"/>
      <c r="U69" s="133"/>
      <c r="V69" s="133"/>
      <c r="W69" s="133"/>
      <c r="X69" s="133"/>
      <c r="Y69" s="133"/>
      <c r="Z69" s="133"/>
      <c r="AJ69" s="286"/>
      <c r="AK69" s="286"/>
      <c r="AL69" s="286"/>
      <c r="AM69" s="286"/>
      <c r="AN69" s="286"/>
    </row>
    <row r="70" spans="1:40" x14ac:dyDescent="0.25">
      <c r="A70" s="287"/>
      <c r="B70" s="305"/>
      <c r="C70" s="258"/>
      <c r="D70" s="285" t="s">
        <v>748</v>
      </c>
      <c r="E70" s="186">
        <f>E69-$D$69</f>
        <v>4464.6718187717588</v>
      </c>
      <c r="F70" s="186">
        <f>F69-$D$69</f>
        <v>12396.228143304459</v>
      </c>
      <c r="G70" s="186">
        <f>G69-$D$69</f>
        <v>12515.750188341137</v>
      </c>
      <c r="H70" s="186">
        <f>H69-$D$69</f>
        <v>12636.424641923753</v>
      </c>
      <c r="I70" s="186">
        <f>I69-$D$69</f>
        <v>12758.262615353631</v>
      </c>
      <c r="J70" s="287"/>
      <c r="K70" s="287"/>
      <c r="L70" s="533"/>
      <c r="M70" s="293">
        <f>M69-$L$69</f>
        <v>188.18591716122961</v>
      </c>
      <c r="N70" s="293">
        <f>N69-$L$69</f>
        <v>522.50101624028287</v>
      </c>
      <c r="O70" s="293">
        <f>O69-$L$69</f>
        <v>527.5388704385789</v>
      </c>
      <c r="P70" s="293">
        <f>P69-$L$69</f>
        <v>532.6252986570862</v>
      </c>
      <c r="Q70" s="293">
        <f>Q69-$L$69</f>
        <v>537.76076923715561</v>
      </c>
      <c r="S70" s="133"/>
      <c r="T70" s="133"/>
      <c r="U70" s="133"/>
      <c r="V70" s="133"/>
      <c r="W70" s="133"/>
      <c r="X70" s="133"/>
      <c r="Y70" s="133"/>
      <c r="Z70" s="133"/>
      <c r="AJ70" s="286"/>
      <c r="AK70" s="286"/>
      <c r="AL70" s="286"/>
      <c r="AM70" s="286"/>
      <c r="AN70" s="286"/>
    </row>
    <row r="71" spans="1:40" x14ac:dyDescent="0.25">
      <c r="A71" s="287"/>
      <c r="B71" s="324"/>
      <c r="C71" s="218"/>
      <c r="D71" s="218"/>
      <c r="E71" s="218"/>
      <c r="F71" s="218"/>
      <c r="G71" s="218"/>
      <c r="H71" s="218"/>
      <c r="I71" s="218"/>
      <c r="J71" s="218"/>
      <c r="K71" s="218"/>
      <c r="L71" s="218"/>
      <c r="M71" s="218"/>
      <c r="N71" s="218"/>
      <c r="O71" s="218"/>
      <c r="P71" s="218"/>
      <c r="Q71" s="218"/>
      <c r="S71" s="133"/>
      <c r="T71" s="133"/>
      <c r="U71" s="133"/>
      <c r="V71" s="133"/>
      <c r="W71" s="133"/>
      <c r="X71" s="133"/>
      <c r="Y71" s="133"/>
      <c r="Z71" s="133"/>
      <c r="AJ71" s="286"/>
      <c r="AK71" s="286"/>
      <c r="AL71" s="286"/>
      <c r="AM71" s="286"/>
      <c r="AN71" s="286"/>
    </row>
    <row r="72" spans="1:40" x14ac:dyDescent="0.25">
      <c r="A72" s="287"/>
      <c r="B72" s="391" t="s">
        <v>749</v>
      </c>
      <c r="C72" s="390"/>
      <c r="D72" s="390"/>
      <c r="E72" s="390"/>
      <c r="F72" s="390"/>
      <c r="G72" s="390"/>
      <c r="H72" s="390"/>
      <c r="I72" s="217"/>
      <c r="J72" s="431"/>
      <c r="K72" s="218"/>
      <c r="L72" s="430"/>
      <c r="M72" s="430"/>
      <c r="N72" s="430"/>
      <c r="O72" s="430"/>
      <c r="P72" s="430"/>
      <c r="Q72" s="430"/>
      <c r="S72" s="133"/>
      <c r="T72" s="133"/>
      <c r="U72" s="133"/>
      <c r="V72" s="133"/>
      <c r="W72" s="133"/>
      <c r="X72" s="133"/>
      <c r="Y72" s="133"/>
      <c r="Z72" s="133"/>
      <c r="AJ72" s="286"/>
      <c r="AK72" s="286"/>
      <c r="AL72" s="286"/>
      <c r="AM72" s="286"/>
      <c r="AN72" s="286"/>
    </row>
    <row r="73" spans="1:40" ht="75" x14ac:dyDescent="0.25">
      <c r="A73" s="287"/>
      <c r="B73" s="282" t="s">
        <v>124</v>
      </c>
      <c r="C73" s="165" t="s">
        <v>88</v>
      </c>
      <c r="D73" s="423" t="s">
        <v>730</v>
      </c>
      <c r="E73" s="257" t="s">
        <v>50</v>
      </c>
      <c r="F73" s="257" t="s">
        <v>51</v>
      </c>
      <c r="G73" s="164" t="s">
        <v>731</v>
      </c>
      <c r="H73" s="164" t="s">
        <v>732</v>
      </c>
      <c r="I73" s="257" t="s">
        <v>733</v>
      </c>
      <c r="J73" s="287"/>
      <c r="K73" s="670" t="s">
        <v>929</v>
      </c>
      <c r="L73" s="423" t="s">
        <v>730</v>
      </c>
      <c r="M73" s="257" t="s">
        <v>50</v>
      </c>
      <c r="N73" s="257" t="s">
        <v>51</v>
      </c>
      <c r="O73" s="164" t="s">
        <v>731</v>
      </c>
      <c r="P73" s="164" t="s">
        <v>732</v>
      </c>
      <c r="Q73" s="257" t="s">
        <v>733</v>
      </c>
      <c r="S73" s="133"/>
      <c r="T73" s="133"/>
      <c r="U73" s="133"/>
      <c r="V73" s="133"/>
      <c r="W73" s="133"/>
      <c r="X73" s="133"/>
      <c r="Y73" s="133"/>
      <c r="Z73" s="133"/>
      <c r="AJ73" s="286"/>
      <c r="AK73" s="286"/>
      <c r="AL73" s="286"/>
      <c r="AM73" s="286"/>
      <c r="AN73" s="286"/>
    </row>
    <row r="74" spans="1:40" x14ac:dyDescent="0.25">
      <c r="A74" s="287"/>
      <c r="B74" s="350" t="s">
        <v>1052</v>
      </c>
      <c r="C74" s="149">
        <f>'Inputs and eligible population'!F88</f>
        <v>30</v>
      </c>
      <c r="D74" s="128">
        <f>((D56+D57)*$C$74)/60</f>
        <v>0</v>
      </c>
      <c r="E74" s="128">
        <f t="shared" ref="E74:I74" si="38">((E56+E57)*$C$74)/60</f>
        <v>3434.362937516737</v>
      </c>
      <c r="F74" s="128">
        <f t="shared" si="38"/>
        <v>9535.5601102341989</v>
      </c>
      <c r="G74" s="128">
        <f t="shared" si="38"/>
        <v>9627.5001448777984</v>
      </c>
      <c r="H74" s="128">
        <f t="shared" si="38"/>
        <v>9720.3266476336576</v>
      </c>
      <c r="I74" s="128">
        <f t="shared" si="38"/>
        <v>9814.048165656639</v>
      </c>
      <c r="J74" s="287"/>
      <c r="K74" s="671">
        <f>'Inputs and eligible population'!$N$88</f>
        <v>42.15</v>
      </c>
      <c r="L74" s="292">
        <f>(D74*'Inputs and eligible population'!$N$88)/1000</f>
        <v>0</v>
      </c>
      <c r="M74" s="292">
        <f>(E74*'Inputs and eligible population'!$N$88)/1000</f>
        <v>144.75839781633044</v>
      </c>
      <c r="N74" s="292">
        <f>(F74*'Inputs and eligible population'!$N$88)/1000</f>
        <v>401.92385864637146</v>
      </c>
      <c r="O74" s="292">
        <f>(G74*'Inputs and eligible population'!$N$88)/1000</f>
        <v>405.79913110659919</v>
      </c>
      <c r="P74" s="292">
        <f>(H74*'Inputs and eligible population'!$N$88)/1000</f>
        <v>409.71176819775866</v>
      </c>
      <c r="Q74" s="292">
        <f>(I74*'Inputs and eligible population'!$N$88)/1000</f>
        <v>413.66213018242729</v>
      </c>
      <c r="S74" s="133"/>
      <c r="T74" s="133"/>
      <c r="U74" s="133"/>
      <c r="V74" s="133"/>
      <c r="W74" s="133"/>
      <c r="X74" s="133"/>
      <c r="Y74" s="133"/>
      <c r="Z74" s="133"/>
      <c r="AJ74" s="286"/>
      <c r="AK74" s="286"/>
      <c r="AL74" s="286"/>
      <c r="AM74" s="286"/>
      <c r="AN74" s="286"/>
    </row>
    <row r="75" spans="1:40" x14ac:dyDescent="0.25">
      <c r="A75" s="287"/>
      <c r="B75" s="350" t="s">
        <v>1053</v>
      </c>
      <c r="C75" s="149">
        <f>'Inputs and eligible population'!G88</f>
        <v>0</v>
      </c>
      <c r="D75" s="128">
        <f>(D58*$C$75)/60</f>
        <v>0</v>
      </c>
      <c r="E75" s="128">
        <f t="shared" ref="E75:I75" si="39">(E58*$C$75)/60</f>
        <v>0</v>
      </c>
      <c r="F75" s="128">
        <f t="shared" si="39"/>
        <v>0</v>
      </c>
      <c r="G75" s="128">
        <f t="shared" si="39"/>
        <v>0</v>
      </c>
      <c r="H75" s="128">
        <f t="shared" si="39"/>
        <v>0</v>
      </c>
      <c r="I75" s="128">
        <f t="shared" si="39"/>
        <v>0</v>
      </c>
      <c r="J75" s="287"/>
      <c r="K75" s="671">
        <f>'Inputs and eligible population'!$N$88</f>
        <v>42.15</v>
      </c>
      <c r="L75" s="292">
        <f>(D75*'Inputs and eligible population'!$N$88)/1000</f>
        <v>0</v>
      </c>
      <c r="M75" s="292">
        <f>(E75*'Inputs and eligible population'!$N$88)/1000</f>
        <v>0</v>
      </c>
      <c r="N75" s="292">
        <f>(F75*'Inputs and eligible population'!$N$88)/1000</f>
        <v>0</v>
      </c>
      <c r="O75" s="292">
        <f>(G75*'Inputs and eligible population'!$N$88)/1000</f>
        <v>0</v>
      </c>
      <c r="P75" s="292">
        <f>(H75*'Inputs and eligible population'!$N$88)/1000</f>
        <v>0</v>
      </c>
      <c r="Q75" s="292">
        <f>(I75*'Inputs and eligible population'!$N$88)/1000</f>
        <v>0</v>
      </c>
      <c r="S75" s="133"/>
      <c r="T75" s="133"/>
      <c r="U75" s="133"/>
      <c r="V75" s="133"/>
      <c r="W75" s="133"/>
      <c r="X75" s="133"/>
      <c r="Y75" s="133"/>
      <c r="Z75" s="133"/>
      <c r="AJ75" s="286"/>
      <c r="AK75" s="286"/>
      <c r="AL75" s="286"/>
      <c r="AM75" s="286"/>
      <c r="AN75" s="286"/>
    </row>
    <row r="76" spans="1:40" x14ac:dyDescent="0.25">
      <c r="A76" s="287"/>
      <c r="B76" s="350" t="s">
        <v>1054</v>
      </c>
      <c r="C76" s="149">
        <f>'Inputs and eligible population'!H88</f>
        <v>0</v>
      </c>
      <c r="D76" s="128">
        <f>(D59*$C$76)/60</f>
        <v>0</v>
      </c>
      <c r="E76" s="128">
        <f t="shared" ref="E76:I76" si="40">(E59*$C$76)/60</f>
        <v>0</v>
      </c>
      <c r="F76" s="128">
        <f t="shared" si="40"/>
        <v>0</v>
      </c>
      <c r="G76" s="128">
        <f t="shared" si="40"/>
        <v>0</v>
      </c>
      <c r="H76" s="128">
        <f t="shared" si="40"/>
        <v>0</v>
      </c>
      <c r="I76" s="128">
        <f t="shared" si="40"/>
        <v>0</v>
      </c>
      <c r="J76" s="287"/>
      <c r="K76" s="671">
        <f>'Inputs and eligible population'!$N$88</f>
        <v>42.15</v>
      </c>
      <c r="L76" s="292">
        <f>(D76*'Inputs and eligible population'!$N$88)/1000</f>
        <v>0</v>
      </c>
      <c r="M76" s="292">
        <f>(E76*'Inputs and eligible population'!$N$88)/1000</f>
        <v>0</v>
      </c>
      <c r="N76" s="292">
        <f>(F76*'Inputs and eligible population'!$N$88)/1000</f>
        <v>0</v>
      </c>
      <c r="O76" s="292">
        <f>(G76*'Inputs and eligible population'!$N$88)/1000</f>
        <v>0</v>
      </c>
      <c r="P76" s="292">
        <f>(H76*'Inputs and eligible population'!$N$88)/1000</f>
        <v>0</v>
      </c>
      <c r="Q76" s="292">
        <f>(I76*'Inputs and eligible population'!$N$88)/1000</f>
        <v>0</v>
      </c>
      <c r="S76" s="133"/>
      <c r="T76" s="133"/>
      <c r="U76" s="133"/>
      <c r="V76" s="133"/>
      <c r="W76" s="133"/>
      <c r="X76" s="133"/>
      <c r="Y76" s="133"/>
      <c r="Z76" s="133"/>
      <c r="AJ76" s="286"/>
      <c r="AK76" s="286"/>
      <c r="AL76" s="286"/>
      <c r="AM76" s="286"/>
      <c r="AN76" s="286"/>
    </row>
    <row r="77" spans="1:40" x14ac:dyDescent="0.25">
      <c r="A77" s="287"/>
      <c r="B77" s="283"/>
      <c r="C77" s="283"/>
      <c r="D77" s="186">
        <f t="shared" ref="D77:I77" si="41">SUM(D74:D76)</f>
        <v>0</v>
      </c>
      <c r="E77" s="186">
        <f t="shared" si="41"/>
        <v>3434.362937516737</v>
      </c>
      <c r="F77" s="186">
        <f t="shared" si="41"/>
        <v>9535.5601102341989</v>
      </c>
      <c r="G77" s="186">
        <f t="shared" si="41"/>
        <v>9627.5001448777984</v>
      </c>
      <c r="H77" s="186">
        <f t="shared" si="41"/>
        <v>9720.3266476336576</v>
      </c>
      <c r="I77" s="186">
        <f t="shared" si="41"/>
        <v>9814.048165656639</v>
      </c>
      <c r="J77" s="287"/>
      <c r="K77" s="287"/>
      <c r="L77" s="293">
        <f t="shared" ref="L77:Q77" si="42">SUM(L74:L76)</f>
        <v>0</v>
      </c>
      <c r="M77" s="293">
        <f t="shared" si="42"/>
        <v>144.75839781633044</v>
      </c>
      <c r="N77" s="293">
        <f t="shared" si="42"/>
        <v>401.92385864637146</v>
      </c>
      <c r="O77" s="293">
        <f t="shared" si="42"/>
        <v>405.79913110659919</v>
      </c>
      <c r="P77" s="293">
        <f t="shared" si="42"/>
        <v>409.71176819775866</v>
      </c>
      <c r="Q77" s="293">
        <f t="shared" si="42"/>
        <v>413.66213018242729</v>
      </c>
      <c r="S77" s="133"/>
      <c r="T77" s="133"/>
      <c r="U77" s="133"/>
      <c r="V77" s="133"/>
      <c r="W77" s="133"/>
      <c r="X77" s="133"/>
      <c r="Y77" s="133"/>
      <c r="Z77" s="133"/>
      <c r="AJ77" s="286"/>
      <c r="AK77" s="286"/>
      <c r="AL77" s="286"/>
      <c r="AM77" s="286"/>
      <c r="AN77" s="286"/>
    </row>
    <row r="78" spans="1:40" x14ac:dyDescent="0.25">
      <c r="A78" s="287"/>
      <c r="B78" s="283"/>
      <c r="C78" s="283"/>
      <c r="D78" s="285" t="s">
        <v>750</v>
      </c>
      <c r="E78" s="186">
        <f>E77-$D$77</f>
        <v>3434.362937516737</v>
      </c>
      <c r="F78" s="186">
        <f>F77-$D$77</f>
        <v>9535.5601102341989</v>
      </c>
      <c r="G78" s="186">
        <f>G77-$D$77</f>
        <v>9627.5001448777984</v>
      </c>
      <c r="H78" s="186">
        <f>H77-$D$77</f>
        <v>9720.3266476336576</v>
      </c>
      <c r="I78" s="186">
        <f>I77-$D$77</f>
        <v>9814.048165656639</v>
      </c>
      <c r="J78" s="287"/>
      <c r="K78" s="287"/>
      <c r="L78" s="533"/>
      <c r="M78" s="293">
        <f>M77-$L$77</f>
        <v>144.75839781633044</v>
      </c>
      <c r="N78" s="293">
        <f>N77-$L$77</f>
        <v>401.92385864637146</v>
      </c>
      <c r="O78" s="293">
        <f>O77-$L$77</f>
        <v>405.79913110659919</v>
      </c>
      <c r="P78" s="293">
        <f>P77-$L$77</f>
        <v>409.71176819775866</v>
      </c>
      <c r="Q78" s="293">
        <f>Q77-$L$77</f>
        <v>413.66213018242729</v>
      </c>
      <c r="S78" s="133"/>
      <c r="T78" s="133"/>
      <c r="U78" s="133"/>
      <c r="V78" s="133"/>
      <c r="W78" s="133"/>
      <c r="X78" s="133"/>
      <c r="Y78" s="133"/>
      <c r="Z78" s="133"/>
      <c r="AJ78" s="286"/>
      <c r="AK78" s="286"/>
      <c r="AL78" s="286"/>
      <c r="AM78" s="286"/>
      <c r="AN78" s="286"/>
    </row>
    <row r="79" spans="1:40" x14ac:dyDescent="0.25">
      <c r="A79" s="287"/>
      <c r="B79" s="324"/>
      <c r="C79" s="218"/>
      <c r="D79" s="218"/>
      <c r="E79" s="218"/>
      <c r="F79" s="218"/>
      <c r="G79" s="218"/>
      <c r="H79" s="218"/>
      <c r="I79" s="218"/>
      <c r="J79" s="218"/>
      <c r="K79" s="218"/>
      <c r="L79" s="218"/>
      <c r="M79" s="218"/>
      <c r="N79" s="218"/>
      <c r="O79" s="218"/>
      <c r="P79" s="218"/>
      <c r="Q79" s="218"/>
      <c r="S79" s="133"/>
      <c r="T79" s="133"/>
      <c r="U79" s="133"/>
      <c r="V79" s="133"/>
      <c r="W79" s="133"/>
      <c r="X79" s="133"/>
      <c r="Y79" s="133"/>
      <c r="Z79" s="133"/>
      <c r="AJ79" s="286"/>
      <c r="AK79" s="286"/>
      <c r="AL79" s="286"/>
      <c r="AM79" s="286"/>
      <c r="AN79" s="286"/>
    </row>
    <row r="80" spans="1:40" x14ac:dyDescent="0.25">
      <c r="A80" s="287"/>
      <c r="B80" s="391" t="s">
        <v>169</v>
      </c>
      <c r="C80" s="390"/>
      <c r="D80" s="390"/>
      <c r="E80" s="390"/>
      <c r="F80" s="390"/>
      <c r="G80" s="390"/>
      <c r="H80" s="390"/>
      <c r="I80" s="217"/>
      <c r="J80" s="431"/>
      <c r="K80" s="218"/>
      <c r="L80" s="430"/>
      <c r="M80" s="430"/>
      <c r="N80" s="430"/>
      <c r="O80" s="430"/>
      <c r="P80" s="430"/>
      <c r="Q80" s="430"/>
      <c r="V80" s="133"/>
      <c r="AJ80" s="286"/>
      <c r="AK80" s="286"/>
      <c r="AL80" s="286"/>
      <c r="AM80" s="286"/>
      <c r="AN80" s="286"/>
    </row>
    <row r="81" spans="1:40" ht="60" x14ac:dyDescent="0.25">
      <c r="A81" s="287"/>
      <c r="B81" s="282" t="s">
        <v>124</v>
      </c>
      <c r="C81" s="165" t="s">
        <v>89</v>
      </c>
      <c r="D81" s="423" t="s">
        <v>730</v>
      </c>
      <c r="E81" s="257" t="s">
        <v>50</v>
      </c>
      <c r="F81" s="257" t="s">
        <v>51</v>
      </c>
      <c r="G81" s="164" t="s">
        <v>731</v>
      </c>
      <c r="H81" s="164" t="s">
        <v>732</v>
      </c>
      <c r="I81" s="257" t="s">
        <v>733</v>
      </c>
      <c r="J81" s="287"/>
      <c r="K81" s="670" t="s">
        <v>929</v>
      </c>
      <c r="L81" s="423" t="s">
        <v>730</v>
      </c>
      <c r="M81" s="257" t="s">
        <v>50</v>
      </c>
      <c r="N81" s="257" t="s">
        <v>51</v>
      </c>
      <c r="O81" s="164" t="s">
        <v>731</v>
      </c>
      <c r="P81" s="164" t="s">
        <v>732</v>
      </c>
      <c r="Q81" s="257" t="s">
        <v>733</v>
      </c>
      <c r="V81" s="133"/>
      <c r="AJ81" s="286"/>
      <c r="AK81" s="286"/>
      <c r="AL81" s="286"/>
      <c r="AM81" s="286"/>
      <c r="AN81" s="286"/>
    </row>
    <row r="82" spans="1:40" x14ac:dyDescent="0.25">
      <c r="A82" s="287"/>
      <c r="B82" s="350" t="s">
        <v>1052</v>
      </c>
      <c r="C82" s="149">
        <f>'Inputs and eligible population'!F89</f>
        <v>30</v>
      </c>
      <c r="D82" s="128">
        <f>((D56+D57)*$C$82)/60</f>
        <v>0</v>
      </c>
      <c r="E82" s="128">
        <f>((E56+E57)*$C$82)/60</f>
        <v>3434.362937516737</v>
      </c>
      <c r="F82" s="128">
        <f t="shared" ref="F82:I82" si="43">((F56+F57)*$C$82)/60</f>
        <v>9535.5601102341989</v>
      </c>
      <c r="G82" s="128">
        <f>((G56+G57)*$C$82)/60</f>
        <v>9627.5001448777984</v>
      </c>
      <c r="H82" s="128">
        <f t="shared" si="43"/>
        <v>9720.3266476336576</v>
      </c>
      <c r="I82" s="128">
        <f t="shared" si="43"/>
        <v>9814.048165656639</v>
      </c>
      <c r="J82" s="287"/>
      <c r="K82" s="671">
        <f>'Inputs and eligible population'!$N$89</f>
        <v>42.15</v>
      </c>
      <c r="L82" s="292">
        <f>(D82*'Inputs and eligible population'!$N$89)/1000</f>
        <v>0</v>
      </c>
      <c r="M82" s="292">
        <f>(E82*'Inputs and eligible population'!$N$89)/1000</f>
        <v>144.75839781633044</v>
      </c>
      <c r="N82" s="292">
        <f>(F82*'Inputs and eligible population'!$N$89)/1000</f>
        <v>401.92385864637146</v>
      </c>
      <c r="O82" s="292">
        <f>(G82*'Inputs and eligible population'!$N$89)/1000</f>
        <v>405.79913110659919</v>
      </c>
      <c r="P82" s="292">
        <f>(H82*'Inputs and eligible population'!$N$89)/1000</f>
        <v>409.71176819775866</v>
      </c>
      <c r="Q82" s="292">
        <f>(I82*'Inputs and eligible population'!$N$89)/1000</f>
        <v>413.66213018242729</v>
      </c>
      <c r="V82" s="133"/>
      <c r="AJ82" s="286"/>
      <c r="AK82" s="286"/>
      <c r="AL82" s="286"/>
      <c r="AM82" s="286"/>
      <c r="AN82" s="286"/>
    </row>
    <row r="83" spans="1:40" x14ac:dyDescent="0.25">
      <c r="A83" s="287"/>
      <c r="B83" s="350" t="s">
        <v>1053</v>
      </c>
      <c r="C83" s="149">
        <f>'Inputs and eligible population'!G89</f>
        <v>0</v>
      </c>
      <c r="D83" s="128">
        <f>(D58*$C$83)/60</f>
        <v>0</v>
      </c>
      <c r="E83" s="128">
        <f>(E58*$C$83)/60</f>
        <v>0</v>
      </c>
      <c r="F83" s="128">
        <f t="shared" ref="F83:H83" si="44">(F58*$C$83)/60</f>
        <v>0</v>
      </c>
      <c r="G83" s="128">
        <f t="shared" si="44"/>
        <v>0</v>
      </c>
      <c r="H83" s="128">
        <f t="shared" si="44"/>
        <v>0</v>
      </c>
      <c r="I83" s="128">
        <f>(I58*$C$83)/60</f>
        <v>0</v>
      </c>
      <c r="J83" s="287"/>
      <c r="K83" s="671">
        <f>'Inputs and eligible population'!$N$89</f>
        <v>42.15</v>
      </c>
      <c r="L83" s="292">
        <f>(D83*'Inputs and eligible population'!$N$89)/1000</f>
        <v>0</v>
      </c>
      <c r="M83" s="292">
        <f>(E83*'Inputs and eligible population'!$N$89)/1000</f>
        <v>0</v>
      </c>
      <c r="N83" s="292">
        <f>(F83*'Inputs and eligible population'!$N$89)/1000</f>
        <v>0</v>
      </c>
      <c r="O83" s="292">
        <f>(G83*'Inputs and eligible population'!$N$89)/1000</f>
        <v>0</v>
      </c>
      <c r="P83" s="292">
        <f>(H83*'Inputs and eligible population'!$N$89)/1000</f>
        <v>0</v>
      </c>
      <c r="Q83" s="292">
        <f>(I83*'Inputs and eligible population'!$N$89)/1000</f>
        <v>0</v>
      </c>
      <c r="V83" s="133"/>
      <c r="AJ83" s="286"/>
      <c r="AK83" s="286"/>
      <c r="AL83" s="286"/>
      <c r="AM83" s="286"/>
      <c r="AN83" s="286"/>
    </row>
    <row r="84" spans="1:40" x14ac:dyDescent="0.25">
      <c r="A84" s="287"/>
      <c r="B84" s="350" t="s">
        <v>1054</v>
      </c>
      <c r="C84" s="149">
        <f>'Inputs and eligible population'!H89</f>
        <v>0</v>
      </c>
      <c r="D84" s="128">
        <f>(D59*$C$84)/60</f>
        <v>0</v>
      </c>
      <c r="E84" s="128">
        <f>(E59*$C$84)/60</f>
        <v>0</v>
      </c>
      <c r="F84" s="128">
        <f t="shared" ref="F84:I84" si="45">(F59*$C$84)/60</f>
        <v>0</v>
      </c>
      <c r="G84" s="128">
        <f t="shared" si="45"/>
        <v>0</v>
      </c>
      <c r="H84" s="128">
        <f t="shared" si="45"/>
        <v>0</v>
      </c>
      <c r="I84" s="128">
        <f t="shared" si="45"/>
        <v>0</v>
      </c>
      <c r="J84" s="287"/>
      <c r="K84" s="671">
        <f>'Inputs and eligible population'!$N$89</f>
        <v>42.15</v>
      </c>
      <c r="L84" s="292">
        <f>(D84*'Inputs and eligible population'!$N$89)/1000</f>
        <v>0</v>
      </c>
      <c r="M84" s="292">
        <f>(E84*'Inputs and eligible population'!$N$89)/1000</f>
        <v>0</v>
      </c>
      <c r="N84" s="292">
        <f>(F84*'Inputs and eligible population'!$N$89)/1000</f>
        <v>0</v>
      </c>
      <c r="O84" s="292">
        <f>(G84*'Inputs and eligible population'!$N$89)/1000</f>
        <v>0</v>
      </c>
      <c r="P84" s="292">
        <f>(H84*'Inputs and eligible population'!$N$89)/1000</f>
        <v>0</v>
      </c>
      <c r="Q84" s="292">
        <f>(I84*'Inputs and eligible population'!$N$89)/1000</f>
        <v>0</v>
      </c>
      <c r="V84" s="133"/>
      <c r="AJ84" s="286"/>
      <c r="AK84" s="286"/>
      <c r="AL84" s="286"/>
      <c r="AM84" s="286"/>
      <c r="AN84" s="286"/>
    </row>
    <row r="85" spans="1:40" x14ac:dyDescent="0.25">
      <c r="A85" s="287"/>
      <c r="B85" s="283"/>
      <c r="C85" s="283"/>
      <c r="D85" s="186">
        <f t="shared" ref="D85:I85" si="46">SUM(D82:D84)</f>
        <v>0</v>
      </c>
      <c r="E85" s="186">
        <f t="shared" si="46"/>
        <v>3434.362937516737</v>
      </c>
      <c r="F85" s="186">
        <f t="shared" si="46"/>
        <v>9535.5601102341989</v>
      </c>
      <c r="G85" s="186">
        <f t="shared" si="46"/>
        <v>9627.5001448777984</v>
      </c>
      <c r="H85" s="186">
        <f t="shared" si="46"/>
        <v>9720.3266476336576</v>
      </c>
      <c r="I85" s="186">
        <f t="shared" si="46"/>
        <v>9814.048165656639</v>
      </c>
      <c r="J85" s="287"/>
      <c r="K85" s="287"/>
      <c r="L85" s="293">
        <f t="shared" ref="L85:Q85" si="47">SUM(L82:L84)</f>
        <v>0</v>
      </c>
      <c r="M85" s="293">
        <f t="shared" si="47"/>
        <v>144.75839781633044</v>
      </c>
      <c r="N85" s="293">
        <f t="shared" si="47"/>
        <v>401.92385864637146</v>
      </c>
      <c r="O85" s="293">
        <f t="shared" si="47"/>
        <v>405.79913110659919</v>
      </c>
      <c r="P85" s="293">
        <f t="shared" si="47"/>
        <v>409.71176819775866</v>
      </c>
      <c r="Q85" s="293">
        <f t="shared" si="47"/>
        <v>413.66213018242729</v>
      </c>
      <c r="R85" s="133"/>
      <c r="S85" s="133"/>
      <c r="T85" s="133"/>
      <c r="U85" s="133"/>
      <c r="V85" s="133"/>
      <c r="W85" s="133"/>
      <c r="X85" s="133"/>
      <c r="Y85" s="133"/>
      <c r="Z85" s="133"/>
      <c r="AJ85" s="286"/>
      <c r="AK85" s="286"/>
      <c r="AL85" s="286"/>
      <c r="AM85" s="286"/>
      <c r="AN85" s="286"/>
    </row>
    <row r="86" spans="1:40" x14ac:dyDescent="0.25">
      <c r="A86" s="287"/>
      <c r="B86" s="305"/>
      <c r="C86" s="283"/>
      <c r="D86" s="285" t="s">
        <v>751</v>
      </c>
      <c r="E86" s="186">
        <f>E85-$D$85</f>
        <v>3434.362937516737</v>
      </c>
      <c r="F86" s="186">
        <f>F85-$D$85</f>
        <v>9535.5601102341989</v>
      </c>
      <c r="G86" s="186">
        <f>G85-$D$85</f>
        <v>9627.5001448777984</v>
      </c>
      <c r="H86" s="186">
        <f>H85-$D$85</f>
        <v>9720.3266476336576</v>
      </c>
      <c r="I86" s="186">
        <f>I85-$D$85</f>
        <v>9814.048165656639</v>
      </c>
      <c r="J86" s="287"/>
      <c r="K86" s="287"/>
      <c r="L86" s="533"/>
      <c r="M86" s="293">
        <f>M85-$L$85</f>
        <v>144.75839781633044</v>
      </c>
      <c r="N86" s="293">
        <f>N85-$L$85</f>
        <v>401.92385864637146</v>
      </c>
      <c r="O86" s="293">
        <f>O85-$L$85</f>
        <v>405.79913110659919</v>
      </c>
      <c r="P86" s="293">
        <f>P85-$L$85</f>
        <v>409.71176819775866</v>
      </c>
      <c r="Q86" s="293">
        <f>Q85-$L$85</f>
        <v>413.66213018242729</v>
      </c>
      <c r="R86" s="133"/>
      <c r="S86" s="133"/>
      <c r="T86" s="133"/>
      <c r="U86" s="133"/>
      <c r="V86" s="133"/>
      <c r="W86" s="133"/>
      <c r="X86" s="133"/>
      <c r="Y86" s="133"/>
      <c r="Z86" s="133"/>
      <c r="AJ86" s="286"/>
      <c r="AK86" s="286"/>
      <c r="AL86" s="286"/>
      <c r="AM86" s="286"/>
      <c r="AN86" s="286"/>
    </row>
    <row r="87" spans="1:40" x14ac:dyDescent="0.25">
      <c r="A87" s="287"/>
      <c r="B87" s="324"/>
      <c r="C87" s="218"/>
      <c r="D87" s="218"/>
      <c r="E87" s="218"/>
      <c r="F87" s="218"/>
      <c r="G87" s="218"/>
      <c r="H87" s="218"/>
      <c r="I87" s="218"/>
      <c r="J87" s="287"/>
      <c r="K87" s="287"/>
      <c r="L87" s="218"/>
      <c r="M87" s="218"/>
      <c r="N87" s="218"/>
      <c r="O87" s="218"/>
      <c r="P87" s="218"/>
      <c r="Q87" s="218"/>
      <c r="R87" s="133"/>
      <c r="S87" s="133"/>
      <c r="T87" s="133"/>
      <c r="U87" s="133"/>
      <c r="V87" s="133"/>
      <c r="W87" s="133"/>
      <c r="X87" s="133"/>
      <c r="Y87" s="133"/>
      <c r="Z87" s="133"/>
      <c r="AJ87" s="286"/>
      <c r="AK87" s="286"/>
      <c r="AL87" s="286"/>
      <c r="AM87" s="286"/>
      <c r="AN87" s="286"/>
    </row>
    <row r="88" spans="1:40" ht="13.5" customHeight="1" x14ac:dyDescent="0.25">
      <c r="A88" s="289"/>
      <c r="B88" s="325" t="s">
        <v>752</v>
      </c>
      <c r="C88" s="308"/>
      <c r="D88" s="307"/>
      <c r="E88" s="308"/>
      <c r="F88" s="309"/>
      <c r="G88" s="310"/>
      <c r="H88" s="310"/>
      <c r="I88" s="362"/>
      <c r="J88" s="289"/>
      <c r="K88" s="289"/>
      <c r="L88" s="289"/>
      <c r="M88" s="289"/>
      <c r="N88" s="289"/>
      <c r="O88" s="289"/>
      <c r="P88" s="289"/>
      <c r="Q88" s="289"/>
      <c r="R88" s="133"/>
      <c r="S88" s="133"/>
      <c r="T88" s="133"/>
      <c r="U88" s="133"/>
      <c r="V88" s="133"/>
      <c r="W88" s="133"/>
      <c r="X88" s="133"/>
      <c r="Y88" s="133"/>
      <c r="Z88" s="133"/>
      <c r="AJ88" s="286"/>
      <c r="AK88" s="286"/>
      <c r="AL88" s="286"/>
      <c r="AM88" s="286"/>
      <c r="AN88" s="286"/>
    </row>
    <row r="89" spans="1:40" hidden="1" x14ac:dyDescent="0.25">
      <c r="A89" s="289"/>
      <c r="B89" s="392" t="s">
        <v>753</v>
      </c>
      <c r="C89" s="393"/>
      <c r="D89" s="393"/>
      <c r="E89" s="393"/>
      <c r="F89" s="393"/>
      <c r="G89" s="393"/>
      <c r="H89" s="393"/>
      <c r="I89" s="221"/>
      <c r="J89" s="289"/>
      <c r="K89" s="289"/>
      <c r="L89" s="289"/>
      <c r="M89" s="289"/>
      <c r="N89" s="289"/>
      <c r="O89" s="289"/>
      <c r="P89" s="289"/>
      <c r="Q89" s="289"/>
      <c r="R89" s="133"/>
      <c r="S89" s="133"/>
      <c r="T89" s="133"/>
      <c r="U89" s="133"/>
      <c r="V89" s="133"/>
      <c r="W89" s="133"/>
      <c r="X89" s="133"/>
      <c r="Y89" s="133"/>
      <c r="Z89" s="133"/>
      <c r="AJ89" s="286"/>
      <c r="AK89" s="286"/>
      <c r="AL89" s="286"/>
      <c r="AM89" s="286"/>
      <c r="AN89" s="286"/>
    </row>
    <row r="90" spans="1:40" ht="75" hidden="1" x14ac:dyDescent="0.25">
      <c r="A90" s="289"/>
      <c r="B90" s="279" t="s">
        <v>124</v>
      </c>
      <c r="C90" s="165" t="s">
        <v>754</v>
      </c>
      <c r="D90" s="423" t="s">
        <v>730</v>
      </c>
      <c r="E90" s="257" t="s">
        <v>50</v>
      </c>
      <c r="F90" s="257" t="s">
        <v>51</v>
      </c>
      <c r="G90" s="164" t="s">
        <v>731</v>
      </c>
      <c r="H90" s="164" t="s">
        <v>732</v>
      </c>
      <c r="I90" s="257" t="s">
        <v>733</v>
      </c>
      <c r="J90" s="289"/>
      <c r="K90" s="289"/>
      <c r="L90" s="289"/>
      <c r="M90" s="289"/>
      <c r="N90" s="289"/>
      <c r="O90" s="289"/>
      <c r="P90" s="289"/>
      <c r="Q90" s="289"/>
      <c r="R90" s="133"/>
      <c r="S90" s="133"/>
      <c r="T90" s="133"/>
      <c r="U90" s="133"/>
      <c r="V90" s="133"/>
      <c r="W90" s="133"/>
      <c r="X90" s="133"/>
      <c r="Y90" s="133"/>
      <c r="Z90" s="133"/>
      <c r="AJ90" s="286"/>
      <c r="AK90" s="286"/>
      <c r="AL90" s="286"/>
      <c r="AM90" s="286"/>
      <c r="AN90" s="286"/>
    </row>
    <row r="91" spans="1:40" hidden="1" x14ac:dyDescent="0.25">
      <c r="A91" s="289"/>
      <c r="B91" s="350" t="s">
        <v>910</v>
      </c>
      <c r="C91" s="149">
        <f>'Inputs and eligible population'!F90</f>
        <v>0</v>
      </c>
      <c r="D91" s="128" t="e">
        <f>D$7*'Inputs and eligible population'!#REF!*'Unit costs'!$P$9*'Capacity (local prices)'!$C91</f>
        <v>#REF!</v>
      </c>
      <c r="E91" s="128" t="e">
        <f>E$7*'Inputs and eligible population'!#REF!*'Unit costs'!$P$9*'Capacity (local prices)'!$C91</f>
        <v>#REF!</v>
      </c>
      <c r="F91" s="128" t="e">
        <f>F$7*'Inputs and eligible population'!#REF!*'Unit costs'!$P$9*'Capacity (local prices)'!$C91</f>
        <v>#REF!</v>
      </c>
      <c r="G91" s="128" t="e">
        <f>G$7*'Inputs and eligible population'!#REF!*'Unit costs'!$P$9*'Capacity (local prices)'!$C91</f>
        <v>#REF!</v>
      </c>
      <c r="H91" s="128" t="e">
        <f>H$7*'Inputs and eligible population'!#REF!*'Unit costs'!$P$9*'Capacity (local prices)'!$C91</f>
        <v>#REF!</v>
      </c>
      <c r="I91" s="128" t="e">
        <f>I$7*'Inputs and eligible population'!#REF!*'Unit costs'!$P$9*'Capacity (local prices)'!$C91</f>
        <v>#REF!</v>
      </c>
      <c r="J91" s="289"/>
      <c r="K91" s="289"/>
      <c r="L91" s="289"/>
      <c r="M91" s="289"/>
      <c r="N91" s="289"/>
      <c r="O91" s="289"/>
      <c r="P91" s="289"/>
      <c r="Q91" s="289"/>
      <c r="R91" s="133"/>
      <c r="S91" s="133"/>
      <c r="T91" s="133"/>
      <c r="U91" s="133"/>
      <c r="V91" s="133"/>
      <c r="W91" s="133"/>
      <c r="X91" s="133"/>
      <c r="Y91" s="133"/>
      <c r="Z91" s="133"/>
      <c r="AJ91" s="286"/>
      <c r="AK91" s="286"/>
      <c r="AL91" s="286"/>
      <c r="AM91" s="286"/>
      <c r="AN91" s="286"/>
    </row>
    <row r="92" spans="1:40" hidden="1" x14ac:dyDescent="0.25">
      <c r="A92" s="289"/>
      <c r="B92" s="350" t="s">
        <v>911</v>
      </c>
      <c r="C92" s="149">
        <f>'Inputs and eligible population'!H90</f>
        <v>0</v>
      </c>
      <c r="D92" s="128" t="e">
        <f>D$7*'Inputs and eligible population'!#REF!*'Unit costs'!#REF!*'Capacity (local prices)'!$C92</f>
        <v>#REF!</v>
      </c>
      <c r="E92" s="128" t="e">
        <f>E$7*'Inputs and eligible population'!#REF!*'Unit costs'!#REF!*'Capacity (local prices)'!$C92</f>
        <v>#REF!</v>
      </c>
      <c r="F92" s="128" t="e">
        <f>F$7*'Inputs and eligible population'!#REF!*'Unit costs'!#REF!*'Capacity (local prices)'!$C92</f>
        <v>#REF!</v>
      </c>
      <c r="G92" s="128" t="e">
        <f>G$7*'Inputs and eligible population'!#REF!*'Unit costs'!#REF!*'Capacity (local prices)'!$C92</f>
        <v>#REF!</v>
      </c>
      <c r="H92" s="128" t="e">
        <f>H$7*'Inputs and eligible population'!#REF!*'Unit costs'!#REF!*'Capacity (local prices)'!$C92</f>
        <v>#REF!</v>
      </c>
      <c r="I92" s="128" t="e">
        <f>I$7*'Inputs and eligible population'!#REF!*'Unit costs'!#REF!*'Capacity (local prices)'!$C92</f>
        <v>#REF!</v>
      </c>
      <c r="J92" s="289"/>
      <c r="K92" s="289"/>
      <c r="L92" s="289"/>
      <c r="M92" s="289"/>
      <c r="N92" s="289"/>
      <c r="O92" s="289"/>
      <c r="P92" s="289"/>
      <c r="Q92" s="289"/>
      <c r="R92" s="133"/>
      <c r="S92" s="133"/>
      <c r="T92" s="133"/>
      <c r="U92" s="133"/>
      <c r="V92" s="133"/>
      <c r="W92" s="133"/>
      <c r="X92" s="133"/>
      <c r="Y92" s="133"/>
      <c r="Z92" s="133"/>
      <c r="AJ92" s="286"/>
      <c r="AK92" s="286"/>
      <c r="AL92" s="286"/>
      <c r="AM92" s="286"/>
      <c r="AN92" s="286"/>
    </row>
    <row r="93" spans="1:40" hidden="1" x14ac:dyDescent="0.25">
      <c r="A93" s="289"/>
      <c r="B93" s="350" t="s">
        <v>912</v>
      </c>
      <c r="C93" s="149">
        <f>'Inputs and eligible population'!I90</f>
        <v>0</v>
      </c>
      <c r="D93" s="128" t="e">
        <f>D$7*'Inputs and eligible population'!#REF!*'Unit costs'!#REF!*'Capacity (local prices)'!$C93</f>
        <v>#REF!</v>
      </c>
      <c r="E93" s="128" t="e">
        <f>E$7*'Inputs and eligible population'!#REF!*'Unit costs'!#REF!*'Capacity (local prices)'!$C93</f>
        <v>#REF!</v>
      </c>
      <c r="F93" s="128" t="e">
        <f>F$7*'Inputs and eligible population'!#REF!*'Unit costs'!#REF!*'Capacity (local prices)'!$C93</f>
        <v>#REF!</v>
      </c>
      <c r="G93" s="128" t="e">
        <f>G$7*'Inputs and eligible population'!#REF!*'Unit costs'!#REF!*'Capacity (local prices)'!$C93</f>
        <v>#REF!</v>
      </c>
      <c r="H93" s="128" t="e">
        <f>H$7*'Inputs and eligible population'!#REF!*'Unit costs'!#REF!*'Capacity (local prices)'!$C93</f>
        <v>#REF!</v>
      </c>
      <c r="I93" s="128" t="e">
        <f>I$7*'Inputs and eligible population'!#REF!*'Unit costs'!#REF!*'Capacity (local prices)'!$C93</f>
        <v>#REF!</v>
      </c>
      <c r="J93" s="289"/>
      <c r="K93" s="289"/>
      <c r="L93" s="289"/>
      <c r="M93" s="289"/>
      <c r="N93" s="289"/>
      <c r="O93" s="289"/>
      <c r="P93" s="289"/>
      <c r="Q93" s="289"/>
      <c r="R93" s="133"/>
      <c r="S93" s="133"/>
      <c r="T93" s="133"/>
      <c r="U93" s="133"/>
      <c r="V93" s="133"/>
      <c r="W93" s="133"/>
      <c r="X93" s="133"/>
      <c r="Y93" s="133"/>
      <c r="Z93" s="133"/>
      <c r="AJ93" s="286"/>
      <c r="AK93" s="286"/>
      <c r="AL93" s="286"/>
      <c r="AM93" s="286"/>
      <c r="AN93" s="286"/>
    </row>
    <row r="94" spans="1:40" hidden="1" x14ac:dyDescent="0.25">
      <c r="A94" s="289"/>
      <c r="B94" s="283"/>
      <c r="C94" s="208"/>
      <c r="D94" s="186" t="e">
        <f t="shared" ref="D94:I94" si="48">SUM(D91:D93)</f>
        <v>#REF!</v>
      </c>
      <c r="E94" s="186" t="e">
        <f>SUM(E91:E93)</f>
        <v>#REF!</v>
      </c>
      <c r="F94" s="186" t="e">
        <f t="shared" si="48"/>
        <v>#REF!</v>
      </c>
      <c r="G94" s="186" t="e">
        <f t="shared" si="48"/>
        <v>#REF!</v>
      </c>
      <c r="H94" s="186" t="e">
        <f t="shared" si="48"/>
        <v>#REF!</v>
      </c>
      <c r="I94" s="186" t="e">
        <f t="shared" si="48"/>
        <v>#REF!</v>
      </c>
      <c r="J94" s="289"/>
      <c r="K94" s="289"/>
      <c r="L94" s="289"/>
      <c r="M94" s="289"/>
      <c r="N94" s="289"/>
      <c r="O94" s="289"/>
      <c r="P94" s="289"/>
      <c r="Q94" s="289"/>
      <c r="R94" s="133"/>
      <c r="S94" s="133"/>
      <c r="T94" s="133"/>
      <c r="U94" s="133"/>
      <c r="V94" s="133"/>
      <c r="W94" s="133"/>
      <c r="X94" s="133"/>
      <c r="Y94" s="133"/>
      <c r="Z94" s="133"/>
      <c r="AJ94" s="286"/>
      <c r="AK94" s="286"/>
      <c r="AL94" s="286"/>
      <c r="AM94" s="286"/>
      <c r="AN94" s="286"/>
    </row>
    <row r="95" spans="1:40" hidden="1" x14ac:dyDescent="0.25">
      <c r="A95" s="289"/>
      <c r="B95" s="305"/>
      <c r="C95" s="226"/>
      <c r="D95" s="285" t="s">
        <v>171</v>
      </c>
      <c r="E95" s="186" t="e">
        <f>E94-$D$94</f>
        <v>#REF!</v>
      </c>
      <c r="F95" s="186" t="e">
        <f>F94-$D$94</f>
        <v>#REF!</v>
      </c>
      <c r="G95" s="186" t="e">
        <f>G94-$D$94</f>
        <v>#REF!</v>
      </c>
      <c r="H95" s="186" t="e">
        <f>H94-$D$94</f>
        <v>#REF!</v>
      </c>
      <c r="I95" s="186" t="e">
        <f>I94-$D$94</f>
        <v>#REF!</v>
      </c>
      <c r="J95" s="289"/>
      <c r="K95" s="289"/>
      <c r="L95" s="289"/>
      <c r="M95" s="289"/>
      <c r="N95" s="289"/>
      <c r="O95" s="289"/>
      <c r="P95" s="289"/>
      <c r="Q95" s="289"/>
      <c r="R95" s="133"/>
      <c r="S95" s="133"/>
      <c r="T95" s="133"/>
      <c r="U95" s="133"/>
      <c r="V95" s="133"/>
      <c r="W95" s="133"/>
      <c r="X95" s="133"/>
      <c r="Y95" s="133"/>
      <c r="Z95" s="133"/>
      <c r="AJ95" s="286"/>
      <c r="AK95" s="286"/>
      <c r="AL95" s="286"/>
      <c r="AM95" s="286"/>
      <c r="AN95" s="286"/>
    </row>
    <row r="96" spans="1:40" hidden="1" x14ac:dyDescent="0.25">
      <c r="A96" s="289"/>
      <c r="B96" s="326"/>
      <c r="C96" s="393"/>
      <c r="D96" s="222"/>
      <c r="E96" s="222"/>
      <c r="F96" s="222"/>
      <c r="G96" s="222"/>
      <c r="H96" s="310"/>
      <c r="I96" s="310"/>
      <c r="J96" s="289"/>
      <c r="K96" s="289"/>
      <c r="L96" s="289"/>
      <c r="M96" s="289"/>
      <c r="N96" s="289"/>
      <c r="O96" s="289"/>
      <c r="P96" s="289"/>
      <c r="Q96" s="289"/>
      <c r="R96" s="133"/>
      <c r="S96" s="133"/>
      <c r="T96" s="133"/>
      <c r="U96" s="133"/>
      <c r="V96" s="133"/>
      <c r="W96" s="133"/>
      <c r="X96" s="133"/>
      <c r="Y96" s="133"/>
      <c r="Z96" s="133"/>
      <c r="AJ96" s="286"/>
      <c r="AK96" s="286"/>
      <c r="AL96" s="286"/>
      <c r="AM96" s="286"/>
      <c r="AN96" s="286"/>
    </row>
    <row r="97" spans="1:40" hidden="1" x14ac:dyDescent="0.25">
      <c r="A97" s="289"/>
      <c r="B97" s="392" t="s">
        <v>755</v>
      </c>
      <c r="C97" s="393"/>
      <c r="D97" s="393"/>
      <c r="E97" s="393"/>
      <c r="F97" s="393"/>
      <c r="G97" s="393"/>
      <c r="H97" s="393"/>
      <c r="I97" s="221"/>
      <c r="J97" s="289"/>
      <c r="K97" s="289"/>
      <c r="L97" s="289"/>
      <c r="M97" s="289"/>
      <c r="N97" s="289"/>
      <c r="O97" s="289"/>
      <c r="P97" s="289"/>
      <c r="Q97" s="289"/>
      <c r="R97" s="133"/>
      <c r="S97" s="133"/>
      <c r="T97" s="133"/>
      <c r="U97" s="133"/>
      <c r="V97" s="133"/>
      <c r="W97" s="133"/>
      <c r="X97" s="133"/>
      <c r="Y97" s="133"/>
      <c r="Z97" s="133"/>
      <c r="AJ97" s="286"/>
      <c r="AK97" s="286"/>
      <c r="AL97" s="286"/>
      <c r="AM97" s="286"/>
      <c r="AN97" s="286"/>
    </row>
    <row r="98" spans="1:40" ht="75" hidden="1" x14ac:dyDescent="0.25">
      <c r="A98" s="289"/>
      <c r="B98" s="279" t="s">
        <v>124</v>
      </c>
      <c r="C98" s="165" t="s">
        <v>756</v>
      </c>
      <c r="D98" s="423" t="s">
        <v>730</v>
      </c>
      <c r="E98" s="257" t="s">
        <v>50</v>
      </c>
      <c r="F98" s="257" t="s">
        <v>51</v>
      </c>
      <c r="G98" s="164" t="s">
        <v>731</v>
      </c>
      <c r="H98" s="164" t="s">
        <v>732</v>
      </c>
      <c r="I98" s="257" t="s">
        <v>733</v>
      </c>
      <c r="J98" s="289"/>
      <c r="K98" s="289"/>
      <c r="L98" s="289"/>
      <c r="M98" s="289"/>
      <c r="N98" s="289"/>
      <c r="O98" s="289"/>
      <c r="P98" s="289"/>
      <c r="Q98" s="289"/>
      <c r="R98" s="133"/>
      <c r="S98" s="133"/>
      <c r="T98" s="133"/>
      <c r="U98" s="133"/>
      <c r="V98" s="133"/>
      <c r="W98" s="133"/>
      <c r="X98" s="133"/>
      <c r="Y98" s="133"/>
      <c r="Z98" s="133"/>
      <c r="AJ98" s="286"/>
      <c r="AK98" s="286"/>
      <c r="AL98" s="286"/>
      <c r="AM98" s="286"/>
      <c r="AN98" s="286"/>
    </row>
    <row r="99" spans="1:40" hidden="1" x14ac:dyDescent="0.25">
      <c r="A99" s="289"/>
      <c r="B99" s="350" t="s">
        <v>910</v>
      </c>
      <c r="C99" s="149">
        <f>'Inputs and eligible population'!F91</f>
        <v>0</v>
      </c>
      <c r="D99" s="128" t="e">
        <f>D$7*'Inputs and eligible population'!#REF!*'Unit costs'!$P$9*'Capacity (local prices)'!$C99</f>
        <v>#REF!</v>
      </c>
      <c r="E99" s="128" t="e">
        <f>E$7*'Inputs and eligible population'!#REF!*'Unit costs'!$P$9*'Capacity (local prices)'!$C99</f>
        <v>#REF!</v>
      </c>
      <c r="F99" s="128" t="e">
        <f>F$7*'Inputs and eligible population'!#REF!*'Unit costs'!$P$9*'Capacity (local prices)'!$C99</f>
        <v>#REF!</v>
      </c>
      <c r="G99" s="128" t="e">
        <f>G$7*'Inputs and eligible population'!#REF!*'Unit costs'!$P$9*'Capacity (local prices)'!$C99</f>
        <v>#REF!</v>
      </c>
      <c r="H99" s="128" t="e">
        <f>H$7*'Inputs and eligible population'!#REF!*'Unit costs'!$P$9*'Capacity (local prices)'!$C99</f>
        <v>#REF!</v>
      </c>
      <c r="I99" s="128" t="e">
        <f>I$7*'Inputs and eligible population'!#REF!*'Unit costs'!$P$9*'Capacity (local prices)'!$C99</f>
        <v>#REF!</v>
      </c>
      <c r="J99" s="289"/>
      <c r="K99" s="289"/>
      <c r="L99" s="222"/>
      <c r="M99" s="222"/>
      <c r="N99" s="289"/>
      <c r="O99" s="222"/>
      <c r="P99" s="222"/>
      <c r="Q99" s="222"/>
      <c r="R99" s="133"/>
      <c r="S99" s="133"/>
      <c r="T99" s="133"/>
      <c r="U99" s="133"/>
      <c r="V99" s="133"/>
      <c r="W99" s="133"/>
      <c r="X99" s="133"/>
      <c r="Y99" s="133"/>
      <c r="Z99" s="133"/>
      <c r="AJ99" s="286"/>
      <c r="AK99" s="286"/>
      <c r="AL99" s="286"/>
      <c r="AM99" s="286"/>
      <c r="AN99" s="286"/>
    </row>
    <row r="100" spans="1:40" hidden="1" x14ac:dyDescent="0.25">
      <c r="A100" s="289"/>
      <c r="B100" s="350" t="s">
        <v>911</v>
      </c>
      <c r="C100" s="149">
        <f>'Inputs and eligible population'!H91</f>
        <v>0</v>
      </c>
      <c r="D100" s="128" t="e">
        <f>D$7*'Inputs and eligible population'!#REF!*'Unit costs'!#REF!*'Capacity (local prices)'!$C100</f>
        <v>#REF!</v>
      </c>
      <c r="E100" s="128" t="e">
        <f>E$7*'Inputs and eligible population'!#REF!*'Unit costs'!#REF!*'Capacity (local prices)'!$C100</f>
        <v>#REF!</v>
      </c>
      <c r="F100" s="128" t="e">
        <f>F$7*'Inputs and eligible population'!#REF!*'Unit costs'!#REF!*'Capacity (local prices)'!$C100</f>
        <v>#REF!</v>
      </c>
      <c r="G100" s="128" t="e">
        <f>G$7*'Inputs and eligible population'!#REF!*'Unit costs'!#REF!*'Capacity (local prices)'!$C100</f>
        <v>#REF!</v>
      </c>
      <c r="H100" s="128" t="e">
        <f>H$7*'Inputs and eligible population'!#REF!*'Unit costs'!#REF!*'Capacity (local prices)'!$C100</f>
        <v>#REF!</v>
      </c>
      <c r="I100" s="128" t="e">
        <f>I$7*'Inputs and eligible population'!#REF!*'Unit costs'!#REF!*'Capacity (local prices)'!$C100</f>
        <v>#REF!</v>
      </c>
      <c r="J100" s="289"/>
      <c r="K100" s="289"/>
      <c r="L100" s="222"/>
      <c r="M100" s="222"/>
      <c r="N100" s="289"/>
      <c r="O100" s="222"/>
      <c r="P100" s="222"/>
      <c r="Q100" s="222"/>
      <c r="R100" s="133"/>
      <c r="S100" s="133"/>
      <c r="T100" s="133"/>
      <c r="U100" s="133"/>
      <c r="V100" s="133"/>
      <c r="W100" s="133"/>
      <c r="X100" s="133"/>
      <c r="Y100" s="133"/>
      <c r="Z100" s="133"/>
      <c r="AJ100" s="286"/>
      <c r="AK100" s="286"/>
      <c r="AL100" s="286"/>
      <c r="AM100" s="286"/>
      <c r="AN100" s="286"/>
    </row>
    <row r="101" spans="1:40" hidden="1" x14ac:dyDescent="0.25">
      <c r="A101" s="289"/>
      <c r="B101" s="350" t="s">
        <v>912</v>
      </c>
      <c r="C101" s="149">
        <f>'Inputs and eligible population'!I91</f>
        <v>0</v>
      </c>
      <c r="D101" s="128" t="e">
        <f>D$7*'Inputs and eligible population'!#REF!*'Unit costs'!#REF!*'Capacity (local prices)'!$C101</f>
        <v>#REF!</v>
      </c>
      <c r="E101" s="128" t="e">
        <f>E$7*'Inputs and eligible population'!#REF!*'Unit costs'!#REF!*'Capacity (local prices)'!$C101</f>
        <v>#REF!</v>
      </c>
      <c r="F101" s="128" t="e">
        <f>F$7*'Inputs and eligible population'!#REF!*'Unit costs'!#REF!*'Capacity (local prices)'!$C101</f>
        <v>#REF!</v>
      </c>
      <c r="G101" s="128" t="e">
        <f>G$7*'Inputs and eligible population'!#REF!*'Unit costs'!#REF!*'Capacity (local prices)'!$C101</f>
        <v>#REF!</v>
      </c>
      <c r="H101" s="128" t="e">
        <f>H$7*'Inputs and eligible population'!#REF!*'Unit costs'!#REF!*'Capacity (local prices)'!$C101</f>
        <v>#REF!</v>
      </c>
      <c r="I101" s="128" t="e">
        <f>I$7*'Inputs and eligible population'!#REF!*'Unit costs'!#REF!*'Capacity (local prices)'!$C101</f>
        <v>#REF!</v>
      </c>
      <c r="J101" s="289"/>
      <c r="K101" s="289"/>
      <c r="L101" s="222"/>
      <c r="M101" s="222"/>
      <c r="N101" s="289"/>
      <c r="O101" s="222"/>
      <c r="P101" s="222"/>
      <c r="Q101" s="222"/>
      <c r="R101" s="133"/>
      <c r="S101" s="133"/>
      <c r="T101" s="133"/>
      <c r="U101" s="133"/>
      <c r="V101" s="133"/>
      <c r="W101" s="133"/>
      <c r="X101" s="133"/>
      <c r="Y101" s="133"/>
      <c r="Z101" s="133"/>
      <c r="AJ101" s="286"/>
      <c r="AK101" s="286"/>
      <c r="AL101" s="286"/>
      <c r="AM101" s="286"/>
      <c r="AN101" s="286"/>
    </row>
    <row r="102" spans="1:40" hidden="1" x14ac:dyDescent="0.25">
      <c r="A102" s="289"/>
      <c r="B102" s="283"/>
      <c r="C102" s="208"/>
      <c r="D102" s="186" t="e">
        <f t="shared" ref="D102:I102" si="49">SUM(D99:D101)</f>
        <v>#REF!</v>
      </c>
      <c r="E102" s="186" t="e">
        <f t="shared" si="49"/>
        <v>#REF!</v>
      </c>
      <c r="F102" s="186" t="e">
        <f t="shared" si="49"/>
        <v>#REF!</v>
      </c>
      <c r="G102" s="186" t="e">
        <f t="shared" si="49"/>
        <v>#REF!</v>
      </c>
      <c r="H102" s="186" t="e">
        <f t="shared" si="49"/>
        <v>#REF!</v>
      </c>
      <c r="I102" s="186" t="e">
        <f t="shared" si="49"/>
        <v>#REF!</v>
      </c>
      <c r="J102" s="289"/>
      <c r="K102" s="289"/>
      <c r="L102" s="222"/>
      <c r="M102" s="222"/>
      <c r="N102" s="289"/>
      <c r="O102" s="222"/>
      <c r="P102" s="222"/>
      <c r="Q102" s="222"/>
      <c r="V102" s="133"/>
    </row>
    <row r="103" spans="1:40" hidden="1" x14ac:dyDescent="0.25">
      <c r="A103" s="289"/>
      <c r="B103" s="305"/>
      <c r="C103" s="226"/>
      <c r="D103" s="285" t="s">
        <v>172</v>
      </c>
      <c r="E103" s="186" t="e">
        <f>E102-$D$102</f>
        <v>#REF!</v>
      </c>
      <c r="F103" s="186" t="e">
        <f>F102-$D$102</f>
        <v>#REF!</v>
      </c>
      <c r="G103" s="186" t="e">
        <f>G102-$D$102</f>
        <v>#REF!</v>
      </c>
      <c r="H103" s="186" t="e">
        <f>H102-$D$102</f>
        <v>#REF!</v>
      </c>
      <c r="I103" s="186" t="e">
        <f>I102-$D$102</f>
        <v>#REF!</v>
      </c>
      <c r="J103" s="289"/>
      <c r="K103" s="289"/>
      <c r="L103" s="222"/>
      <c r="M103" s="222"/>
      <c r="N103" s="289"/>
      <c r="O103" s="222"/>
      <c r="P103" s="222"/>
      <c r="Q103" s="222"/>
      <c r="V103" s="133"/>
    </row>
    <row r="104" spans="1:40" hidden="1" x14ac:dyDescent="0.25">
      <c r="A104" s="289"/>
      <c r="B104" s="326"/>
      <c r="C104" s="393"/>
      <c r="D104" s="222"/>
      <c r="E104" s="222"/>
      <c r="F104" s="222"/>
      <c r="G104" s="222"/>
      <c r="H104" s="310"/>
      <c r="I104" s="310"/>
      <c r="J104" s="289"/>
      <c r="K104" s="289"/>
      <c r="L104" s="222"/>
      <c r="M104" s="222"/>
      <c r="N104" s="289"/>
      <c r="O104" s="222"/>
      <c r="P104" s="222"/>
      <c r="Q104" s="222"/>
      <c r="V104" s="133"/>
    </row>
    <row r="105" spans="1:40" hidden="1" x14ac:dyDescent="0.25">
      <c r="A105" s="289"/>
      <c r="B105" s="392" t="s">
        <v>757</v>
      </c>
      <c r="C105" s="393"/>
      <c r="D105" s="393"/>
      <c r="E105" s="393"/>
      <c r="F105" s="393"/>
      <c r="G105" s="393"/>
      <c r="H105" s="393"/>
      <c r="I105" s="221"/>
      <c r="J105" s="289"/>
      <c r="K105" s="289"/>
      <c r="L105" s="289"/>
      <c r="M105" s="289"/>
      <c r="N105" s="289"/>
      <c r="O105" s="289"/>
      <c r="P105" s="289"/>
      <c r="Q105" s="289"/>
      <c r="V105" s="133"/>
    </row>
    <row r="106" spans="1:40" ht="75" hidden="1" x14ac:dyDescent="0.25">
      <c r="A106" s="289"/>
      <c r="B106" s="279" t="s">
        <v>124</v>
      </c>
      <c r="C106" s="165" t="s">
        <v>758</v>
      </c>
      <c r="D106" s="423" t="s">
        <v>730</v>
      </c>
      <c r="E106" s="257" t="s">
        <v>50</v>
      </c>
      <c r="F106" s="257" t="s">
        <v>51</v>
      </c>
      <c r="G106" s="164" t="s">
        <v>731</v>
      </c>
      <c r="H106" s="164" t="s">
        <v>732</v>
      </c>
      <c r="I106" s="257" t="s">
        <v>733</v>
      </c>
      <c r="J106" s="289"/>
      <c r="K106" s="289"/>
      <c r="L106" s="423" t="s">
        <v>730</v>
      </c>
      <c r="M106" s="257" t="s">
        <v>50</v>
      </c>
      <c r="N106" s="257" t="s">
        <v>51</v>
      </c>
      <c r="O106" s="164" t="s">
        <v>731</v>
      </c>
      <c r="P106" s="164" t="s">
        <v>732</v>
      </c>
      <c r="Q106" s="257" t="s">
        <v>733</v>
      </c>
      <c r="V106" s="133"/>
    </row>
    <row r="107" spans="1:40" hidden="1" x14ac:dyDescent="0.25">
      <c r="A107" s="289"/>
      <c r="B107" s="350" t="s">
        <v>910</v>
      </c>
      <c r="C107" s="149">
        <f>'Inputs and eligible population'!F92</f>
        <v>0</v>
      </c>
      <c r="D107" s="128" t="e">
        <f>(D$7*'Inputs and eligible population'!#REF!*'Unit costs'!$P$9*'Capacity (local prices)'!$C107)/60</f>
        <v>#REF!</v>
      </c>
      <c r="E107" s="128" t="e">
        <f>(E$7*'Inputs and eligible population'!#REF!*'Unit costs'!$P$9*'Capacity (local prices)'!$C107)/60</f>
        <v>#REF!</v>
      </c>
      <c r="F107" s="128" t="e">
        <f>(F$7*'Inputs and eligible population'!#REF!*'Unit costs'!$P$9*'Capacity (local prices)'!$C107)/60</f>
        <v>#REF!</v>
      </c>
      <c r="G107" s="128" t="e">
        <f>(G$7*'Inputs and eligible population'!#REF!*'Unit costs'!$P$9*'Capacity (local prices)'!$C107)/60</f>
        <v>#REF!</v>
      </c>
      <c r="H107" s="128" t="e">
        <f>(H$7*'Inputs and eligible population'!#REF!*'Unit costs'!$P$9*'Capacity (local prices)'!$C107)/60</f>
        <v>#REF!</v>
      </c>
      <c r="I107" s="128" t="e">
        <f>(I$7*'Inputs and eligible population'!#REF!*'Unit costs'!$P$9*'Capacity (local prices)'!$C107)/60</f>
        <v>#REF!</v>
      </c>
      <c r="J107" s="289"/>
      <c r="K107" s="289"/>
      <c r="L107" s="292" t="e">
        <f>(D107*'Inputs and eligible population'!$M$92)/1000</f>
        <v>#REF!</v>
      </c>
      <c r="M107" s="292" t="e">
        <f>(E107*'Inputs and eligible population'!$M$92)/1000</f>
        <v>#REF!</v>
      </c>
      <c r="N107" s="292" t="e">
        <f>(F107*'Inputs and eligible population'!$M$92)/1000</f>
        <v>#REF!</v>
      </c>
      <c r="O107" s="292" t="e">
        <f>(G107*'Inputs and eligible population'!$M$92)/1000</f>
        <v>#REF!</v>
      </c>
      <c r="P107" s="292" t="e">
        <f>(H107*'Inputs and eligible population'!$M$92)/1000</f>
        <v>#REF!</v>
      </c>
      <c r="Q107" s="292" t="e">
        <f>(I107*'Inputs and eligible population'!$M$92)/1000</f>
        <v>#REF!</v>
      </c>
      <c r="V107" s="133"/>
    </row>
    <row r="108" spans="1:40" hidden="1" x14ac:dyDescent="0.25">
      <c r="A108" s="289"/>
      <c r="B108" s="350" t="s">
        <v>911</v>
      </c>
      <c r="C108" s="149">
        <f>'Inputs and eligible population'!H92</f>
        <v>0</v>
      </c>
      <c r="D108" s="128" t="e">
        <f>(D$7*'Inputs and eligible population'!#REF!*'Unit costs'!#REF!*'Capacity (local prices)'!$C108)/60</f>
        <v>#REF!</v>
      </c>
      <c r="E108" s="128" t="e">
        <f>(E$7*'Inputs and eligible population'!#REF!*'Unit costs'!#REF!*'Capacity (local prices)'!$C108)/60</f>
        <v>#REF!</v>
      </c>
      <c r="F108" s="128" t="e">
        <f>(F$7*'Inputs and eligible population'!#REF!*'Unit costs'!#REF!*'Capacity (local prices)'!$C108)/60</f>
        <v>#REF!</v>
      </c>
      <c r="G108" s="128" t="e">
        <f>(G$7*'Inputs and eligible population'!#REF!*'Unit costs'!#REF!*'Capacity (local prices)'!$C108)/60</f>
        <v>#REF!</v>
      </c>
      <c r="H108" s="128" t="e">
        <f>(H$7*'Inputs and eligible population'!#REF!*'Unit costs'!#REF!*'Capacity (local prices)'!$C108)/60</f>
        <v>#REF!</v>
      </c>
      <c r="I108" s="128" t="e">
        <f>(I$7*'Inputs and eligible population'!#REF!*'Unit costs'!#REF!*'Capacity (local prices)'!$C108)/60</f>
        <v>#REF!</v>
      </c>
      <c r="J108" s="289"/>
      <c r="K108" s="289"/>
      <c r="L108" s="292" t="e">
        <f>(D108*'Inputs and eligible population'!$M$92)/1000</f>
        <v>#REF!</v>
      </c>
      <c r="M108" s="292" t="e">
        <f>(E108*'Inputs and eligible population'!$M$92)/1000</f>
        <v>#REF!</v>
      </c>
      <c r="N108" s="292" t="e">
        <f>(F108*'Inputs and eligible population'!$M$92)/1000</f>
        <v>#REF!</v>
      </c>
      <c r="O108" s="292" t="e">
        <f>(G108*'Inputs and eligible population'!$M$92)/1000</f>
        <v>#REF!</v>
      </c>
      <c r="P108" s="292" t="e">
        <f>(H108*'Inputs and eligible population'!$M$92)/1000</f>
        <v>#REF!</v>
      </c>
      <c r="Q108" s="292" t="e">
        <f>(I108*'Inputs and eligible population'!$M$92)/1000</f>
        <v>#REF!</v>
      </c>
      <c r="V108" s="133"/>
    </row>
    <row r="109" spans="1:40" hidden="1" x14ac:dyDescent="0.25">
      <c r="A109" s="289"/>
      <c r="B109" s="350" t="s">
        <v>912</v>
      </c>
      <c r="C109" s="149">
        <f>'Inputs and eligible population'!I92</f>
        <v>0</v>
      </c>
      <c r="D109" s="128" t="e">
        <f>(D$7*'Inputs and eligible population'!#REF!*'Unit costs'!#REF!*'Capacity (local prices)'!$C109)/60</f>
        <v>#REF!</v>
      </c>
      <c r="E109" s="128" t="e">
        <f>(E$7*'Inputs and eligible population'!#REF!*'Unit costs'!#REF!*'Capacity (local prices)'!$C109)/60</f>
        <v>#REF!</v>
      </c>
      <c r="F109" s="128" t="e">
        <f>(F$7*'Inputs and eligible population'!#REF!*'Unit costs'!#REF!*'Capacity (local prices)'!$C109)/60</f>
        <v>#REF!</v>
      </c>
      <c r="G109" s="128" t="e">
        <f>(G$7*'Inputs and eligible population'!#REF!*'Unit costs'!#REF!*'Capacity (local prices)'!$C109)/60</f>
        <v>#REF!</v>
      </c>
      <c r="H109" s="128" t="e">
        <f>(H$7*'Inputs and eligible population'!#REF!*'Unit costs'!#REF!*'Capacity (local prices)'!$C109)/60</f>
        <v>#REF!</v>
      </c>
      <c r="I109" s="128" t="e">
        <f>(I$7*'Inputs and eligible population'!#REF!*'Unit costs'!#REF!*'Capacity (local prices)'!$C109)/60</f>
        <v>#REF!</v>
      </c>
      <c r="J109" s="289"/>
      <c r="K109" s="289"/>
      <c r="L109" s="292" t="e">
        <f>(D109*'Inputs and eligible population'!$M$92)/1000</f>
        <v>#REF!</v>
      </c>
      <c r="M109" s="292" t="e">
        <f>(E109*'Inputs and eligible population'!$M$92)/1000</f>
        <v>#REF!</v>
      </c>
      <c r="N109" s="292" t="e">
        <f>(F109*'Inputs and eligible population'!$M$92)/1000</f>
        <v>#REF!</v>
      </c>
      <c r="O109" s="292" t="e">
        <f>(G109*'Inputs and eligible population'!$M$92)/1000</f>
        <v>#REF!</v>
      </c>
      <c r="P109" s="292" t="e">
        <f>(H109*'Inputs and eligible population'!$M$92)/1000</f>
        <v>#REF!</v>
      </c>
      <c r="Q109" s="292" t="e">
        <f>(I109*'Inputs and eligible population'!$M$92)/1000</f>
        <v>#REF!</v>
      </c>
      <c r="V109" s="133"/>
    </row>
    <row r="110" spans="1:40" hidden="1" x14ac:dyDescent="0.25">
      <c r="A110" s="289"/>
      <c r="B110" s="283"/>
      <c r="C110" s="208"/>
      <c r="D110" s="186" t="e">
        <f t="shared" ref="D110:I110" si="50">SUM(D107:D109)</f>
        <v>#REF!</v>
      </c>
      <c r="E110" s="186" t="e">
        <f t="shared" si="50"/>
        <v>#REF!</v>
      </c>
      <c r="F110" s="186" t="e">
        <f t="shared" si="50"/>
        <v>#REF!</v>
      </c>
      <c r="G110" s="186" t="e">
        <f t="shared" si="50"/>
        <v>#REF!</v>
      </c>
      <c r="H110" s="186" t="e">
        <f t="shared" si="50"/>
        <v>#REF!</v>
      </c>
      <c r="I110" s="186" t="e">
        <f t="shared" si="50"/>
        <v>#REF!</v>
      </c>
      <c r="J110" s="289"/>
      <c r="K110" s="289"/>
      <c r="L110" s="293" t="e">
        <f t="shared" ref="L110:Q110" si="51">SUM(L107:L109)</f>
        <v>#REF!</v>
      </c>
      <c r="M110" s="293" t="e">
        <f t="shared" si="51"/>
        <v>#REF!</v>
      </c>
      <c r="N110" s="293" t="e">
        <f t="shared" si="51"/>
        <v>#REF!</v>
      </c>
      <c r="O110" s="293" t="e">
        <f t="shared" si="51"/>
        <v>#REF!</v>
      </c>
      <c r="P110" s="293" t="e">
        <f t="shared" si="51"/>
        <v>#REF!</v>
      </c>
      <c r="Q110" s="293" t="e">
        <f t="shared" si="51"/>
        <v>#REF!</v>
      </c>
      <c r="V110" s="133"/>
    </row>
    <row r="111" spans="1:40" hidden="1" x14ac:dyDescent="0.25">
      <c r="A111" s="289"/>
      <c r="B111" s="305"/>
      <c r="C111" s="226"/>
      <c r="D111" s="285" t="s">
        <v>173</v>
      </c>
      <c r="E111" s="186" t="e">
        <f>E110-$D$110</f>
        <v>#REF!</v>
      </c>
      <c r="F111" s="186" t="e">
        <f>F110-$D$110</f>
        <v>#REF!</v>
      </c>
      <c r="G111" s="186" t="e">
        <f>G110-$D$110</f>
        <v>#REF!</v>
      </c>
      <c r="H111" s="186" t="e">
        <f>H110-$D$110</f>
        <v>#REF!</v>
      </c>
      <c r="I111" s="186" t="e">
        <f>I110-$D$110</f>
        <v>#REF!</v>
      </c>
      <c r="J111" s="289"/>
      <c r="K111" s="289"/>
      <c r="L111" s="534"/>
      <c r="M111" s="293" t="e">
        <f>M110-$L$110</f>
        <v>#REF!</v>
      </c>
      <c r="N111" s="293" t="e">
        <f>N110-$L$110</f>
        <v>#REF!</v>
      </c>
      <c r="O111" s="293" t="e">
        <f>O110-$L$110</f>
        <v>#REF!</v>
      </c>
      <c r="P111" s="293" t="e">
        <f>P110-$L$110</f>
        <v>#REF!</v>
      </c>
      <c r="Q111" s="293" t="e">
        <f>Q110-$L$110</f>
        <v>#REF!</v>
      </c>
      <c r="V111" s="133"/>
    </row>
    <row r="112" spans="1:40" hidden="1" x14ac:dyDescent="0.25">
      <c r="A112" s="289"/>
      <c r="B112" s="326"/>
      <c r="C112" s="393"/>
      <c r="D112" s="222"/>
      <c r="E112" s="222"/>
      <c r="F112" s="222"/>
      <c r="G112" s="222"/>
      <c r="H112" s="310"/>
      <c r="I112" s="310"/>
      <c r="J112" s="289"/>
      <c r="K112" s="289"/>
      <c r="L112" s="222"/>
      <c r="M112" s="222"/>
      <c r="N112" s="289"/>
      <c r="O112" s="222"/>
      <c r="P112" s="222"/>
      <c r="Q112" s="222"/>
      <c r="V112" s="133"/>
    </row>
    <row r="113" spans="1:40" hidden="1" x14ac:dyDescent="0.25">
      <c r="A113" s="289"/>
      <c r="B113" s="392" t="s">
        <v>759</v>
      </c>
      <c r="C113" s="393"/>
      <c r="D113" s="393"/>
      <c r="E113" s="393"/>
      <c r="F113" s="393"/>
      <c r="G113" s="393"/>
      <c r="H113" s="393"/>
      <c r="I113" s="221"/>
      <c r="J113" s="289"/>
      <c r="K113" s="289"/>
      <c r="L113" s="289"/>
      <c r="M113" s="289"/>
      <c r="N113" s="289"/>
      <c r="O113" s="289"/>
      <c r="P113" s="289"/>
      <c r="Q113" s="289"/>
      <c r="V113" s="133"/>
    </row>
    <row r="114" spans="1:40" ht="75" hidden="1" x14ac:dyDescent="0.25">
      <c r="A114" s="289"/>
      <c r="B114" s="279" t="s">
        <v>124</v>
      </c>
      <c r="C114" s="165" t="s">
        <v>760</v>
      </c>
      <c r="D114" s="423" t="s">
        <v>730</v>
      </c>
      <c r="E114" s="257" t="s">
        <v>50</v>
      </c>
      <c r="F114" s="257" t="s">
        <v>51</v>
      </c>
      <c r="G114" s="164" t="s">
        <v>731</v>
      </c>
      <c r="H114" s="164" t="s">
        <v>732</v>
      </c>
      <c r="I114" s="257" t="s">
        <v>733</v>
      </c>
      <c r="J114" s="289"/>
      <c r="K114" s="289"/>
      <c r="L114" s="423" t="s">
        <v>730</v>
      </c>
      <c r="M114" s="257" t="s">
        <v>50</v>
      </c>
      <c r="N114" s="257" t="s">
        <v>51</v>
      </c>
      <c r="O114" s="164" t="s">
        <v>731</v>
      </c>
      <c r="P114" s="164" t="s">
        <v>732</v>
      </c>
      <c r="Q114" s="257" t="s">
        <v>733</v>
      </c>
      <c r="V114" s="133"/>
    </row>
    <row r="115" spans="1:40" hidden="1" x14ac:dyDescent="0.25">
      <c r="A115" s="289"/>
      <c r="B115" s="350" t="s">
        <v>910</v>
      </c>
      <c r="C115" s="149">
        <f>'Inputs and eligible population'!F93</f>
        <v>0</v>
      </c>
      <c r="D115" s="128" t="e">
        <f>(D$7*'Inputs and eligible population'!#REF!*'Unit costs'!$P$9*'Capacity (local prices)'!$C115)/60</f>
        <v>#REF!</v>
      </c>
      <c r="E115" s="128" t="e">
        <f>(E$7*'Inputs and eligible population'!#REF!*'Unit costs'!$P$9*'Capacity (local prices)'!$C115)/60</f>
        <v>#REF!</v>
      </c>
      <c r="F115" s="128" t="e">
        <f>(F$7*'Inputs and eligible population'!#REF!*'Unit costs'!$P$9*'Capacity (local prices)'!$C115)/60</f>
        <v>#REF!</v>
      </c>
      <c r="G115" s="128" t="e">
        <f>(G$7*'Inputs and eligible population'!#REF!*'Unit costs'!$P$9*'Capacity (local prices)'!$C115)/60</f>
        <v>#REF!</v>
      </c>
      <c r="H115" s="128" t="e">
        <f>(H$7*'Inputs and eligible population'!#REF!*'Unit costs'!$P$9*'Capacity (local prices)'!$C115)/60</f>
        <v>#REF!</v>
      </c>
      <c r="I115" s="128" t="e">
        <f>(I$7*'Inputs and eligible population'!#REF!*'Unit costs'!$P$9*'Capacity (local prices)'!$C115)/60</f>
        <v>#REF!</v>
      </c>
      <c r="J115" s="289"/>
      <c r="K115" s="289"/>
      <c r="L115" s="292" t="e">
        <f>(D115*'Inputs and eligible population'!$M$93)/1000</f>
        <v>#REF!</v>
      </c>
      <c r="M115" s="292" t="e">
        <f>(E115*'Inputs and eligible population'!$M$93)/1000</f>
        <v>#REF!</v>
      </c>
      <c r="N115" s="292" t="e">
        <f>(F115*'Inputs and eligible population'!$M$93)/1000</f>
        <v>#REF!</v>
      </c>
      <c r="O115" s="292" t="e">
        <f>(G115*'Inputs and eligible population'!$M$93)/1000</f>
        <v>#REF!</v>
      </c>
      <c r="P115" s="292" t="e">
        <f>(H115*'Inputs and eligible population'!$M$93)/1000</f>
        <v>#REF!</v>
      </c>
      <c r="Q115" s="292" t="e">
        <f>(I115*'Inputs and eligible population'!$M$93)/1000</f>
        <v>#REF!</v>
      </c>
      <c r="V115" s="133"/>
    </row>
    <row r="116" spans="1:40" hidden="1" x14ac:dyDescent="0.25">
      <c r="A116" s="289"/>
      <c r="B116" s="350" t="s">
        <v>911</v>
      </c>
      <c r="C116" s="149">
        <f>'Inputs and eligible population'!H93</f>
        <v>0</v>
      </c>
      <c r="D116" s="128" t="e">
        <f>(D$7*'Inputs and eligible population'!#REF!*'Unit costs'!#REF!*'Capacity (local prices)'!$C116)/60</f>
        <v>#REF!</v>
      </c>
      <c r="E116" s="128" t="e">
        <f>(E$7*'Inputs and eligible population'!#REF!*'Unit costs'!#REF!*'Capacity (local prices)'!$C116)/60</f>
        <v>#REF!</v>
      </c>
      <c r="F116" s="128" t="e">
        <f>(F$7*'Inputs and eligible population'!#REF!*'Unit costs'!#REF!*'Capacity (local prices)'!$C116)/60</f>
        <v>#REF!</v>
      </c>
      <c r="G116" s="128" t="e">
        <f>(G$7*'Inputs and eligible population'!#REF!*'Unit costs'!#REF!*'Capacity (local prices)'!$C116)/60</f>
        <v>#REF!</v>
      </c>
      <c r="H116" s="128" t="e">
        <f>(H$7*'Inputs and eligible population'!#REF!*'Unit costs'!#REF!*'Capacity (local prices)'!$C116)/60</f>
        <v>#REF!</v>
      </c>
      <c r="I116" s="128" t="e">
        <f>(I$7*'Inputs and eligible population'!#REF!*'Unit costs'!#REF!*'Capacity (local prices)'!$C116)/60</f>
        <v>#REF!</v>
      </c>
      <c r="J116" s="289"/>
      <c r="K116" s="289"/>
      <c r="L116" s="292" t="e">
        <f>(D116*'Inputs and eligible population'!$M$93)/1000</f>
        <v>#REF!</v>
      </c>
      <c r="M116" s="292" t="e">
        <f>(E116*'Inputs and eligible population'!$M$93)/1000</f>
        <v>#REF!</v>
      </c>
      <c r="N116" s="292" t="e">
        <f>(F116*'Inputs and eligible population'!$M$93)/1000</f>
        <v>#REF!</v>
      </c>
      <c r="O116" s="292" t="e">
        <f>(G116*'Inputs and eligible population'!$M$93)/1000</f>
        <v>#REF!</v>
      </c>
      <c r="P116" s="292" t="e">
        <f>(H116*'Inputs and eligible population'!$M$93)/1000</f>
        <v>#REF!</v>
      </c>
      <c r="Q116" s="292" t="e">
        <f>(I116*'Inputs and eligible population'!$M$93)/1000</f>
        <v>#REF!</v>
      </c>
      <c r="V116" s="133"/>
    </row>
    <row r="117" spans="1:40" hidden="1" x14ac:dyDescent="0.25">
      <c r="A117" s="289"/>
      <c r="B117" s="350" t="s">
        <v>912</v>
      </c>
      <c r="C117" s="149">
        <f>'Inputs and eligible population'!I93</f>
        <v>0</v>
      </c>
      <c r="D117" s="128" t="e">
        <f>(D$7*'Inputs and eligible population'!#REF!*'Unit costs'!#REF!*'Capacity (local prices)'!$C117)/60</f>
        <v>#REF!</v>
      </c>
      <c r="E117" s="128" t="e">
        <f>(E$7*'Inputs and eligible population'!#REF!*'Unit costs'!#REF!*'Capacity (local prices)'!$C117)/60</f>
        <v>#REF!</v>
      </c>
      <c r="F117" s="128" t="e">
        <f>(F$7*'Inputs and eligible population'!#REF!*'Unit costs'!#REF!*'Capacity (local prices)'!$C117)/60</f>
        <v>#REF!</v>
      </c>
      <c r="G117" s="128" t="e">
        <f>(G$7*'Inputs and eligible population'!#REF!*'Unit costs'!#REF!*'Capacity (local prices)'!$C117)/60</f>
        <v>#REF!</v>
      </c>
      <c r="H117" s="128" t="e">
        <f>(H$7*'Inputs and eligible population'!#REF!*'Unit costs'!#REF!*'Capacity (local prices)'!$C117)/60</f>
        <v>#REF!</v>
      </c>
      <c r="I117" s="128" t="e">
        <f>(I$7*'Inputs and eligible population'!#REF!*'Unit costs'!#REF!*'Capacity (local prices)'!$C117)/60</f>
        <v>#REF!</v>
      </c>
      <c r="J117" s="289"/>
      <c r="K117" s="289"/>
      <c r="L117" s="292" t="e">
        <f>(D117*'Inputs and eligible population'!$M$93)/1000</f>
        <v>#REF!</v>
      </c>
      <c r="M117" s="292" t="e">
        <f>(E117*'Inputs and eligible population'!$M$93)/1000</f>
        <v>#REF!</v>
      </c>
      <c r="N117" s="292" t="e">
        <f>(F117*'Inputs and eligible population'!$M$93)/1000</f>
        <v>#REF!</v>
      </c>
      <c r="O117" s="292" t="e">
        <f>(G117*'Inputs and eligible population'!$M$93)/1000</f>
        <v>#REF!</v>
      </c>
      <c r="P117" s="292" t="e">
        <f>(H117*'Inputs and eligible population'!$M$93)/1000</f>
        <v>#REF!</v>
      </c>
      <c r="Q117" s="292" t="e">
        <f>(I117*'Inputs and eligible population'!$M$93)/1000</f>
        <v>#REF!</v>
      </c>
      <c r="V117" s="133"/>
    </row>
    <row r="118" spans="1:40" hidden="1" x14ac:dyDescent="0.25">
      <c r="A118" s="289"/>
      <c r="B118" s="283"/>
      <c r="C118" s="208"/>
      <c r="D118" s="186" t="e">
        <f t="shared" ref="D118:I118" si="52">SUM(D115:D117)</f>
        <v>#REF!</v>
      </c>
      <c r="E118" s="186" t="e">
        <f t="shared" si="52"/>
        <v>#REF!</v>
      </c>
      <c r="F118" s="186" t="e">
        <f t="shared" si="52"/>
        <v>#REF!</v>
      </c>
      <c r="G118" s="186" t="e">
        <f t="shared" si="52"/>
        <v>#REF!</v>
      </c>
      <c r="H118" s="186" t="e">
        <f t="shared" si="52"/>
        <v>#REF!</v>
      </c>
      <c r="I118" s="186" t="e">
        <f t="shared" si="52"/>
        <v>#REF!</v>
      </c>
      <c r="J118" s="289"/>
      <c r="K118" s="289"/>
      <c r="L118" s="293" t="e">
        <f t="shared" ref="L118:Q118" si="53">SUM(L115:L117)</f>
        <v>#REF!</v>
      </c>
      <c r="M118" s="293" t="e">
        <f t="shared" si="53"/>
        <v>#REF!</v>
      </c>
      <c r="N118" s="293" t="e">
        <f t="shared" si="53"/>
        <v>#REF!</v>
      </c>
      <c r="O118" s="293" t="e">
        <f t="shared" si="53"/>
        <v>#REF!</v>
      </c>
      <c r="P118" s="293" t="e">
        <f t="shared" si="53"/>
        <v>#REF!</v>
      </c>
      <c r="Q118" s="293" t="e">
        <f t="shared" si="53"/>
        <v>#REF!</v>
      </c>
      <c r="V118" s="133"/>
    </row>
    <row r="119" spans="1:40" hidden="1" x14ac:dyDescent="0.25">
      <c r="A119" s="289"/>
      <c r="B119" s="305"/>
      <c r="C119" s="226"/>
      <c r="D119" s="285" t="s">
        <v>174</v>
      </c>
      <c r="E119" s="186" t="e">
        <f>E118-$D$118</f>
        <v>#REF!</v>
      </c>
      <c r="F119" s="186" t="e">
        <f>F118-$D$118</f>
        <v>#REF!</v>
      </c>
      <c r="G119" s="186" t="e">
        <f>G118-$D$118</f>
        <v>#REF!</v>
      </c>
      <c r="H119" s="186" t="e">
        <f>H118-$D$118</f>
        <v>#REF!</v>
      </c>
      <c r="I119" s="186" t="e">
        <f>I118-$D$118</f>
        <v>#REF!</v>
      </c>
      <c r="J119" s="289"/>
      <c r="K119" s="289"/>
      <c r="L119" s="534"/>
      <c r="M119" s="293" t="e">
        <f>M118-$L$118</f>
        <v>#REF!</v>
      </c>
      <c r="N119" s="293" t="e">
        <f>N118-$L$118</f>
        <v>#REF!</v>
      </c>
      <c r="O119" s="293" t="e">
        <f>O118-$L$118</f>
        <v>#REF!</v>
      </c>
      <c r="P119" s="293" t="e">
        <f>P118-$L$118</f>
        <v>#REF!</v>
      </c>
      <c r="Q119" s="293" t="e">
        <f>Q118-$L$118</f>
        <v>#REF!</v>
      </c>
      <c r="V119" s="133"/>
    </row>
    <row r="120" spans="1:40" hidden="1" x14ac:dyDescent="0.25">
      <c r="A120" s="289"/>
      <c r="B120" s="326"/>
      <c r="C120" s="393"/>
      <c r="D120" s="222"/>
      <c r="E120" s="222"/>
      <c r="F120" s="222"/>
      <c r="G120" s="222"/>
      <c r="H120" s="310"/>
      <c r="I120" s="310"/>
      <c r="J120" s="289"/>
      <c r="K120" s="289"/>
      <c r="L120" s="222"/>
      <c r="M120" s="222"/>
      <c r="N120" s="289"/>
      <c r="O120" s="222"/>
      <c r="P120" s="222"/>
      <c r="Q120" s="222"/>
      <c r="V120" s="133"/>
    </row>
    <row r="121" spans="1:40" x14ac:dyDescent="0.25">
      <c r="A121" s="289"/>
      <c r="B121" s="392" t="s">
        <v>761</v>
      </c>
      <c r="C121" s="393"/>
      <c r="D121" s="393"/>
      <c r="E121" s="393"/>
      <c r="F121" s="393"/>
      <c r="G121" s="393"/>
      <c r="H121" s="393"/>
      <c r="I121" s="221"/>
      <c r="J121" s="289"/>
      <c r="K121" s="289"/>
      <c r="L121" s="289"/>
      <c r="M121" s="289"/>
      <c r="N121" s="289"/>
      <c r="O121" s="289"/>
      <c r="P121" s="289"/>
      <c r="Q121" s="289"/>
      <c r="V121" s="133"/>
    </row>
    <row r="122" spans="1:40" ht="45" x14ac:dyDescent="0.25">
      <c r="A122" s="289"/>
      <c r="B122" s="279" t="s">
        <v>124</v>
      </c>
      <c r="C122" s="165" t="s">
        <v>95</v>
      </c>
      <c r="D122" s="423" t="s">
        <v>730</v>
      </c>
      <c r="E122" s="257" t="s">
        <v>50</v>
      </c>
      <c r="F122" s="257" t="s">
        <v>51</v>
      </c>
      <c r="G122" s="164" t="s">
        <v>731</v>
      </c>
      <c r="H122" s="164" t="s">
        <v>732</v>
      </c>
      <c r="I122" s="257" t="s">
        <v>733</v>
      </c>
      <c r="J122" s="289"/>
      <c r="K122" s="289"/>
      <c r="L122" s="423" t="s">
        <v>730</v>
      </c>
      <c r="M122" s="257" t="s">
        <v>50</v>
      </c>
      <c r="N122" s="257" t="s">
        <v>51</v>
      </c>
      <c r="O122" s="164" t="s">
        <v>731</v>
      </c>
      <c r="P122" s="164" t="s">
        <v>732</v>
      </c>
      <c r="Q122" s="257" t="s">
        <v>733</v>
      </c>
      <c r="V122" s="133"/>
    </row>
    <row r="123" spans="1:40" x14ac:dyDescent="0.25">
      <c r="A123" s="289"/>
      <c r="B123" s="350" t="s">
        <v>1052</v>
      </c>
      <c r="C123" s="149">
        <f>'Inputs and eligible population'!F94</f>
        <v>0</v>
      </c>
      <c r="D123" s="128">
        <f>($C123*(D56+D57))/60</f>
        <v>0</v>
      </c>
      <c r="E123" s="128">
        <f t="shared" ref="E123:I123" si="54">($C123*(E56+E57))/60</f>
        <v>0</v>
      </c>
      <c r="F123" s="128">
        <f t="shared" si="54"/>
        <v>0</v>
      </c>
      <c r="G123" s="128">
        <f t="shared" si="54"/>
        <v>0</v>
      </c>
      <c r="H123" s="128">
        <f t="shared" si="54"/>
        <v>0</v>
      </c>
      <c r="I123" s="128">
        <f t="shared" si="54"/>
        <v>0</v>
      </c>
      <c r="J123" s="289"/>
      <c r="K123" s="289"/>
      <c r="L123" s="292">
        <f>(D123*'Inputs and eligible population'!$N$94)/1000</f>
        <v>0</v>
      </c>
      <c r="M123" s="292">
        <f>(E123*'Inputs and eligible population'!$N$94)/1000</f>
        <v>0</v>
      </c>
      <c r="N123" s="292">
        <f>(F123*'Inputs and eligible population'!$N$94)/1000</f>
        <v>0</v>
      </c>
      <c r="O123" s="292">
        <f>(G123*'Inputs and eligible population'!$N$94)/1000</f>
        <v>0</v>
      </c>
      <c r="P123" s="292">
        <f>(H123*'Inputs and eligible population'!$N$94)/1000</f>
        <v>0</v>
      </c>
      <c r="Q123" s="292">
        <f>(I123*'Inputs and eligible population'!$N$94)/1000</f>
        <v>0</v>
      </c>
      <c r="V123" s="133"/>
    </row>
    <row r="124" spans="1:40" x14ac:dyDescent="0.25">
      <c r="A124" s="289"/>
      <c r="B124" s="350" t="s">
        <v>1053</v>
      </c>
      <c r="C124" s="149">
        <f>'Inputs and eligible population'!G94</f>
        <v>0</v>
      </c>
      <c r="D124" s="128">
        <f>($C124*D58)/60</f>
        <v>0</v>
      </c>
      <c r="E124" s="128">
        <f t="shared" ref="E124:I124" si="55">($C124*E58)/60</f>
        <v>0</v>
      </c>
      <c r="F124" s="128">
        <f t="shared" si="55"/>
        <v>0</v>
      </c>
      <c r="G124" s="128">
        <f t="shared" si="55"/>
        <v>0</v>
      </c>
      <c r="H124" s="128">
        <f t="shared" si="55"/>
        <v>0</v>
      </c>
      <c r="I124" s="128">
        <f t="shared" si="55"/>
        <v>0</v>
      </c>
      <c r="J124" s="289"/>
      <c r="K124" s="289"/>
      <c r="L124" s="292">
        <f>(D124*'Inputs and eligible population'!$N$94)/1000</f>
        <v>0</v>
      </c>
      <c r="M124" s="292">
        <f>(E124*'Inputs and eligible population'!$N$94)/1000</f>
        <v>0</v>
      </c>
      <c r="N124" s="292">
        <f>(F124*'Inputs and eligible population'!$N$94)/1000</f>
        <v>0</v>
      </c>
      <c r="O124" s="292">
        <f>(G124*'Inputs and eligible population'!$N$94)/1000</f>
        <v>0</v>
      </c>
      <c r="P124" s="292">
        <f>(H124*'Inputs and eligible population'!$N$94)/1000</f>
        <v>0</v>
      </c>
      <c r="Q124" s="292">
        <f>(I124*'Inputs and eligible population'!$N$94)/1000</f>
        <v>0</v>
      </c>
      <c r="V124" s="133"/>
    </row>
    <row r="125" spans="1:40" x14ac:dyDescent="0.25">
      <c r="A125" s="289"/>
      <c r="B125" s="350" t="s">
        <v>1054</v>
      </c>
      <c r="C125" s="149">
        <f>'Inputs and eligible population'!H94</f>
        <v>0</v>
      </c>
      <c r="D125" s="128">
        <f>($C125*D59)/60</f>
        <v>0</v>
      </c>
      <c r="E125" s="128">
        <f t="shared" ref="E125:I125" si="56">($C125*E59)/60</f>
        <v>0</v>
      </c>
      <c r="F125" s="128">
        <f t="shared" si="56"/>
        <v>0</v>
      </c>
      <c r="G125" s="128">
        <f t="shared" si="56"/>
        <v>0</v>
      </c>
      <c r="H125" s="128">
        <f t="shared" si="56"/>
        <v>0</v>
      </c>
      <c r="I125" s="128">
        <f t="shared" si="56"/>
        <v>0</v>
      </c>
      <c r="J125" s="289"/>
      <c r="K125" s="289"/>
      <c r="L125" s="292">
        <f>(D125*'Inputs and eligible population'!$N$94)/1000</f>
        <v>0</v>
      </c>
      <c r="M125" s="292">
        <f>(E125*'Inputs and eligible population'!$N$94)/1000</f>
        <v>0</v>
      </c>
      <c r="N125" s="292">
        <f>(F125*'Inputs and eligible population'!$N$94)/1000</f>
        <v>0</v>
      </c>
      <c r="O125" s="292">
        <f>(G125*'Inputs and eligible population'!$N$94)/1000</f>
        <v>0</v>
      </c>
      <c r="P125" s="292">
        <f>(H125*'Inputs and eligible population'!$N$94)/1000</f>
        <v>0</v>
      </c>
      <c r="Q125" s="292">
        <f>(I125*'Inputs and eligible population'!$N$94)/1000</f>
        <v>0</v>
      </c>
      <c r="V125" s="133"/>
    </row>
    <row r="126" spans="1:40" x14ac:dyDescent="0.25">
      <c r="A126" s="289"/>
      <c r="B126" s="283"/>
      <c r="C126" s="208"/>
      <c r="D126" s="186">
        <f t="shared" ref="D126:I126" si="57">SUM(D123:D125)</f>
        <v>0</v>
      </c>
      <c r="E126" s="186">
        <f t="shared" si="57"/>
        <v>0</v>
      </c>
      <c r="F126" s="186">
        <f t="shared" si="57"/>
        <v>0</v>
      </c>
      <c r="G126" s="186">
        <f t="shared" si="57"/>
        <v>0</v>
      </c>
      <c r="H126" s="186">
        <f t="shared" si="57"/>
        <v>0</v>
      </c>
      <c r="I126" s="186">
        <f t="shared" si="57"/>
        <v>0</v>
      </c>
      <c r="J126" s="289"/>
      <c r="K126" s="289"/>
      <c r="L126" s="293">
        <f t="shared" ref="L126:Q126" si="58">SUM(L123:L125)</f>
        <v>0</v>
      </c>
      <c r="M126" s="293">
        <f t="shared" si="58"/>
        <v>0</v>
      </c>
      <c r="N126" s="293">
        <f t="shared" si="58"/>
        <v>0</v>
      </c>
      <c r="O126" s="293">
        <f t="shared" si="58"/>
        <v>0</v>
      </c>
      <c r="P126" s="293">
        <f t="shared" si="58"/>
        <v>0</v>
      </c>
      <c r="Q126" s="293">
        <f t="shared" si="58"/>
        <v>0</v>
      </c>
      <c r="V126" s="133"/>
    </row>
    <row r="127" spans="1:40" x14ac:dyDescent="0.25">
      <c r="A127" s="289"/>
      <c r="B127" s="305"/>
      <c r="C127" s="226"/>
      <c r="D127" s="285" t="s">
        <v>175</v>
      </c>
      <c r="E127" s="186">
        <f>E126-$D$126</f>
        <v>0</v>
      </c>
      <c r="F127" s="186">
        <f>F126-$D$126</f>
        <v>0</v>
      </c>
      <c r="G127" s="186">
        <f>G126-$D$126</f>
        <v>0</v>
      </c>
      <c r="H127" s="186">
        <f>H126-$D$126</f>
        <v>0</v>
      </c>
      <c r="I127" s="186">
        <f>I126-$D$126</f>
        <v>0</v>
      </c>
      <c r="J127" s="289"/>
      <c r="K127" s="289"/>
      <c r="L127" s="534"/>
      <c r="M127" s="293">
        <f>M126-$L$126</f>
        <v>0</v>
      </c>
      <c r="N127" s="293">
        <f>N126-$L$126</f>
        <v>0</v>
      </c>
      <c r="O127" s="293">
        <f>O126-$L$126</f>
        <v>0</v>
      </c>
      <c r="P127" s="293">
        <f>P126-$L$126</f>
        <v>0</v>
      </c>
      <c r="Q127" s="293">
        <f>Q126-$L$126</f>
        <v>0</v>
      </c>
      <c r="V127" s="133"/>
    </row>
    <row r="128" spans="1:40" x14ac:dyDescent="0.25">
      <c r="A128" s="289"/>
      <c r="B128" s="326"/>
      <c r="C128" s="393"/>
      <c r="D128" s="222"/>
      <c r="E128" s="222"/>
      <c r="F128" s="222"/>
      <c r="G128" s="222"/>
      <c r="H128" s="222"/>
      <c r="I128" s="222"/>
      <c r="J128" s="222"/>
      <c r="K128" s="222"/>
      <c r="L128" s="222"/>
      <c r="M128" s="222"/>
      <c r="N128" s="222"/>
      <c r="O128" s="222"/>
      <c r="P128" s="222"/>
      <c r="Q128" s="222"/>
      <c r="R128" s="133"/>
      <c r="S128" s="133"/>
      <c r="T128" s="133"/>
      <c r="U128" s="133"/>
      <c r="V128" s="133"/>
      <c r="W128" s="133"/>
      <c r="X128" s="133"/>
      <c r="Y128" s="133"/>
      <c r="Z128" s="133"/>
      <c r="AJ128" s="286"/>
      <c r="AK128" s="286"/>
      <c r="AL128" s="286"/>
      <c r="AM128" s="286"/>
      <c r="AN128" s="286"/>
    </row>
    <row r="129" spans="1:40" x14ac:dyDescent="0.25">
      <c r="A129" s="330"/>
      <c r="B129" s="331" t="s">
        <v>762</v>
      </c>
      <c r="C129" s="332"/>
      <c r="D129" s="332"/>
      <c r="E129" s="333"/>
      <c r="F129" s="334"/>
      <c r="G129" s="335"/>
      <c r="H129" s="335"/>
      <c r="I129" s="386"/>
      <c r="J129" s="330"/>
      <c r="K129" s="330"/>
      <c r="L129" s="330"/>
      <c r="M129" s="330"/>
      <c r="N129" s="330"/>
      <c r="O129" s="330"/>
      <c r="P129" s="330"/>
      <c r="Q129" s="407"/>
      <c r="R129" s="133"/>
      <c r="S129" s="133"/>
      <c r="T129" s="133"/>
      <c r="U129" s="133"/>
      <c r="V129" s="133"/>
      <c r="W129" s="133"/>
      <c r="X129" s="133"/>
      <c r="Y129" s="133"/>
      <c r="Z129" s="133"/>
      <c r="AJ129" s="286"/>
      <c r="AK129" s="286"/>
      <c r="AL129" s="286"/>
      <c r="AM129" s="286"/>
      <c r="AN129" s="286"/>
    </row>
    <row r="130" spans="1:40" x14ac:dyDescent="0.25">
      <c r="A130" s="330"/>
      <c r="B130" s="396" t="s">
        <v>1106</v>
      </c>
      <c r="C130" s="397"/>
      <c r="D130" s="397"/>
      <c r="E130" s="397"/>
      <c r="F130" s="397"/>
      <c r="G130" s="397"/>
      <c r="H130" s="397"/>
      <c r="I130" s="336"/>
      <c r="J130" s="407"/>
      <c r="K130" s="407"/>
      <c r="L130" s="435"/>
      <c r="M130" s="435"/>
      <c r="N130" s="435"/>
      <c r="O130" s="435"/>
      <c r="P130" s="435"/>
      <c r="Q130" s="435"/>
      <c r="R130" s="133"/>
      <c r="S130" s="133"/>
      <c r="T130" s="133"/>
      <c r="U130" s="133"/>
      <c r="V130" s="133"/>
      <c r="W130" s="133"/>
      <c r="X130" s="133"/>
      <c r="Y130" s="133"/>
      <c r="Z130" s="133"/>
      <c r="AJ130" s="286"/>
      <c r="AK130" s="286"/>
      <c r="AL130" s="286"/>
      <c r="AM130" s="286"/>
      <c r="AN130" s="286"/>
    </row>
    <row r="131" spans="1:40" ht="45" x14ac:dyDescent="0.25">
      <c r="A131" s="330"/>
      <c r="B131" s="279" t="s">
        <v>124</v>
      </c>
      <c r="C131" s="165" t="s">
        <v>99</v>
      </c>
      <c r="D131" s="423" t="s">
        <v>730</v>
      </c>
      <c r="E131" s="257" t="s">
        <v>50</v>
      </c>
      <c r="F131" s="257" t="s">
        <v>51</v>
      </c>
      <c r="G131" s="164" t="s">
        <v>731</v>
      </c>
      <c r="H131" s="164" t="s">
        <v>732</v>
      </c>
      <c r="I131" s="257" t="s">
        <v>733</v>
      </c>
      <c r="J131" s="330"/>
      <c r="K131" s="670" t="s">
        <v>929</v>
      </c>
      <c r="L131" s="423" t="s">
        <v>730</v>
      </c>
      <c r="M131" s="257" t="s">
        <v>50</v>
      </c>
      <c r="N131" s="257" t="s">
        <v>51</v>
      </c>
      <c r="O131" s="164" t="s">
        <v>731</v>
      </c>
      <c r="P131" s="164" t="s">
        <v>732</v>
      </c>
      <c r="Q131" s="257" t="s">
        <v>733</v>
      </c>
      <c r="R131" s="133"/>
      <c r="S131" s="133"/>
      <c r="T131" s="133"/>
      <c r="U131" s="133"/>
      <c r="V131" s="133"/>
      <c r="W131" s="133"/>
      <c r="X131" s="133"/>
      <c r="Y131" s="133"/>
      <c r="Z131" s="133"/>
      <c r="AJ131" s="286"/>
      <c r="AK131" s="286"/>
      <c r="AL131" s="286"/>
      <c r="AM131" s="286"/>
      <c r="AN131" s="286"/>
    </row>
    <row r="132" spans="1:40" x14ac:dyDescent="0.25">
      <c r="A132" s="330"/>
      <c r="B132" s="350" t="s">
        <v>1052</v>
      </c>
      <c r="C132" s="149">
        <f>'Inputs and eligible population'!F95</f>
        <v>0</v>
      </c>
      <c r="D132" s="128">
        <f>'Financial impact (cash)'!D$14*'Capacity (local prices)'!$C132*'Inputs and eligible population'!$F96/60</f>
        <v>0</v>
      </c>
      <c r="E132" s="128">
        <f>'Financial impact (cash)'!E$14*'Capacity (local prices)'!$C132*'Inputs and eligible population'!$F96/60</f>
        <v>0</v>
      </c>
      <c r="F132" s="128">
        <f>'Financial impact (cash)'!F$14*'Capacity (local prices)'!$C132*'Inputs and eligible population'!$F96/60</f>
        <v>0</v>
      </c>
      <c r="G132" s="128">
        <f>'Financial impact (cash)'!G$14*'Capacity (local prices)'!$C132*'Inputs and eligible population'!$F96/60</f>
        <v>0</v>
      </c>
      <c r="H132" s="128">
        <f>'Financial impact (cash)'!H$14*'Capacity (local prices)'!$C132*'Inputs and eligible population'!$F96/60</f>
        <v>0</v>
      </c>
      <c r="I132" s="128">
        <f>'Financial impact (cash)'!I$14*'Capacity (local prices)'!$C132*'Inputs and eligible population'!$F96/60</f>
        <v>0</v>
      </c>
      <c r="J132" s="330"/>
      <c r="K132" s="671">
        <f>'Inputs and eligible population'!$N$96</f>
        <v>121.08</v>
      </c>
      <c r="L132" s="292">
        <f>(D132*$K$132/1000)</f>
        <v>0</v>
      </c>
      <c r="M132" s="292">
        <f t="shared" ref="M132:Q132" si="59">(E132*$K$132/1000)</f>
        <v>0</v>
      </c>
      <c r="N132" s="292">
        <f t="shared" si="59"/>
        <v>0</v>
      </c>
      <c r="O132" s="292">
        <f t="shared" si="59"/>
        <v>0</v>
      </c>
      <c r="P132" s="292">
        <f t="shared" si="59"/>
        <v>0</v>
      </c>
      <c r="Q132" s="292">
        <f t="shared" si="59"/>
        <v>0</v>
      </c>
      <c r="R132" s="133"/>
      <c r="S132" s="133"/>
      <c r="T132" s="133"/>
      <c r="U132" s="133"/>
      <c r="V132" s="133"/>
      <c r="W132" s="133"/>
      <c r="X132" s="133"/>
      <c r="Y132" s="133"/>
      <c r="Z132" s="133"/>
      <c r="AJ132" s="286"/>
      <c r="AK132" s="286"/>
      <c r="AL132" s="286"/>
      <c r="AM132" s="286"/>
      <c r="AN132" s="286"/>
    </row>
    <row r="133" spans="1:40" x14ac:dyDescent="0.25">
      <c r="A133" s="330"/>
      <c r="B133" s="350" t="s">
        <v>1053</v>
      </c>
      <c r="C133" s="149">
        <f>'Inputs and eligible population'!G95</f>
        <v>0</v>
      </c>
      <c r="D133" s="128">
        <f>'Financial impact (cash)'!D$15*'Capacity (local prices)'!$C133*'Inputs and eligible population'!$G96/60</f>
        <v>0</v>
      </c>
      <c r="E133" s="128">
        <f>'Financial impact (cash)'!E$15*'Capacity (local prices)'!$C133*'Inputs and eligible population'!$G96/60</f>
        <v>0</v>
      </c>
      <c r="F133" s="128">
        <f>'Financial impact (cash)'!F$15*'Capacity (local prices)'!$C133*'Inputs and eligible population'!$G96/60</f>
        <v>0</v>
      </c>
      <c r="G133" s="128">
        <f>'Financial impact (cash)'!G$15*'Capacity (local prices)'!$C133*'Inputs and eligible population'!$G96/60</f>
        <v>0</v>
      </c>
      <c r="H133" s="128">
        <f>'Financial impact (cash)'!H$15*'Capacity (local prices)'!$C133*'Inputs and eligible population'!$G96/60</f>
        <v>0</v>
      </c>
      <c r="I133" s="128">
        <f>'Financial impact (cash)'!I$15*'Capacity (local prices)'!$C133*'Inputs and eligible population'!$G96/60</f>
        <v>0</v>
      </c>
      <c r="J133" s="330"/>
      <c r="K133" s="671">
        <f>'Inputs and eligible population'!$N$96</f>
        <v>121.08</v>
      </c>
      <c r="L133" s="292">
        <f>(D133*$K$133/1000)</f>
        <v>0</v>
      </c>
      <c r="M133" s="292">
        <f t="shared" ref="M133:Q133" si="60">(E133*$K$133/1000)</f>
        <v>0</v>
      </c>
      <c r="N133" s="292">
        <f t="shared" si="60"/>
        <v>0</v>
      </c>
      <c r="O133" s="292">
        <f t="shared" si="60"/>
        <v>0</v>
      </c>
      <c r="P133" s="292">
        <f t="shared" si="60"/>
        <v>0</v>
      </c>
      <c r="Q133" s="292">
        <f t="shared" si="60"/>
        <v>0</v>
      </c>
      <c r="R133" s="133"/>
      <c r="S133" s="133"/>
      <c r="T133" s="133"/>
      <c r="U133" s="133"/>
      <c r="V133" s="133"/>
      <c r="W133" s="133"/>
      <c r="X133" s="133"/>
      <c r="Y133" s="133"/>
      <c r="Z133" s="133"/>
      <c r="AJ133" s="286"/>
      <c r="AK133" s="286"/>
      <c r="AL133" s="286"/>
      <c r="AM133" s="286"/>
      <c r="AN133" s="286"/>
    </row>
    <row r="134" spans="1:40" x14ac:dyDescent="0.25">
      <c r="A134" s="330"/>
      <c r="B134" s="350" t="s">
        <v>1054</v>
      </c>
      <c r="C134" s="149">
        <f>'Inputs and eligible population'!H95</f>
        <v>0</v>
      </c>
      <c r="D134" s="128">
        <f>'Financial impact (cash)'!D$16*'Capacity (local prices)'!$C134*'Inputs and eligible population'!$H96/60</f>
        <v>0</v>
      </c>
      <c r="E134" s="128">
        <f>'Financial impact (cash)'!E$16*'Capacity (local prices)'!$C134*'Inputs and eligible population'!$H96/60</f>
        <v>0</v>
      </c>
      <c r="F134" s="128">
        <f>'Financial impact (cash)'!F$16*'Capacity (local prices)'!$C134*'Inputs and eligible population'!$H96/60</f>
        <v>0</v>
      </c>
      <c r="G134" s="128">
        <f>'Financial impact (cash)'!G$16*'Capacity (local prices)'!$C134*'Inputs and eligible population'!$H96/60</f>
        <v>0</v>
      </c>
      <c r="H134" s="128">
        <f>'Financial impact (cash)'!H$16*'Capacity (local prices)'!$C134*'Inputs and eligible population'!$H96/60</f>
        <v>0</v>
      </c>
      <c r="I134" s="128">
        <f>'Financial impact (cash)'!I$16*'Capacity (local prices)'!$C134*'Inputs and eligible population'!$H96/60</f>
        <v>0</v>
      </c>
      <c r="J134" s="330"/>
      <c r="K134" s="671">
        <f>'Inputs and eligible population'!$N$96</f>
        <v>121.08</v>
      </c>
      <c r="L134" s="292">
        <f>(D134*$K$134/1000)</f>
        <v>0</v>
      </c>
      <c r="M134" s="292">
        <f t="shared" ref="M134:Q134" si="61">(E134*$K$134/1000)</f>
        <v>0</v>
      </c>
      <c r="N134" s="292">
        <f t="shared" si="61"/>
        <v>0</v>
      </c>
      <c r="O134" s="292">
        <f t="shared" si="61"/>
        <v>0</v>
      </c>
      <c r="P134" s="292">
        <f t="shared" si="61"/>
        <v>0</v>
      </c>
      <c r="Q134" s="292">
        <f t="shared" si="61"/>
        <v>0</v>
      </c>
      <c r="R134" s="133"/>
      <c r="S134" s="133"/>
      <c r="T134" s="133"/>
      <c r="U134" s="133"/>
      <c r="V134" s="133"/>
      <c r="W134" s="133"/>
      <c r="X134" s="133"/>
      <c r="Y134" s="133"/>
      <c r="Z134" s="133"/>
      <c r="AJ134" s="286"/>
      <c r="AK134" s="286"/>
      <c r="AL134" s="286"/>
      <c r="AM134" s="286"/>
      <c r="AN134" s="286"/>
    </row>
    <row r="135" spans="1:40" x14ac:dyDescent="0.25">
      <c r="A135" s="330"/>
      <c r="B135" s="350" t="s">
        <v>997</v>
      </c>
      <c r="C135" s="149">
        <f>'Inputs and eligible population'!I95</f>
        <v>0</v>
      </c>
      <c r="D135" s="128">
        <f>'Financial impact (cash)'!D$17*'Capacity (local prices)'!$C135*'Inputs and eligible population'!$I96/60</f>
        <v>0</v>
      </c>
      <c r="E135" s="128">
        <f>'Financial impact (cash)'!E$17*'Capacity (local prices)'!$C135*'Inputs and eligible population'!$I96/60</f>
        <v>0</v>
      </c>
      <c r="F135" s="128">
        <f>'Financial impact (cash)'!F$17*'Capacity (local prices)'!$C135*'Inputs and eligible population'!$I96/60</f>
        <v>0</v>
      </c>
      <c r="G135" s="128">
        <f>'Financial impact (cash)'!G$17*'Capacity (local prices)'!$C135*'Inputs and eligible population'!$I96/60</f>
        <v>0</v>
      </c>
      <c r="H135" s="128">
        <f>'Financial impact (cash)'!H$17*'Capacity (local prices)'!$C135*'Inputs and eligible population'!$I96/60</f>
        <v>0</v>
      </c>
      <c r="I135" s="128">
        <f>'Financial impact (cash)'!I$17*'Capacity (local prices)'!$C135*'Inputs and eligible population'!$I96/60</f>
        <v>0</v>
      </c>
      <c r="J135" s="330"/>
      <c r="K135" s="671">
        <f>'Inputs and eligible population'!$N$96</f>
        <v>121.08</v>
      </c>
      <c r="L135" s="292">
        <f>(D135*$K$135/1000)</f>
        <v>0</v>
      </c>
      <c r="M135" s="292">
        <f t="shared" ref="M135:Q135" si="62">(E135*$K$135/1000)</f>
        <v>0</v>
      </c>
      <c r="N135" s="292">
        <f t="shared" si="62"/>
        <v>0</v>
      </c>
      <c r="O135" s="292">
        <f t="shared" si="62"/>
        <v>0</v>
      </c>
      <c r="P135" s="292">
        <f t="shared" si="62"/>
        <v>0</v>
      </c>
      <c r="Q135" s="292">
        <f t="shared" si="62"/>
        <v>0</v>
      </c>
      <c r="R135" s="133"/>
      <c r="S135" s="133"/>
      <c r="T135" s="133"/>
      <c r="U135" s="133"/>
      <c r="V135" s="133"/>
      <c r="W135" s="133"/>
      <c r="X135" s="133"/>
      <c r="Y135" s="133"/>
      <c r="Z135" s="133"/>
      <c r="AJ135" s="286"/>
      <c r="AK135" s="286"/>
      <c r="AL135" s="286"/>
      <c r="AM135" s="286"/>
      <c r="AN135" s="286"/>
    </row>
    <row r="136" spans="1:40" x14ac:dyDescent="0.25">
      <c r="A136" s="330"/>
      <c r="B136" s="283"/>
      <c r="C136" s="208"/>
      <c r="D136" s="186">
        <f t="shared" ref="D136:I136" si="63">SUM(D132:D135)</f>
        <v>0</v>
      </c>
      <c r="E136" s="186">
        <f t="shared" si="63"/>
        <v>0</v>
      </c>
      <c r="F136" s="186">
        <f t="shared" si="63"/>
        <v>0</v>
      </c>
      <c r="G136" s="186">
        <f t="shared" si="63"/>
        <v>0</v>
      </c>
      <c r="H136" s="186">
        <f t="shared" si="63"/>
        <v>0</v>
      </c>
      <c r="I136" s="186">
        <f t="shared" si="63"/>
        <v>0</v>
      </c>
      <c r="J136" s="330"/>
      <c r="K136" s="330"/>
      <c r="L136" s="293">
        <f t="shared" ref="L136:Q136" si="64">SUM(L132:L135)</f>
        <v>0</v>
      </c>
      <c r="M136" s="293">
        <f t="shared" si="64"/>
        <v>0</v>
      </c>
      <c r="N136" s="293">
        <f t="shared" si="64"/>
        <v>0</v>
      </c>
      <c r="O136" s="293">
        <f t="shared" si="64"/>
        <v>0</v>
      </c>
      <c r="P136" s="293">
        <f t="shared" si="64"/>
        <v>0</v>
      </c>
      <c r="Q136" s="293">
        <f t="shared" si="64"/>
        <v>0</v>
      </c>
      <c r="R136" s="133"/>
      <c r="S136" s="133"/>
      <c r="T136" s="133"/>
      <c r="U136" s="133"/>
      <c r="V136" s="133"/>
      <c r="W136" s="133"/>
      <c r="X136" s="133"/>
      <c r="Y136" s="133"/>
      <c r="Z136" s="133"/>
      <c r="AJ136" s="286"/>
      <c r="AK136" s="286"/>
      <c r="AL136" s="286"/>
      <c r="AM136" s="286"/>
      <c r="AN136" s="286"/>
    </row>
    <row r="137" spans="1:40" x14ac:dyDescent="0.25">
      <c r="A137" s="330"/>
      <c r="B137" s="305"/>
      <c r="C137" s="258"/>
      <c r="D137" s="285" t="s">
        <v>763</v>
      </c>
      <c r="E137" s="186">
        <f>E136-$D$136</f>
        <v>0</v>
      </c>
      <c r="F137" s="186">
        <f>F136-$D$136</f>
        <v>0</v>
      </c>
      <c r="G137" s="186">
        <f>G136-$D$136</f>
        <v>0</v>
      </c>
      <c r="H137" s="186">
        <f>H136-$D$136</f>
        <v>0</v>
      </c>
      <c r="I137" s="186">
        <f>I136-$D$136</f>
        <v>0</v>
      </c>
      <c r="J137" s="330"/>
      <c r="K137" s="330"/>
      <c r="L137" s="535"/>
      <c r="M137" s="293">
        <f>M136-$L$136</f>
        <v>0</v>
      </c>
      <c r="N137" s="293">
        <f t="shared" ref="N137:Q137" si="65">N136-$L$136</f>
        <v>0</v>
      </c>
      <c r="O137" s="293">
        <f t="shared" si="65"/>
        <v>0</v>
      </c>
      <c r="P137" s="293">
        <f t="shared" si="65"/>
        <v>0</v>
      </c>
      <c r="Q137" s="293">
        <f t="shared" si="65"/>
        <v>0</v>
      </c>
      <c r="V137" s="133"/>
    </row>
    <row r="138" spans="1:40" x14ac:dyDescent="0.25">
      <c r="A138" s="330"/>
      <c r="B138" s="330"/>
      <c r="C138" s="330"/>
      <c r="D138" s="330"/>
      <c r="E138" s="330"/>
      <c r="F138" s="330"/>
      <c r="G138" s="330"/>
      <c r="H138" s="330"/>
      <c r="I138" s="330"/>
      <c r="J138" s="330"/>
      <c r="K138" s="330"/>
      <c r="L138" s="330"/>
      <c r="M138" s="330"/>
      <c r="N138" s="330"/>
      <c r="O138" s="330"/>
      <c r="P138" s="330"/>
      <c r="Q138" s="330"/>
      <c r="V138" s="133"/>
    </row>
    <row r="139" spans="1:40" x14ac:dyDescent="0.25">
      <c r="A139" s="290"/>
      <c r="B139" s="327" t="s">
        <v>764</v>
      </c>
      <c r="C139" s="311"/>
      <c r="D139" s="312"/>
      <c r="E139" s="313"/>
      <c r="F139" s="314"/>
      <c r="G139" s="314"/>
      <c r="H139" s="314"/>
      <c r="I139" s="436"/>
      <c r="J139" s="290"/>
      <c r="K139" s="290"/>
      <c r="L139" s="290"/>
      <c r="M139" s="290"/>
      <c r="N139" s="290"/>
      <c r="O139" s="290"/>
      <c r="P139" s="290"/>
      <c r="Q139" s="224"/>
      <c r="R139" s="133"/>
      <c r="S139" s="133"/>
      <c r="T139" s="133"/>
      <c r="U139" s="133"/>
      <c r="V139" s="133"/>
      <c r="W139" s="133"/>
      <c r="X139" s="133"/>
      <c r="Y139" s="133"/>
      <c r="Z139" s="133"/>
      <c r="AJ139" s="286"/>
      <c r="AK139" s="286"/>
      <c r="AL139" s="286"/>
      <c r="AM139" s="286"/>
      <c r="AN139" s="286"/>
    </row>
    <row r="140" spans="1:40" x14ac:dyDescent="0.25">
      <c r="A140" s="290"/>
      <c r="B140" s="398" t="s">
        <v>1067</v>
      </c>
      <c r="C140" s="399"/>
      <c r="D140" s="399"/>
      <c r="E140" s="399"/>
      <c r="F140" s="399"/>
      <c r="G140" s="399"/>
      <c r="H140" s="399"/>
      <c r="I140" s="223"/>
      <c r="J140" s="224"/>
      <c r="K140" s="224"/>
      <c r="L140" s="432"/>
      <c r="M140" s="432"/>
      <c r="N140" s="432"/>
      <c r="O140" s="432"/>
      <c r="P140" s="432"/>
      <c r="Q140" s="432"/>
      <c r="V140" s="133"/>
    </row>
    <row r="141" spans="1:40" ht="45" x14ac:dyDescent="0.25">
      <c r="A141" s="290"/>
      <c r="B141" s="279" t="s">
        <v>124</v>
      </c>
      <c r="C141" s="165" t="s">
        <v>959</v>
      </c>
      <c r="D141" s="423" t="s">
        <v>730</v>
      </c>
      <c r="E141" s="257" t="s">
        <v>50</v>
      </c>
      <c r="F141" s="257" t="s">
        <v>51</v>
      </c>
      <c r="G141" s="164" t="s">
        <v>731</v>
      </c>
      <c r="H141" s="164" t="s">
        <v>732</v>
      </c>
      <c r="I141" s="257" t="s">
        <v>733</v>
      </c>
      <c r="J141" s="290"/>
      <c r="K141" s="670" t="s">
        <v>929</v>
      </c>
      <c r="L141" s="423" t="s">
        <v>730</v>
      </c>
      <c r="M141" s="257" t="s">
        <v>50</v>
      </c>
      <c r="N141" s="257" t="s">
        <v>51</v>
      </c>
      <c r="O141" s="164" t="s">
        <v>731</v>
      </c>
      <c r="P141" s="164" t="s">
        <v>732</v>
      </c>
      <c r="Q141" s="257" t="s">
        <v>733</v>
      </c>
      <c r="V141" s="133"/>
    </row>
    <row r="142" spans="1:40" x14ac:dyDescent="0.25">
      <c r="A142" s="290"/>
      <c r="B142" s="350" t="s">
        <v>1052</v>
      </c>
      <c r="C142" s="632">
        <f>'Inputs and eligible population'!F97</f>
        <v>1</v>
      </c>
      <c r="D142" s="128">
        <f>'Financial impact (cash)'!D14*$C142*'Inputs and eligible population'!$F98/60</f>
        <v>0</v>
      </c>
      <c r="E142" s="128">
        <f>'Financial impact (cash)'!E14*$C142*'Inputs and eligible population'!$F98/60</f>
        <v>0</v>
      </c>
      <c r="F142" s="128">
        <f>'Financial impact (cash)'!F14*$C142*'Inputs and eligible population'!$F98/60</f>
        <v>0</v>
      </c>
      <c r="G142" s="128">
        <f>'Financial impact (cash)'!G14*$C142*'Inputs and eligible population'!$F98/60</f>
        <v>0</v>
      </c>
      <c r="H142" s="128">
        <f>'Financial impact (cash)'!H14*$C142*'Inputs and eligible population'!$F98/60</f>
        <v>0</v>
      </c>
      <c r="I142" s="128">
        <f>'Financial impact (cash)'!I14*$C142*'Inputs and eligible population'!$F98/60</f>
        <v>0</v>
      </c>
      <c r="J142" s="290"/>
      <c r="K142" s="671">
        <f>'Inputs and eligible population'!$N$98</f>
        <v>42.15</v>
      </c>
      <c r="L142" s="292">
        <f>(D142*$K$142)/1000</f>
        <v>0</v>
      </c>
      <c r="M142" s="292">
        <f t="shared" ref="M142:Q142" si="66">(E142*$K$142)/1000</f>
        <v>0</v>
      </c>
      <c r="N142" s="292">
        <f t="shared" si="66"/>
        <v>0</v>
      </c>
      <c r="O142" s="292">
        <f t="shared" si="66"/>
        <v>0</v>
      </c>
      <c r="P142" s="292">
        <f t="shared" si="66"/>
        <v>0</v>
      </c>
      <c r="Q142" s="292">
        <f t="shared" si="66"/>
        <v>0</v>
      </c>
      <c r="V142" s="133"/>
    </row>
    <row r="143" spans="1:40" x14ac:dyDescent="0.25">
      <c r="A143" s="290"/>
      <c r="B143" s="350" t="s">
        <v>1053</v>
      </c>
      <c r="C143" s="632">
        <f>'Inputs and eligible population'!G97</f>
        <v>1</v>
      </c>
      <c r="D143" s="128">
        <f>'Financial impact (cash)'!D15*$C143*'Inputs and eligible population'!$G98/60</f>
        <v>0</v>
      </c>
      <c r="E143" s="128">
        <f>'Financial impact (cash)'!E15*$C143*'Inputs and eligible population'!$G98/60</f>
        <v>0</v>
      </c>
      <c r="F143" s="128">
        <f>'Financial impact (cash)'!F15*$C143*'Inputs and eligible population'!$G98/60</f>
        <v>0</v>
      </c>
      <c r="G143" s="128">
        <f>'Financial impact (cash)'!G15*$C143*'Inputs and eligible population'!$G98/60</f>
        <v>0</v>
      </c>
      <c r="H143" s="128">
        <f>'Financial impact (cash)'!H15*$C143*'Inputs and eligible population'!$G98/60</f>
        <v>0</v>
      </c>
      <c r="I143" s="128">
        <f>'Financial impact (cash)'!I15*$C143*'Inputs and eligible population'!$G98/60</f>
        <v>0</v>
      </c>
      <c r="J143" s="290"/>
      <c r="K143" s="671">
        <f>'Inputs and eligible population'!$N$98</f>
        <v>42.15</v>
      </c>
      <c r="L143" s="292">
        <f>(D143*$K$143)/1000</f>
        <v>0</v>
      </c>
      <c r="M143" s="292">
        <f t="shared" ref="M143:Q143" si="67">(E143*$K$143)/1000</f>
        <v>0</v>
      </c>
      <c r="N143" s="292">
        <f t="shared" si="67"/>
        <v>0</v>
      </c>
      <c r="O143" s="292">
        <f t="shared" si="67"/>
        <v>0</v>
      </c>
      <c r="P143" s="292">
        <f t="shared" si="67"/>
        <v>0</v>
      </c>
      <c r="Q143" s="292">
        <f t="shared" si="67"/>
        <v>0</v>
      </c>
      <c r="V143" s="133"/>
    </row>
    <row r="144" spans="1:40" x14ac:dyDescent="0.25">
      <c r="A144" s="290"/>
      <c r="B144" s="350" t="s">
        <v>1054</v>
      </c>
      <c r="C144" s="632">
        <f>'Inputs and eligible population'!H97</f>
        <v>1</v>
      </c>
      <c r="D144" s="128">
        <f>'Financial impact (cash)'!D16*$C144*'Inputs and eligible population'!$H98/60</f>
        <v>0</v>
      </c>
      <c r="E144" s="128">
        <f>'Financial impact (cash)'!E16*$C144*'Inputs and eligible population'!$H98/60</f>
        <v>0</v>
      </c>
      <c r="F144" s="128">
        <f>'Financial impact (cash)'!F16*$C144*'Inputs and eligible population'!$H98/60</f>
        <v>0</v>
      </c>
      <c r="G144" s="128">
        <f>'Financial impact (cash)'!G16*$C144*'Inputs and eligible population'!$H98/60</f>
        <v>0</v>
      </c>
      <c r="H144" s="128">
        <f>'Financial impact (cash)'!H16*$C144*'Inputs and eligible population'!$H98/60</f>
        <v>0</v>
      </c>
      <c r="I144" s="128">
        <f>'Financial impact (cash)'!I16*$C144*'Inputs and eligible population'!$H98/60</f>
        <v>0</v>
      </c>
      <c r="J144" s="290"/>
      <c r="K144" s="671">
        <f>'Inputs and eligible population'!$N$98</f>
        <v>42.15</v>
      </c>
      <c r="L144" s="292">
        <f>(D144*$K$144)/1000</f>
        <v>0</v>
      </c>
      <c r="M144" s="292">
        <f t="shared" ref="M144:Q144" si="68">(E144*$K$144)/1000</f>
        <v>0</v>
      </c>
      <c r="N144" s="292">
        <f t="shared" si="68"/>
        <v>0</v>
      </c>
      <c r="O144" s="292">
        <f t="shared" si="68"/>
        <v>0</v>
      </c>
      <c r="P144" s="292">
        <f t="shared" si="68"/>
        <v>0</v>
      </c>
      <c r="Q144" s="292">
        <f t="shared" si="68"/>
        <v>0</v>
      </c>
      <c r="V144" s="133"/>
    </row>
    <row r="145" spans="1:40" x14ac:dyDescent="0.25">
      <c r="A145" s="290"/>
      <c r="B145" s="350" t="s">
        <v>997</v>
      </c>
      <c r="C145" s="632">
        <f>'Inputs and eligible population'!I97</f>
        <v>1</v>
      </c>
      <c r="D145" s="128">
        <f>'Financial impact (cash)'!D17*$C145*'Inputs and eligible population'!$I98/60</f>
        <v>0</v>
      </c>
      <c r="E145" s="128">
        <f>'Financial impact (cash)'!E17*$C145*'Inputs and eligible population'!$I98/60</f>
        <v>0</v>
      </c>
      <c r="F145" s="128">
        <f>'Financial impact (cash)'!F17*$C145*'Inputs and eligible population'!$I98/60</f>
        <v>0</v>
      </c>
      <c r="G145" s="128">
        <f>'Financial impact (cash)'!G17*$C145*'Inputs and eligible population'!$I98/60</f>
        <v>0</v>
      </c>
      <c r="H145" s="128">
        <f>'Financial impact (cash)'!H17*$C145*'Inputs and eligible population'!$I98/60</f>
        <v>0</v>
      </c>
      <c r="I145" s="128">
        <f>'Financial impact (cash)'!I17*$C145*'Inputs and eligible population'!$I98/60</f>
        <v>0</v>
      </c>
      <c r="J145" s="290"/>
      <c r="K145" s="671">
        <f>'Inputs and eligible population'!$N$98</f>
        <v>42.15</v>
      </c>
      <c r="L145" s="292">
        <f>(D145*$K$145)/1000</f>
        <v>0</v>
      </c>
      <c r="M145" s="292">
        <f>(E145*$K$145)/1000</f>
        <v>0</v>
      </c>
      <c r="N145" s="292">
        <f t="shared" ref="N145:Q145" si="69">(F145*$K$145)/1000</f>
        <v>0</v>
      </c>
      <c r="O145" s="292">
        <f t="shared" si="69"/>
        <v>0</v>
      </c>
      <c r="P145" s="292">
        <f t="shared" si="69"/>
        <v>0</v>
      </c>
      <c r="Q145" s="292">
        <f t="shared" si="69"/>
        <v>0</v>
      </c>
      <c r="V145" s="133"/>
    </row>
    <row r="146" spans="1:40" x14ac:dyDescent="0.25">
      <c r="A146" s="290"/>
      <c r="B146" s="283"/>
      <c r="C146" s="208"/>
      <c r="D146" s="186">
        <f t="shared" ref="D146:I146" si="70">SUM(D142:D145)</f>
        <v>0</v>
      </c>
      <c r="E146" s="186">
        <f t="shared" si="70"/>
        <v>0</v>
      </c>
      <c r="F146" s="186">
        <f t="shared" si="70"/>
        <v>0</v>
      </c>
      <c r="G146" s="186">
        <f t="shared" si="70"/>
        <v>0</v>
      </c>
      <c r="H146" s="186">
        <f t="shared" si="70"/>
        <v>0</v>
      </c>
      <c r="I146" s="186">
        <f t="shared" si="70"/>
        <v>0</v>
      </c>
      <c r="J146" s="290"/>
      <c r="K146" s="290"/>
      <c r="L146" s="293">
        <f>SUM(L142:L145)</f>
        <v>0</v>
      </c>
      <c r="M146" s="293">
        <f t="shared" ref="M146:Q146" si="71">SUM(M142:M145)</f>
        <v>0</v>
      </c>
      <c r="N146" s="293">
        <f t="shared" si="71"/>
        <v>0</v>
      </c>
      <c r="O146" s="293">
        <f t="shared" si="71"/>
        <v>0</v>
      </c>
      <c r="P146" s="293">
        <f>SUM(P142:P145)</f>
        <v>0</v>
      </c>
      <c r="Q146" s="293">
        <f t="shared" si="71"/>
        <v>0</v>
      </c>
      <c r="V146" s="133"/>
    </row>
    <row r="147" spans="1:40" x14ac:dyDescent="0.25">
      <c r="A147" s="290"/>
      <c r="B147" s="305"/>
      <c r="C147" s="258"/>
      <c r="D147" s="285" t="s">
        <v>960</v>
      </c>
      <c r="E147" s="186">
        <f>E146-$D$146</f>
        <v>0</v>
      </c>
      <c r="F147" s="186">
        <f t="shared" ref="F147:I147" si="72">F146-$D$146</f>
        <v>0</v>
      </c>
      <c r="G147" s="186">
        <f t="shared" si="72"/>
        <v>0</v>
      </c>
      <c r="H147" s="186">
        <f t="shared" si="72"/>
        <v>0</v>
      </c>
      <c r="I147" s="186">
        <f t="shared" si="72"/>
        <v>0</v>
      </c>
      <c r="J147" s="290"/>
      <c r="K147" s="290"/>
      <c r="L147" s="536"/>
      <c r="M147" s="293">
        <f>M146-$L$146</f>
        <v>0</v>
      </c>
      <c r="N147" s="293">
        <f t="shared" ref="N147:Q147" si="73">N146-$L$146</f>
        <v>0</v>
      </c>
      <c r="O147" s="293">
        <f t="shared" si="73"/>
        <v>0</v>
      </c>
      <c r="P147" s="293">
        <f>P146-$L$146</f>
        <v>0</v>
      </c>
      <c r="Q147" s="293">
        <f t="shared" si="73"/>
        <v>0</v>
      </c>
      <c r="V147" s="133"/>
    </row>
    <row r="148" spans="1:40" x14ac:dyDescent="0.25">
      <c r="A148" s="291"/>
      <c r="B148" s="328" t="s">
        <v>102</v>
      </c>
      <c r="C148" s="315"/>
      <c r="D148" s="316"/>
      <c r="E148" s="317"/>
      <c r="F148" s="318"/>
      <c r="G148" s="318"/>
      <c r="H148" s="318"/>
      <c r="I148" s="433"/>
      <c r="J148" s="439"/>
      <c r="K148" s="291"/>
      <c r="L148" s="291"/>
      <c r="M148" s="291"/>
      <c r="N148" s="291"/>
      <c r="O148" s="291"/>
      <c r="P148" s="291"/>
      <c r="Q148" s="291"/>
      <c r="R148" s="133"/>
      <c r="S148" s="133"/>
      <c r="T148" s="133"/>
      <c r="U148" s="133"/>
      <c r="V148" s="133"/>
      <c r="W148" s="133"/>
      <c r="X148" s="133"/>
      <c r="Y148" s="133"/>
      <c r="Z148" s="133"/>
      <c r="AJ148" s="286"/>
      <c r="AK148" s="286"/>
      <c r="AL148" s="286"/>
      <c r="AM148" s="286"/>
      <c r="AN148" s="286"/>
    </row>
    <row r="149" spans="1:40" x14ac:dyDescent="0.25">
      <c r="A149" s="291"/>
      <c r="B149" s="400" t="s">
        <v>765</v>
      </c>
      <c r="C149" s="401"/>
      <c r="D149" s="401"/>
      <c r="E149" s="401"/>
      <c r="F149" s="401"/>
      <c r="G149" s="401"/>
      <c r="H149" s="401"/>
      <c r="I149" s="225"/>
      <c r="J149" s="437"/>
      <c r="K149" s="437"/>
      <c r="L149" s="438"/>
      <c r="M149" s="438"/>
      <c r="N149" s="438"/>
      <c r="O149" s="438"/>
      <c r="P149" s="438"/>
      <c r="Q149" s="438"/>
      <c r="R149" s="133"/>
      <c r="S149" s="133"/>
      <c r="T149" s="133"/>
      <c r="U149" s="133"/>
      <c r="V149" s="133"/>
      <c r="W149" s="133"/>
      <c r="X149" s="133"/>
      <c r="Y149" s="133"/>
      <c r="Z149" s="133"/>
      <c r="AJ149" s="286"/>
      <c r="AK149" s="286"/>
      <c r="AL149" s="286"/>
      <c r="AM149" s="286"/>
      <c r="AN149" s="286"/>
    </row>
    <row r="150" spans="1:40" ht="45" x14ac:dyDescent="0.25">
      <c r="A150" s="291"/>
      <c r="B150" s="279" t="s">
        <v>124</v>
      </c>
      <c r="C150" s="210"/>
      <c r="D150" s="423" t="s">
        <v>730</v>
      </c>
      <c r="E150" s="257" t="s">
        <v>50</v>
      </c>
      <c r="F150" s="257" t="s">
        <v>51</v>
      </c>
      <c r="G150" s="164" t="s">
        <v>731</v>
      </c>
      <c r="H150" s="164" t="s">
        <v>732</v>
      </c>
      <c r="I150" s="257" t="s">
        <v>733</v>
      </c>
      <c r="J150" s="291"/>
      <c r="K150" s="291"/>
      <c r="L150" s="423" t="s">
        <v>730</v>
      </c>
      <c r="M150" s="257" t="s">
        <v>50</v>
      </c>
      <c r="N150" s="257" t="s">
        <v>51</v>
      </c>
      <c r="O150" s="164" t="s">
        <v>731</v>
      </c>
      <c r="P150" s="164" t="s">
        <v>732</v>
      </c>
      <c r="Q150" s="257" t="s">
        <v>733</v>
      </c>
      <c r="R150" s="133"/>
      <c r="S150" s="133"/>
      <c r="T150" s="133"/>
      <c r="U150" s="133"/>
      <c r="V150" s="133"/>
      <c r="W150" s="133"/>
      <c r="X150" s="133"/>
      <c r="Y150" s="133"/>
      <c r="Z150" s="133"/>
      <c r="AJ150" s="286"/>
      <c r="AK150" s="286"/>
      <c r="AL150" s="286"/>
      <c r="AM150" s="286"/>
      <c r="AN150" s="286"/>
    </row>
    <row r="151" spans="1:40" x14ac:dyDescent="0.25">
      <c r="A151" s="291"/>
      <c r="B151" s="252" t="s">
        <v>1020</v>
      </c>
      <c r="C151" s="167"/>
      <c r="D151" s="128">
        <f>('Unit costs'!$C60*'Financial impact (cash)'!D$14)+('Unit costs'!$D60*'Financial impact (cash)'!D$15)+('Unit costs'!$E60*'Financial impact (cash)'!D$16)+('Unit costs'!$F60*'Financial impact (cash)'!D$17)</f>
        <v>21.570904413658543</v>
      </c>
      <c r="E151" s="128">
        <f>('Unit costs'!$C60*'Financial impact (cash)'!E$14)+('Unit costs'!$D60*'Financial impact (cash)'!E$15)+('Unit costs'!$E60*'Financial impact (cash)'!E$16)+('Unit costs'!$F60*'Financial impact (cash)'!E$17)</f>
        <v>29.038515894450462</v>
      </c>
      <c r="F151" s="128">
        <f>('Unit costs'!$C60*'Financial impact (cash)'!F$14)+('Unit costs'!$D60*'Financial impact (cash)'!F$15)+('Unit costs'!$E60*'Financial impact (cash)'!F$16)+('Unit costs'!$F60*'Financial impact (cash)'!F$17)</f>
        <v>42.709160582423685</v>
      </c>
      <c r="G151" s="128">
        <f>('Unit costs'!$C60*'Financial impact (cash)'!G$14)+('Unit costs'!$D60*'Financial impact (cash)'!G$15)+('Unit costs'!$E60*'Financial impact (cash)'!G$16)+('Unit costs'!$F60*'Financial impact (cash)'!G$17)</f>
        <v>43.120954085705449</v>
      </c>
      <c r="H151" s="128">
        <f>('Unit costs'!$C60*'Financial impact (cash)'!H$14)+('Unit costs'!$D60*'Financial impact (cash)'!H$15)+('Unit costs'!$E60*'Financial impact (cash)'!H$16)+('Unit costs'!$F60*'Financial impact (cash)'!H$17)</f>
        <v>43.536718022660729</v>
      </c>
      <c r="I151" s="128">
        <f>('Unit costs'!$C60*'Financial impact (cash)'!I$14)+('Unit costs'!$D60*'Financial impact (cash)'!I$15)+('Unit costs'!$E60*'Financial impact (cash)'!I$16)+('Unit costs'!$F60*'Financial impact (cash)'!I$17)</f>
        <v>43.956490675446581</v>
      </c>
      <c r="J151" s="291"/>
      <c r="K151" s="291"/>
      <c r="L151" s="292">
        <f>(D151*'Unit costs'!$N60)/1000</f>
        <v>3.5266445677154401</v>
      </c>
      <c r="M151" s="292">
        <f>(E151*'Unit costs'!$N60)/1000</f>
        <v>4.74753039417475</v>
      </c>
      <c r="N151" s="292">
        <f>(F151*'Unit costs'!$N60)/1000</f>
        <v>6.9825551247781421</v>
      </c>
      <c r="O151" s="292">
        <f>(G151*'Unit costs'!$N60)/1000</f>
        <v>7.0498795768975251</v>
      </c>
      <c r="P151" s="292">
        <f>(H151*'Unit costs'!$N60)/1000</f>
        <v>7.1178531584218545</v>
      </c>
      <c r="Q151" s="292">
        <f>(I151*'Unit costs'!$N60)/1000</f>
        <v>7.1864821281318747</v>
      </c>
      <c r="R151" s="133"/>
      <c r="S151" s="133"/>
      <c r="T151" s="133"/>
      <c r="U151" s="133"/>
      <c r="V151" s="133"/>
      <c r="W151" s="133"/>
      <c r="X151" s="133"/>
      <c r="Y151" s="133"/>
      <c r="Z151" s="133"/>
      <c r="AJ151" s="286"/>
      <c r="AK151" s="286"/>
      <c r="AL151" s="286"/>
      <c r="AM151" s="286"/>
      <c r="AN151" s="286"/>
    </row>
    <row r="152" spans="1:40" x14ac:dyDescent="0.25">
      <c r="A152" s="291"/>
      <c r="B152" s="252" t="s">
        <v>1021</v>
      </c>
      <c r="C152" s="167"/>
      <c r="D152" s="128">
        <f>('Unit costs'!$C61*'Financial impact (cash)'!D$14)+('Unit costs'!$D61*'Financial impact (cash)'!D$15)+('Unit costs'!$E61*'Financial impact (cash)'!D$16)+('Unit costs'!$F61*'Financial impact (cash)'!D$17)</f>
        <v>0</v>
      </c>
      <c r="E152" s="128">
        <f>('Unit costs'!$C61*'Financial impact (cash)'!E$14)+('Unit costs'!$D61*'Financial impact (cash)'!E$15)+('Unit costs'!$E61*'Financial impact (cash)'!E$16)+('Unit costs'!$F61*'Financial impact (cash)'!E$17)</f>
        <v>19.545154928957039</v>
      </c>
      <c r="F152" s="128">
        <f>('Unit costs'!$C61*'Financial impact (cash)'!F$14)+('Unit costs'!$D61*'Financial impact (cash)'!F$15)+('Unit costs'!$E61*'Financial impact (cash)'!F$16)+('Unit costs'!$F61*'Financial impact (cash)'!F$17)</f>
        <v>54.267415261495444</v>
      </c>
      <c r="G152" s="128">
        <f>('Unit costs'!$C61*'Financial impact (cash)'!G$14)+('Unit costs'!$D61*'Financial impact (cash)'!G$15)+('Unit costs'!$E61*'Financial impact (cash)'!G$16)+('Unit costs'!$F61*'Financial impact (cash)'!G$17)</f>
        <v>54.790651231011864</v>
      </c>
      <c r="H152" s="128">
        <f>('Unit costs'!$C61*'Financial impact (cash)'!H$14)+('Unit costs'!$D61*'Financial impact (cash)'!H$15)+('Unit costs'!$E61*'Financial impact (cash)'!H$16)+('Unit costs'!$F61*'Financial impact (cash)'!H$17)</f>
        <v>55.318932141004552</v>
      </c>
      <c r="I152" s="128">
        <f>('Unit costs'!$C61*'Financial impact (cash)'!I$14)+('Unit costs'!$D61*'Financial impact (cash)'!I$15)+('Unit costs'!$E61*'Financial impact (cash)'!I$16)+('Unit costs'!$F61*'Financial impact (cash)'!I$17)</f>
        <v>55.852306633818266</v>
      </c>
      <c r="J152" s="291"/>
      <c r="K152" s="291"/>
      <c r="L152" s="292">
        <f>(D152*'Unit costs'!$N61)/1000</f>
        <v>0</v>
      </c>
      <c r="M152" s="292">
        <f>(E152*'Unit costs'!$N61)/1000</f>
        <v>34.623408823500782</v>
      </c>
      <c r="N152" s="292">
        <f>(F152*'Unit costs'!$N61)/1000</f>
        <v>96.132412929085163</v>
      </c>
      <c r="O152" s="292">
        <f>(G152*'Unit costs'!$N61)/1000</f>
        <v>97.059303145590306</v>
      </c>
      <c r="P152" s="292">
        <f>(H152*'Unit costs'!$N61)/1000</f>
        <v>97.995130259103192</v>
      </c>
      <c r="Q152" s="292">
        <f>(I152*'Unit costs'!$N61)/1000</f>
        <v>98.939980437464101</v>
      </c>
      <c r="R152" s="133"/>
      <c r="S152" s="133"/>
      <c r="T152" s="133"/>
      <c r="U152" s="133"/>
      <c r="V152" s="133"/>
      <c r="W152" s="133"/>
      <c r="X152" s="133"/>
      <c r="Y152" s="133"/>
      <c r="Z152" s="133"/>
      <c r="AJ152" s="286"/>
      <c r="AK152" s="286"/>
      <c r="AL152" s="286"/>
      <c r="AM152" s="286"/>
      <c r="AN152" s="286"/>
    </row>
    <row r="153" spans="1:40" x14ac:dyDescent="0.25">
      <c r="A153" s="291"/>
      <c r="B153" s="252" t="s">
        <v>1022</v>
      </c>
      <c r="C153" s="167"/>
      <c r="D153" s="128">
        <f>('Unit costs'!$C62*'Financial impact (cash)'!D$14)+('Unit costs'!$D62*'Financial impact (cash)'!D$15)+('Unit costs'!$E62*'Financial impact (cash)'!D$16)+('Unit costs'!$F62*'Financial impact (cash)'!D$17)</f>
        <v>166.55724947955514</v>
      </c>
      <c r="E153" s="128">
        <f>('Unit costs'!$C62*'Financial impact (cash)'!E$14)+('Unit costs'!$D62*'Financial impact (cash)'!E$15)+('Unit costs'!$E62*'Financial impact (cash)'!E$16)+('Unit costs'!$F62*'Financial impact (cash)'!E$17)</f>
        <v>158.7680856529079</v>
      </c>
      <c r="F153" s="128">
        <f>('Unit costs'!$C62*'Financial impact (cash)'!F$14)+('Unit costs'!$D62*'Financial impact (cash)'!F$15)+('Unit costs'!$E62*'Financial impact (cash)'!F$16)+('Unit costs'!$F62*'Financial impact (cash)'!F$17)</f>
        <v>146.74190995359078</v>
      </c>
      <c r="G153" s="128">
        <f>('Unit costs'!$C62*'Financial impact (cash)'!G$14)+('Unit costs'!$D62*'Financial impact (cash)'!G$15)+('Unit costs'!$E62*'Financial impact (cash)'!G$16)+('Unit costs'!$F62*'Financial impact (cash)'!G$17)</f>
        <v>148.1567671962525</v>
      </c>
      <c r="H153" s="128">
        <f>('Unit costs'!$C62*'Financial impact (cash)'!H$14)+('Unit costs'!$D62*'Financial impact (cash)'!H$15)+('Unit costs'!$E62*'Financial impact (cash)'!H$16)+('Unit costs'!$F62*'Financial impact (cash)'!H$17)</f>
        <v>149.58526622003691</v>
      </c>
      <c r="I153" s="128">
        <f>('Unit costs'!$C62*'Financial impact (cash)'!I$14)+('Unit costs'!$D62*'Financial impact (cash)'!I$15)+('Unit costs'!$E62*'Financial impact (cash)'!I$16)+('Unit costs'!$F62*'Financial impact (cash)'!I$17)</f>
        <v>151.02753855637104</v>
      </c>
      <c r="J153" s="291"/>
      <c r="K153" s="291"/>
      <c r="L153" s="292">
        <f>(D153*'Unit costs'!$N62)/1000</f>
        <v>93.735498959537694</v>
      </c>
      <c r="M153" s="292">
        <f>(E153*'Unit costs'!$N62)/1000</f>
        <v>89.35189416268986</v>
      </c>
      <c r="N153" s="292">
        <f>(F153*'Unit costs'!$N62)/1000</f>
        <v>82.583773391765789</v>
      </c>
      <c r="O153" s="292">
        <f>(G153*'Unit costs'!$N62)/1000</f>
        <v>83.38003023445394</v>
      </c>
      <c r="P153" s="292">
        <f>(H153*'Unit costs'!$N62)/1000</f>
        <v>84.183964432311114</v>
      </c>
      <c r="Q153" s="292">
        <f>(I153*'Unit costs'!$N62)/1000</f>
        <v>84.995650008917693</v>
      </c>
      <c r="R153" s="133"/>
      <c r="S153" s="133"/>
      <c r="T153" s="133"/>
      <c r="U153" s="133"/>
      <c r="V153" s="133"/>
      <c r="W153" s="133"/>
      <c r="X153" s="133"/>
      <c r="Y153" s="133"/>
      <c r="Z153" s="133"/>
      <c r="AJ153" s="286"/>
      <c r="AK153" s="286"/>
      <c r="AL153" s="286"/>
      <c r="AM153" s="286"/>
      <c r="AN153" s="286"/>
    </row>
    <row r="154" spans="1:40" x14ac:dyDescent="0.25">
      <c r="A154" s="291"/>
      <c r="B154" s="252" t="s">
        <v>1023</v>
      </c>
      <c r="C154" s="167"/>
      <c r="D154" s="128">
        <f>('Unit costs'!$C63*'Financial impact (cash)'!D$14)+('Unit costs'!$D63*'Financial impact (cash)'!D$15)+('Unit costs'!$E63*'Financial impact (cash)'!D$16)+('Unit costs'!$F63*'Financial impact (cash)'!D$17)</f>
        <v>48.506326824960006</v>
      </c>
      <c r="E154" s="128">
        <f>('Unit costs'!$C63*'Financial impact (cash)'!E$14)+('Unit costs'!$D63*'Financial impact (cash)'!E$15)+('Unit costs'!$E63*'Financial impact (cash)'!E$16)+('Unit costs'!$F63*'Financial impact (cash)'!E$17)</f>
        <v>42.105289613955193</v>
      </c>
      <c r="F154" s="128">
        <f>('Unit costs'!$C63*'Financial impact (cash)'!F$14)+('Unit costs'!$D63*'Financial impact (cash)'!F$15)+('Unit costs'!$E63*'Financial impact (cash)'!F$16)+('Unit costs'!$F63*'Financial impact (cash)'!F$17)</f>
        <v>29.508224195670195</v>
      </c>
      <c r="G154" s="128">
        <f>('Unit costs'!$C63*'Financial impact (cash)'!G$14)+('Unit costs'!$D63*'Financial impact (cash)'!G$15)+('Unit costs'!$E63*'Financial impact (cash)'!G$16)+('Unit costs'!$F63*'Financial impact (cash)'!G$17)</f>
        <v>29.792736811967295</v>
      </c>
      <c r="H154" s="128">
        <f>('Unit costs'!$C63*'Financial impact (cash)'!H$14)+('Unit costs'!$D63*'Financial impact (cash)'!H$15)+('Unit costs'!$E63*'Financial impact (cash)'!H$16)+('Unit costs'!$F63*'Financial impact (cash)'!H$17)</f>
        <v>30.079992644131792</v>
      </c>
      <c r="I154" s="128">
        <f>('Unit costs'!$C63*'Financial impact (cash)'!I$14)+('Unit costs'!$D63*'Financial impact (cash)'!I$15)+('Unit costs'!$E63*'Financial impact (cash)'!I$16)+('Unit costs'!$F63*'Financial impact (cash)'!I$17)</f>
        <v>30.370018141722902</v>
      </c>
      <c r="J154" s="291"/>
      <c r="K154" s="291"/>
      <c r="L154" s="292">
        <f>(D154*'Unit costs'!$N63)/1000</f>
        <v>5.9356062968187606</v>
      </c>
      <c r="M154" s="292">
        <f>(E154*'Unit costs'!$N63)/1000</f>
        <v>5.1523262741339533</v>
      </c>
      <c r="N154" s="292">
        <f>(F154*'Unit costs'!$N63)/1000</f>
        <v>3.6108527033144227</v>
      </c>
      <c r="O154" s="292">
        <f>(G154*'Unit costs'!$N63)/1000</f>
        <v>3.6456678498603874</v>
      </c>
      <c r="P154" s="292">
        <f>(H154*'Unit costs'!$N63)/1000</f>
        <v>3.6808186773461773</v>
      </c>
      <c r="Q154" s="292">
        <f>(I154*'Unit costs'!$N63)/1000</f>
        <v>3.7163084223427818</v>
      </c>
      <c r="R154" s="133"/>
      <c r="S154" s="133"/>
      <c r="T154" s="133"/>
      <c r="U154" s="133"/>
      <c r="V154" s="133"/>
      <c r="W154" s="133"/>
      <c r="X154" s="133"/>
      <c r="Y154" s="133"/>
      <c r="Z154" s="133"/>
      <c r="AJ154" s="286"/>
      <c r="AK154" s="286"/>
      <c r="AL154" s="286"/>
      <c r="AM154" s="286"/>
      <c r="AN154" s="286"/>
    </row>
    <row r="155" spans="1:40" x14ac:dyDescent="0.25">
      <c r="A155" s="291"/>
      <c r="B155" s="252" t="s">
        <v>1024</v>
      </c>
      <c r="C155" s="167"/>
      <c r="D155" s="128">
        <f>('Unit costs'!$C64*'Financial impact (cash)'!D$14)+('Unit costs'!$D64*'Financial impact (cash)'!D$15)+('Unit costs'!$E64*'Financial impact (cash)'!D$16)+('Unit costs'!$F64*'Financial impact (cash)'!D$17)</f>
        <v>16.178178310243904</v>
      </c>
      <c r="E155" s="128">
        <f>('Unit costs'!$C64*'Financial impact (cash)'!E$14)+('Unit costs'!$D64*'Financial impact (cash)'!E$15)+('Unit costs'!$E64*'Financial impact (cash)'!E$16)+('Unit costs'!$F64*'Financial impact (cash)'!E$17)</f>
        <v>28.061258148002608</v>
      </c>
      <c r="F155" s="128">
        <f>('Unit costs'!$C64*'Financial impact (cash)'!F$14)+('Unit costs'!$D64*'Financial impact (cash)'!F$15)+('Unit costs'!$E64*'Financial impact (cash)'!F$16)+('Unit costs'!$F64*'Financial impact (cash)'!F$17)</f>
        <v>49.474968199441307</v>
      </c>
      <c r="G155" s="128">
        <f>('Unit costs'!$C64*'Financial impact (cash)'!G$14)+('Unit costs'!$D64*'Financial impact (cash)'!G$15)+('Unit costs'!$E64*'Financial impact (cash)'!G$16)+('Unit costs'!$F64*'Financial impact (cash)'!G$17)</f>
        <v>49.951996317104324</v>
      </c>
      <c r="H155" s="128">
        <f>('Unit costs'!$C64*'Financial impact (cash)'!H$14)+('Unit costs'!$D64*'Financial impact (cash)'!H$15)+('Unit costs'!$E64*'Financial impact (cash)'!H$16)+('Unit costs'!$F64*'Financial impact (cash)'!H$17)</f>
        <v>50.433623848032724</v>
      </c>
      <c r="I155" s="128">
        <f>('Unit costs'!$C64*'Financial impact (cash)'!I$14)+('Unit costs'!$D64*'Financial impact (cash)'!I$15)+('Unit costs'!$E64*'Financial impact (cash)'!I$16)+('Unit costs'!$F64*'Financial impact (cash)'!I$17)</f>
        <v>50.919895138883668</v>
      </c>
      <c r="J155" s="291"/>
      <c r="K155" s="291"/>
      <c r="L155" s="292">
        <f>(D155*'Unit costs'!$N64)/1000</f>
        <v>28.658953264432263</v>
      </c>
      <c r="M155" s="292">
        <f>(E155*'Unit costs'!$N64)/1000</f>
        <v>49.709322668026118</v>
      </c>
      <c r="N155" s="292">
        <f>(F155*'Unit costs'!$N64)/1000</f>
        <v>87.642797241841279</v>
      </c>
      <c r="O155" s="292">
        <f>(G155*'Unit costs'!$N64)/1000</f>
        <v>88.487832218447281</v>
      </c>
      <c r="P155" s="292">
        <f>(H155*'Unit costs'!$N64)/1000</f>
        <v>89.341014859597976</v>
      </c>
      <c r="Q155" s="292">
        <f>(I155*'Unit costs'!$N64)/1000</f>
        <v>90.202423723506229</v>
      </c>
      <c r="R155" s="133"/>
      <c r="S155" s="133"/>
      <c r="T155" s="133"/>
      <c r="U155" s="133"/>
      <c r="V155" s="133"/>
      <c r="W155" s="133"/>
      <c r="X155" s="133"/>
      <c r="Y155" s="133"/>
      <c r="Z155" s="133"/>
      <c r="AJ155" s="286"/>
      <c r="AK155" s="286"/>
      <c r="AL155" s="286"/>
      <c r="AM155" s="286"/>
      <c r="AN155" s="286"/>
    </row>
    <row r="156" spans="1:40" x14ac:dyDescent="0.25">
      <c r="A156" s="291"/>
      <c r="B156" s="252" t="s">
        <v>1025</v>
      </c>
      <c r="C156" s="167"/>
      <c r="D156" s="128">
        <f>('Unit costs'!$C65*'Financial impact (cash)'!D$14)+('Unit costs'!$D65*'Financial impact (cash)'!D$15)+('Unit costs'!$E65*'Financial impact (cash)'!D$16)+('Unit costs'!$F65*'Financial impact (cash)'!D$17)</f>
        <v>53.927261034146348</v>
      </c>
      <c r="E156" s="128">
        <f>('Unit costs'!$C65*'Financial impact (cash)'!E$14)+('Unit costs'!$D65*'Financial impact (cash)'!E$15)+('Unit costs'!$E65*'Financial impact (cash)'!E$16)+('Unit costs'!$F65*'Financial impact (cash)'!E$17)</f>
        <v>65.615877261498639</v>
      </c>
      <c r="F156" s="128">
        <f>('Unit costs'!$C65*'Financial impact (cash)'!F$14)+('Unit costs'!$D65*'Financial impact (cash)'!F$15)+('Unit costs'!$E65*'Financial impact (cash)'!F$16)+('Unit costs'!$F65*'Financial impact (cash)'!F$17)</f>
        <v>87.391681719810848</v>
      </c>
      <c r="G156" s="128">
        <f>('Unit costs'!$C65*'Financial impact (cash)'!G$14)+('Unit costs'!$D65*'Financial impact (cash)'!G$15)+('Unit costs'!$E65*'Financial impact (cash)'!G$16)+('Unit costs'!$F65*'Financial impact (cash)'!G$17)</f>
        <v>88.234295488902234</v>
      </c>
      <c r="H156" s="128">
        <f>('Unit costs'!$C65*'Financial impact (cash)'!H$14)+('Unit costs'!$D65*'Financial impact (cash)'!H$15)+('Unit costs'!$E65*'Financial impact (cash)'!H$16)+('Unit costs'!$F65*'Financial impact (cash)'!H$17)</f>
        <v>89.085033577721617</v>
      </c>
      <c r="I156" s="128">
        <f>('Unit costs'!$C65*'Financial impact (cash)'!I$14)+('Unit costs'!$D65*'Financial impact (cash)'!I$15)+('Unit costs'!$E65*'Financial impact (cash)'!I$16)+('Unit costs'!$F65*'Financial impact (cash)'!I$17)</f>
        <v>89.94397431939565</v>
      </c>
      <c r="J156" s="291"/>
      <c r="K156" s="291"/>
      <c r="L156" s="292">
        <f>(D156*'Unit costs'!$N65)/1000</f>
        <v>30.349316744555335</v>
      </c>
      <c r="M156" s="292">
        <f>(E156*'Unit costs'!$N65)/1000</f>
        <v>36.927464964707738</v>
      </c>
      <c r="N156" s="292">
        <f>(F156*'Unit costs'!$N65)/1000</f>
        <v>49.182505814165168</v>
      </c>
      <c r="O156" s="292">
        <f>(G156*'Unit costs'!$N65)/1000</f>
        <v>49.656714065818925</v>
      </c>
      <c r="P156" s="292">
        <f>(H156*'Unit costs'!$N65)/1000</f>
        <v>50.135494542132903</v>
      </c>
      <c r="Q156" s="292">
        <f>(I156*'Unit costs'!$N65)/1000</f>
        <v>50.618891327617007</v>
      </c>
      <c r="R156" s="133"/>
      <c r="S156" s="133"/>
      <c r="T156" s="133"/>
      <c r="U156" s="133"/>
      <c r="V156" s="133"/>
      <c r="W156" s="133"/>
      <c r="X156" s="133"/>
      <c r="Y156" s="133"/>
      <c r="Z156" s="133"/>
      <c r="AJ156" s="286"/>
      <c r="AK156" s="286"/>
      <c r="AL156" s="286"/>
      <c r="AM156" s="286"/>
      <c r="AN156" s="286"/>
    </row>
    <row r="157" spans="1:40" x14ac:dyDescent="0.25">
      <c r="A157" s="291"/>
      <c r="B157" s="252" t="s">
        <v>1026</v>
      </c>
      <c r="C157" s="167"/>
      <c r="D157" s="128">
        <f>('Unit costs'!$C66*'Financial impact (cash)'!D$14)+('Unit costs'!$D66*'Financial impact (cash)'!D$15)+('Unit costs'!$E66*'Financial impact (cash)'!D$16)+('Unit costs'!$F66*'Financial impact (cash)'!D$17)</f>
        <v>93.380445206727813</v>
      </c>
      <c r="E157" s="128">
        <f>('Unit costs'!$C66*'Financial impact (cash)'!E$14)+('Unit costs'!$D66*'Financial impact (cash)'!E$15)+('Unit costs'!$E66*'Financial impact (cash)'!E$16)+('Unit costs'!$F66*'Financial impact (cash)'!E$17)</f>
        <v>74.152642501469103</v>
      </c>
      <c r="F157" s="128">
        <f>('Unit costs'!$C66*'Financial impact (cash)'!F$14)+('Unit costs'!$D66*'Financial impact (cash)'!F$15)+('Unit costs'!$E66*'Financial impact (cash)'!F$16)+('Unit costs'!$F66*'Financial impact (cash)'!F$17)</f>
        <v>38.172968483864089</v>
      </c>
      <c r="G157" s="128">
        <f>('Unit costs'!$C66*'Financial impact (cash)'!G$14)+('Unit costs'!$D66*'Financial impact (cash)'!G$15)+('Unit costs'!$E66*'Financial impact (cash)'!G$16)+('Unit costs'!$F66*'Financial impact (cash)'!G$17)</f>
        <v>38.541024896312138</v>
      </c>
      <c r="H157" s="128">
        <f>('Unit costs'!$C66*'Financial impact (cash)'!H$14)+('Unit costs'!$D66*'Financial impact (cash)'!H$15)+('Unit costs'!$E66*'Financial impact (cash)'!H$16)+('Unit costs'!$F66*'Financial impact (cash)'!H$17)</f>
        <v>38.912630037824869</v>
      </c>
      <c r="I157" s="128">
        <f>('Unit costs'!$C66*'Financial impact (cash)'!I$14)+('Unit costs'!$D66*'Financial impact (cash)'!I$15)+('Unit costs'!$E66*'Financial impact (cash)'!I$16)+('Unit costs'!$F66*'Financial impact (cash)'!I$17)</f>
        <v>39.287818124564666</v>
      </c>
      <c r="J157" s="291"/>
      <c r="K157" s="291"/>
      <c r="L157" s="292">
        <f>(D157*'Unit costs'!$N66)/1000</f>
        <v>130.4949316530107</v>
      </c>
      <c r="M157" s="292">
        <f>(E157*'Unit costs'!$N66)/1000</f>
        <v>103.62495053110088</v>
      </c>
      <c r="N157" s="292">
        <f>(F157*'Unit costs'!$N66)/1000</f>
        <v>53.344989973719684</v>
      </c>
      <c r="O157" s="292">
        <f>(G157*'Unit costs'!$N66)/1000</f>
        <v>53.85933209621151</v>
      </c>
      <c r="P157" s="292">
        <f>(H157*'Unit costs'!$N66)/1000</f>
        <v>54.378633406418984</v>
      </c>
      <c r="Q157" s="292">
        <f>(I157*'Unit costs'!$N66)/1000</f>
        <v>54.902941719875244</v>
      </c>
      <c r="R157" s="133"/>
      <c r="S157" s="133"/>
      <c r="T157" s="133"/>
      <c r="U157" s="133"/>
      <c r="V157" s="133"/>
      <c r="W157" s="133"/>
      <c r="X157" s="133"/>
      <c r="Y157" s="133"/>
      <c r="Z157" s="133"/>
      <c r="AJ157" s="286"/>
      <c r="AK157" s="286"/>
      <c r="AL157" s="286"/>
      <c r="AM157" s="286"/>
      <c r="AN157" s="286"/>
    </row>
    <row r="158" spans="1:40" x14ac:dyDescent="0.25">
      <c r="A158" s="291"/>
      <c r="B158" s="252" t="s">
        <v>1027</v>
      </c>
      <c r="C158" s="167"/>
      <c r="D158" s="128">
        <f>('Unit costs'!$C67*'Financial impact (cash)'!D$14)+('Unit costs'!$D67*'Financial impact (cash)'!D$15)+('Unit costs'!$E67*'Financial impact (cash)'!D$16)+('Unit costs'!$F67*'Financial impact (cash)'!D$17)</f>
        <v>176.02521721681171</v>
      </c>
      <c r="E158" s="128">
        <f>('Unit costs'!$C67*'Financial impact (cash)'!E$14)+('Unit costs'!$D67*'Financial impact (cash)'!E$15)+('Unit costs'!$E67*'Financial impact (cash)'!E$16)+('Unit costs'!$F67*'Financial impact (cash)'!E$17)</f>
        <v>148.49180162426023</v>
      </c>
      <c r="F158" s="128">
        <f>('Unit costs'!$C67*'Financial impact (cash)'!F$14)+('Unit costs'!$D67*'Financial impact (cash)'!F$15)+('Unit costs'!$E67*'Financial impact (cash)'!F$16)+('Unit costs'!$F67*'Financial impact (cash)'!F$17)</f>
        <v>96.701996818128492</v>
      </c>
      <c r="G158" s="128">
        <f>('Unit costs'!$C67*'Financial impact (cash)'!G$14)+('Unit costs'!$D67*'Financial impact (cash)'!G$15)+('Unit costs'!$E67*'Financial impact (cash)'!G$16)+('Unit costs'!$F67*'Financial impact (cash)'!G$17)</f>
        <v>97.634378852826359</v>
      </c>
      <c r="H158" s="128">
        <f>('Unit costs'!$C67*'Financial impact (cash)'!H$14)+('Unit costs'!$D67*'Financial impact (cash)'!H$15)+('Unit costs'!$E67*'Financial impact (cash)'!H$16)+('Unit costs'!$F67*'Financial impact (cash)'!H$17)</f>
        <v>98.575750735585615</v>
      </c>
      <c r="I158" s="128">
        <f>('Unit costs'!$C67*'Financial impact (cash)'!I$14)+('Unit costs'!$D67*'Financial impact (cash)'!I$15)+('Unit costs'!$E67*'Financial impact (cash)'!I$16)+('Unit costs'!$F67*'Financial impact (cash)'!I$17)</f>
        <v>99.526199144790354</v>
      </c>
      <c r="J158" s="291"/>
      <c r="K158" s="291"/>
      <c r="L158" s="292">
        <f>(D158*'Unit costs'!$N67)/1000</f>
        <v>99.063905154750998</v>
      </c>
      <c r="M158" s="292">
        <f>(E158*'Unit costs'!$N67)/1000</f>
        <v>83.568581734770248</v>
      </c>
      <c r="N158" s="292">
        <f>(F158*'Unit costs'!$N67)/1000</f>
        <v>54.422187869063933</v>
      </c>
      <c r="O158" s="292">
        <f>(G158*'Unit costs'!$N67)/1000</f>
        <v>54.946916126263218</v>
      </c>
      <c r="P158" s="292">
        <f>(H158*'Unit costs'!$N67)/1000</f>
        <v>55.476703712289307</v>
      </c>
      <c r="Q158" s="292">
        <f>(I158*'Unit costs'!$N67)/1000</f>
        <v>56.011599408216611</v>
      </c>
      <c r="R158" s="133"/>
      <c r="S158" s="133"/>
      <c r="T158" s="133"/>
      <c r="U158" s="133"/>
      <c r="V158" s="133"/>
      <c r="W158" s="133"/>
      <c r="X158" s="133"/>
      <c r="Y158" s="133"/>
      <c r="Z158" s="133"/>
      <c r="AJ158" s="286"/>
      <c r="AK158" s="286"/>
      <c r="AL158" s="286"/>
      <c r="AM158" s="286"/>
      <c r="AN158" s="286"/>
    </row>
    <row r="159" spans="1:40" x14ac:dyDescent="0.25">
      <c r="A159" s="291"/>
      <c r="B159" s="252" t="s">
        <v>1028</v>
      </c>
      <c r="C159" s="167"/>
      <c r="D159" s="128">
        <f>('Unit costs'!$C68*'Financial impact (cash)'!D$14)+('Unit costs'!$D68*'Financial impact (cash)'!D$15)+('Unit costs'!$E68*'Financial impact (cash)'!D$16)+('Unit costs'!$F68*'Financial impact (cash)'!D$17)</f>
        <v>26.963630517073174</v>
      </c>
      <c r="E159" s="128">
        <f>('Unit costs'!$C68*'Financial impact (cash)'!E$14)+('Unit costs'!$D68*'Financial impact (cash)'!E$15)+('Unit costs'!$E68*'Financial impact (cash)'!E$16)+('Unit costs'!$F68*'Financial impact (cash)'!E$17)</f>
        <v>21.639278671345295</v>
      </c>
      <c r="F159" s="128">
        <f>('Unit costs'!$C68*'Financial impact (cash)'!F$14)+('Unit costs'!$D68*'Financial impact (cash)'!F$15)+('Unit costs'!$E68*'Financial impact (cash)'!F$16)+('Unit costs'!$F68*'Financial impact (cash)'!F$17)</f>
        <v>12.685889281908027</v>
      </c>
      <c r="G159" s="128">
        <f>('Unit costs'!$C68*'Financial impact (cash)'!G$14)+('Unit costs'!$D68*'Financial impact (cash)'!G$15)+('Unit costs'!$E68*'Financial impact (cash)'!G$16)+('Unit costs'!$F68*'Financial impact (cash)'!G$17)</f>
        <v>12.808204183872906</v>
      </c>
      <c r="H159" s="128">
        <f>('Unit costs'!$C68*'Financial impact (cash)'!H$14)+('Unit costs'!$D68*'Financial impact (cash)'!H$15)+('Unit costs'!$E68*'Financial impact (cash)'!H$16)+('Unit costs'!$F68*'Financial impact (cash)'!H$17)</f>
        <v>12.931698422572495</v>
      </c>
      <c r="I159" s="128">
        <f>('Unit costs'!$C68*'Financial impact (cash)'!I$14)+('Unit costs'!$D68*'Financial impact (cash)'!I$15)+('Unit costs'!$E68*'Financial impact (cash)'!I$16)+('Unit costs'!$F68*'Financial impact (cash)'!I$17)</f>
        <v>13.05638336894453</v>
      </c>
      <c r="J159" s="291"/>
      <c r="K159" s="291"/>
      <c r="L159" s="292">
        <f>(D159*'Unit costs'!$N68)/1000</f>
        <v>79.306448137345328</v>
      </c>
      <c r="M159" s="292">
        <f>(E159*'Unit costs'!$N68)/1000</f>
        <v>63.646263458178034</v>
      </c>
      <c r="N159" s="292">
        <f>(F159*'Unit costs'!$N68)/1000</f>
        <v>37.312216534591144</v>
      </c>
      <c r="O159" s="292">
        <f>(G159*'Unit costs'!$N68)/1000</f>
        <v>37.671973742470101</v>
      </c>
      <c r="P159" s="292">
        <f>(H159*'Unit costs'!$N68)/1000</f>
        <v>38.035199660081176</v>
      </c>
      <c r="Q159" s="292">
        <f>(I159*'Unit costs'!$N68)/1000</f>
        <v>38.401927732055768</v>
      </c>
      <c r="R159" s="133"/>
      <c r="S159" s="133"/>
      <c r="T159" s="133"/>
      <c r="U159" s="133"/>
      <c r="V159" s="133"/>
      <c r="W159" s="133"/>
      <c r="X159" s="133"/>
      <c r="Y159" s="133"/>
      <c r="Z159" s="133"/>
      <c r="AJ159" s="286"/>
      <c r="AK159" s="286"/>
      <c r="AL159" s="286"/>
      <c r="AM159" s="286"/>
      <c r="AN159" s="286"/>
    </row>
    <row r="160" spans="1:40" x14ac:dyDescent="0.25">
      <c r="A160" s="291"/>
      <c r="B160" s="252" t="s">
        <v>1029</v>
      </c>
      <c r="C160" s="167"/>
      <c r="D160" s="128">
        <f>('Unit costs'!$C69*'Financial impact (cash)'!D$14)+('Unit costs'!$D69*'Financial impact (cash)'!D$15)+('Unit costs'!$E69*'Financial impact (cash)'!D$16)+('Unit costs'!$F69*'Financial impact (cash)'!D$17)</f>
        <v>160.51988519424003</v>
      </c>
      <c r="E160" s="128">
        <f>('Unit costs'!$C69*'Financial impact (cash)'!E$14)+('Unit costs'!$D69*'Financial impact (cash)'!E$15)+('Unit costs'!$E69*'Financial impact (cash)'!E$16)+('Unit costs'!$F69*'Financial impact (cash)'!E$17)</f>
        <v>116.7339962461939</v>
      </c>
      <c r="F160" s="128">
        <f>('Unit costs'!$C69*'Financial impact (cash)'!F$14)+('Unit costs'!$D69*'Financial impact (cash)'!F$15)+('Unit costs'!$E69*'Financial impact (cash)'!F$16)+('Unit costs'!$F69*'Financial impact (cash)'!F$17)</f>
        <v>32.039481970386916</v>
      </c>
      <c r="G160" s="128">
        <f>('Unit costs'!$C69*'Financial impact (cash)'!G$14)+('Unit costs'!$D69*'Financial impact (cash)'!G$15)+('Unit costs'!$E69*'Financial impact (cash)'!G$16)+('Unit costs'!$F69*'Financial impact (cash)'!G$17)</f>
        <v>32.348400486789409</v>
      </c>
      <c r="H160" s="128">
        <f>('Unit costs'!$C69*'Financial impact (cash)'!H$14)+('Unit costs'!$D69*'Financial impact (cash)'!H$15)+('Unit costs'!$E69*'Financial impact (cash)'!H$16)+('Unit costs'!$F69*'Financial impact (cash)'!H$17)</f>
        <v>32.660297536049093</v>
      </c>
      <c r="I160" s="128">
        <f>('Unit costs'!$C69*'Financial impact (cash)'!I$14)+('Unit costs'!$D69*'Financial impact (cash)'!I$15)+('Unit costs'!$E69*'Financial impact (cash)'!I$16)+('Unit costs'!$F69*'Financial impact (cash)'!I$17)</f>
        <v>32.975201836606303</v>
      </c>
      <c r="J160" s="291"/>
      <c r="K160" s="291"/>
      <c r="L160" s="292">
        <f>(D160*'Unit costs'!$N69)/1000</f>
        <v>203.12905415528706</v>
      </c>
      <c r="M160" s="292">
        <f>(E160*'Unit costs'!$N69)/1000</f>
        <v>147.72042863451452</v>
      </c>
      <c r="N160" s="292">
        <f>(F160*'Unit costs'!$N69)/1000</f>
        <v>40.544195881991577</v>
      </c>
      <c r="O160" s="292">
        <f>(G160*'Unit costs'!$N69)/1000</f>
        <v>40.935115212465561</v>
      </c>
      <c r="P160" s="292">
        <f>(H160*'Unit costs'!$N69)/1000</f>
        <v>41.329803711857892</v>
      </c>
      <c r="Q160" s="292">
        <f>(I160*'Unit costs'!$N69)/1000</f>
        <v>41.728297721769593</v>
      </c>
      <c r="R160" s="133"/>
      <c r="S160" s="133"/>
      <c r="T160" s="133"/>
      <c r="U160" s="133"/>
      <c r="V160" s="133"/>
      <c r="W160" s="133"/>
      <c r="X160" s="133"/>
      <c r="Y160" s="133"/>
      <c r="Z160" s="133"/>
      <c r="AJ160" s="286"/>
      <c r="AK160" s="286"/>
      <c r="AL160" s="286"/>
      <c r="AM160" s="286"/>
      <c r="AN160" s="286"/>
    </row>
    <row r="161" spans="1:40" x14ac:dyDescent="0.25">
      <c r="A161" s="291"/>
      <c r="B161" s="252" t="s">
        <v>1030</v>
      </c>
      <c r="C161" s="167"/>
      <c r="D161" s="128">
        <f>('Unit costs'!$C70*'Financial impact (cash)'!D$14)+('Unit costs'!$D70*'Financial impact (cash)'!D$15)+('Unit costs'!$E70*'Financial impact (cash)'!D$16)+('Unit costs'!$F70*'Financial impact (cash)'!D$17)</f>
        <v>32.356356620487809</v>
      </c>
      <c r="E161" s="128">
        <f>('Unit costs'!$C70*'Financial impact (cash)'!E$14)+('Unit costs'!$D70*'Financial impact (cash)'!E$15)+('Unit costs'!$E70*'Financial impact (cash)'!E$16)+('Unit costs'!$F70*'Financial impact (cash)'!E$17)</f>
        <v>22.616536417793146</v>
      </c>
      <c r="F161" s="128">
        <f>('Unit costs'!$C70*'Financial impact (cash)'!F$14)+('Unit costs'!$D70*'Financial impact (cash)'!F$15)+('Unit costs'!$E70*'Financial impact (cash)'!F$16)+('Unit costs'!$F70*'Financial impact (cash)'!F$17)</f>
        <v>5.9200816648904127</v>
      </c>
      <c r="G161" s="128">
        <f>('Unit costs'!$C70*'Financial impact (cash)'!G$14)+('Unit costs'!$D70*'Financial impact (cash)'!G$15)+('Unit costs'!$E70*'Financial impact (cash)'!G$16)+('Unit costs'!$F70*'Financial impact (cash)'!G$17)</f>
        <v>5.977161952474022</v>
      </c>
      <c r="H161" s="128">
        <f>('Unit costs'!$C70*'Financial impact (cash)'!H$14)+('Unit costs'!$D70*'Financial impact (cash)'!H$15)+('Unit costs'!$E70*'Financial impact (cash)'!H$16)+('Unit costs'!$F70*'Financial impact (cash)'!H$17)</f>
        <v>6.0347925972004974</v>
      </c>
      <c r="I161" s="128">
        <f>('Unit costs'!$C70*'Financial impact (cash)'!I$14)+('Unit costs'!$D70*'Financial impact (cash)'!I$15)+('Unit costs'!$E70*'Financial impact (cash)'!I$16)+('Unit costs'!$F70*'Financial impact (cash)'!I$17)</f>
        <v>6.0929789055074473</v>
      </c>
      <c r="J161" s="291"/>
      <c r="K161" s="291"/>
      <c r="L161" s="292">
        <f>(D161*'Unit costs'!$N70)/1000</f>
        <v>58.559817560931009</v>
      </c>
      <c r="M161" s="292">
        <f>(E161*'Unit costs'!$N70)/1000</f>
        <v>40.932304647906662</v>
      </c>
      <c r="N161" s="292">
        <f>(F161*'Unit costs'!$N70)/1000</f>
        <v>10.714398605134694</v>
      </c>
      <c r="O161" s="292">
        <f>(G161*'Unit costs'!$N70)/1000</f>
        <v>10.817704773577191</v>
      </c>
      <c r="P161" s="292">
        <f>(H161*'Unit costs'!$N70)/1000</f>
        <v>10.922007000205646</v>
      </c>
      <c r="Q161" s="292">
        <f>(I161*'Unit costs'!$N70)/1000</f>
        <v>11.02731488882131</v>
      </c>
      <c r="R161" s="133"/>
      <c r="S161" s="133"/>
      <c r="T161" s="133"/>
      <c r="U161" s="133"/>
      <c r="V161" s="133"/>
      <c r="W161" s="133"/>
      <c r="X161" s="133"/>
      <c r="Y161" s="133"/>
      <c r="Z161" s="133"/>
      <c r="AJ161" s="286"/>
      <c r="AK161" s="286"/>
      <c r="AL161" s="286"/>
      <c r="AM161" s="286"/>
      <c r="AN161" s="286"/>
    </row>
    <row r="162" spans="1:40" x14ac:dyDescent="0.25">
      <c r="A162" s="291"/>
      <c r="B162" s="252" t="s">
        <v>1031</v>
      </c>
      <c r="C162" s="167"/>
      <c r="D162" s="128">
        <f>('Unit costs'!$C71*'Financial impact (cash)'!D$14)+('Unit costs'!$D71*'Financial impact (cash)'!D$15)+('Unit costs'!$E71*'Financial impact (cash)'!D$16)+('Unit costs'!$F71*'Financial impact (cash)'!D$17)</f>
        <v>54.853980273763902</v>
      </c>
      <c r="E162" s="128">
        <f>('Unit costs'!$C71*'Financial impact (cash)'!E$14)+('Unit costs'!$D71*'Financial impact (cash)'!E$15)+('Unit costs'!$E71*'Financial impact (cash)'!E$16)+('Unit costs'!$F71*'Financial impact (cash)'!E$17)</f>
        <v>53.28316371782573</v>
      </c>
      <c r="F162" s="128">
        <f>('Unit costs'!$C71*'Financial impact (cash)'!F$14)+('Unit costs'!$D71*'Financial impact (cash)'!F$15)+('Unit costs'!$E71*'Financial impact (cash)'!F$16)+('Unit costs'!$F71*'Financial impact (cash)'!F$17)</f>
        <v>49.469611935077829</v>
      </c>
      <c r="G162" s="128">
        <f>('Unit costs'!$C71*'Financial impact (cash)'!G$14)+('Unit costs'!$D71*'Financial impact (cash)'!G$15)+('Unit costs'!$E71*'Financial impact (cash)'!G$16)+('Unit costs'!$F71*'Financial impact (cash)'!G$17)</f>
        <v>49.946588408671133</v>
      </c>
      <c r="H162" s="128">
        <f>('Unit costs'!$C71*'Financial impact (cash)'!H$14)+('Unit costs'!$D71*'Financial impact (cash)'!H$15)+('Unit costs'!$E71*'Financial impact (cash)'!H$16)+('Unit costs'!$F71*'Financial impact (cash)'!H$17)</f>
        <v>50.428163797587644</v>
      </c>
      <c r="I162" s="128">
        <f>('Unit costs'!$C71*'Financial impact (cash)'!I$14)+('Unit costs'!$D71*'Financial impact (cash)'!I$15)+('Unit costs'!$E71*'Financial impact (cash)'!I$16)+('Unit costs'!$F71*'Financial impact (cash)'!I$17)</f>
        <v>50.914382443683444</v>
      </c>
      <c r="J162" s="291"/>
      <c r="K162" s="291"/>
      <c r="L162" s="292">
        <f>(D162*'Unit costs'!$N71)/1000</f>
        <v>6.7123538727938632</v>
      </c>
      <c r="M162" s="292">
        <f>(E162*'Unit costs'!$N71)/1000</f>
        <v>6.5201367075110843</v>
      </c>
      <c r="N162" s="292">
        <f>(F162*'Unit costs'!$N71)/1000</f>
        <v>6.0534812533348452</v>
      </c>
      <c r="O162" s="292">
        <f>(G162*'Unit costs'!$N71)/1000</f>
        <v>6.1118477540660034</v>
      </c>
      <c r="P162" s="292">
        <f>(H162*'Unit costs'!$N71)/1000</f>
        <v>6.1707770133595536</v>
      </c>
      <c r="Q162" s="292">
        <f>(I162*'Unit costs'!$N71)/1000</f>
        <v>6.2302744572252031</v>
      </c>
      <c r="R162" s="133"/>
      <c r="S162" s="133"/>
      <c r="T162" s="133"/>
      <c r="U162" s="133"/>
      <c r="V162" s="133"/>
      <c r="W162" s="133"/>
      <c r="X162" s="133"/>
      <c r="Y162" s="133"/>
      <c r="Z162" s="133"/>
      <c r="AJ162" s="286"/>
      <c r="AK162" s="286"/>
      <c r="AL162" s="286"/>
      <c r="AM162" s="286"/>
      <c r="AN162" s="286"/>
    </row>
    <row r="163" spans="1:40" x14ac:dyDescent="0.25">
      <c r="A163" s="291"/>
      <c r="B163" s="252" t="s">
        <v>1032</v>
      </c>
      <c r="C163" s="167"/>
      <c r="D163" s="128">
        <f>('Unit costs'!$C72*'Financial impact (cash)'!D$14)+('Unit costs'!$D72*'Financial impact (cash)'!D$15)+('Unit costs'!$E72*'Financial impact (cash)'!D$16)+('Unit costs'!$F72*'Financial impact (cash)'!D$17)</f>
        <v>105.84345005680393</v>
      </c>
      <c r="E163" s="128">
        <f>('Unit costs'!$C72*'Financial impact (cash)'!E$14)+('Unit costs'!$D72*'Financial impact (cash)'!E$15)+('Unit costs'!$E72*'Financial impact (cash)'!E$16)+('Unit costs'!$F72*'Financial impact (cash)'!E$17)</f>
        <v>118.94846229964473</v>
      </c>
      <c r="F163" s="128">
        <f>('Unit costs'!$C72*'Financial impact (cash)'!F$14)+('Unit costs'!$D72*'Financial impact (cash)'!F$15)+('Unit costs'!$E72*'Financial impact (cash)'!F$16)+('Unit costs'!$F72*'Financial impact (cash)'!F$17)</f>
        <v>139.09598352905945</v>
      </c>
      <c r="G163" s="128">
        <f>('Unit costs'!$C72*'Financial impact (cash)'!G$14)+('Unit costs'!$D72*'Financial impact (cash)'!G$15)+('Unit costs'!$E72*'Financial impact (cash)'!G$16)+('Unit costs'!$F72*'Financial impact (cash)'!G$17)</f>
        <v>140.43712022125248</v>
      </c>
      <c r="H163" s="128">
        <f>('Unit costs'!$C72*'Financial impact (cash)'!H$14)+('Unit costs'!$D72*'Financial impact (cash)'!H$15)+('Unit costs'!$E72*'Financial impact (cash)'!H$16)+('Unit costs'!$F72*'Financial impact (cash)'!H$17)</f>
        <v>141.79118789521442</v>
      </c>
      <c r="I163" s="128">
        <f>('Unit costs'!$C72*'Financial impact (cash)'!I$14)+('Unit costs'!$D72*'Financial impact (cash)'!I$15)+('Unit costs'!$E72*'Financial impact (cash)'!I$16)+('Unit costs'!$F72*'Financial impact (cash)'!I$17)</f>
        <v>143.1583112289818</v>
      </c>
      <c r="J163" s="291"/>
      <c r="K163" s="291"/>
      <c r="L163" s="292">
        <f>(D163*'Unit costs'!$N72)/1000</f>
        <v>65.207848502921166</v>
      </c>
      <c r="M163" s="292">
        <f>(E163*'Unit costs'!$N72)/1000</f>
        <v>73.28156163775823</v>
      </c>
      <c r="N163" s="292">
        <f>(F163*'Unit costs'!$N72)/1000</f>
        <v>85.694011452385283</v>
      </c>
      <c r="O163" s="292">
        <f>(G163*'Unit costs'!$N72)/1000</f>
        <v>86.520256611620923</v>
      </c>
      <c r="P163" s="292">
        <f>(H163*'Unit costs'!$N72)/1000</f>
        <v>87.354468267599884</v>
      </c>
      <c r="Q163" s="292">
        <f>(I163*'Unit costs'!$N72)/1000</f>
        <v>88.196723231749928</v>
      </c>
      <c r="R163" s="133"/>
      <c r="S163" s="133"/>
      <c r="T163" s="133"/>
      <c r="U163" s="133"/>
      <c r="V163" s="133"/>
      <c r="W163" s="133"/>
      <c r="X163" s="133"/>
      <c r="Y163" s="133"/>
      <c r="Z163" s="133"/>
      <c r="AJ163" s="286"/>
      <c r="AK163" s="286"/>
      <c r="AL163" s="286"/>
      <c r="AM163" s="286"/>
      <c r="AN163" s="286"/>
    </row>
    <row r="164" spans="1:40" x14ac:dyDescent="0.25">
      <c r="A164" s="291"/>
      <c r="B164" s="252" t="s">
        <v>1033</v>
      </c>
      <c r="C164" s="167"/>
      <c r="D164" s="128">
        <f>('Unit costs'!$C73*'Financial impact (cash)'!D$14)+('Unit costs'!$D73*'Financial impact (cash)'!D$15)+('Unit costs'!$E73*'Financial impact (cash)'!D$16)+('Unit costs'!$F73*'Financial impact (cash)'!D$17)</f>
        <v>45.274839413759999</v>
      </c>
      <c r="E164" s="128">
        <f>('Unit costs'!$C73*'Financial impact (cash)'!E$14)+('Unit costs'!$D73*'Financial impact (cash)'!E$15)+('Unit costs'!$E73*'Financial impact (cash)'!E$16)+('Unit costs'!$F73*'Financial impact (cash)'!E$17)</f>
        <v>33.62241315828885</v>
      </c>
      <c r="F164" s="128">
        <f>('Unit costs'!$C73*'Financial impact (cash)'!F$14)+('Unit costs'!$D73*'Financial impact (cash)'!F$15)+('Unit costs'!$E73*'Financial impact (cash)'!F$16)+('Unit costs'!$F73*'Financial impact (cash)'!F$17)</f>
        <v>11.061249727871671</v>
      </c>
      <c r="G164" s="128">
        <f>('Unit costs'!$C73*'Financial impact (cash)'!G$14)+('Unit costs'!$D73*'Financial impact (cash)'!G$15)+('Unit costs'!$E73*'Financial impact (cash)'!G$16)+('Unit costs'!$F73*'Financial impact (cash)'!G$17)</f>
        <v>11.167900168058246</v>
      </c>
      <c r="H164" s="128">
        <f>('Unit costs'!$C73*'Financial impact (cash)'!H$14)+('Unit costs'!$D73*'Financial impact (cash)'!H$15)+('Unit costs'!$E73*'Financial impact (cash)'!H$16)+('Unit costs'!$F73*'Financial impact (cash)'!H$17)</f>
        <v>11.275578911255042</v>
      </c>
      <c r="I164" s="128">
        <f>('Unit costs'!$C73*'Financial impact (cash)'!I$14)+('Unit costs'!$D73*'Financial impact (cash)'!I$15)+('Unit costs'!$E73*'Financial impact (cash)'!I$16)+('Unit costs'!$F73*'Financial impact (cash)'!I$17)</f>
        <v>11.384295872161701</v>
      </c>
      <c r="J164" s="291"/>
      <c r="K164" s="291"/>
      <c r="L164" s="292">
        <f>(D164*'Unit costs'!$N73)/1000</f>
        <v>5.5401767048147059</v>
      </c>
      <c r="M164" s="292">
        <f>(E164*'Unit costs'!$N73)/1000</f>
        <v>4.1142964293451385</v>
      </c>
      <c r="N164" s="292">
        <f>(F164*'Unit costs'!$N73)/1000</f>
        <v>1.3535393799733264</v>
      </c>
      <c r="O164" s="292">
        <f>(G164*'Unit costs'!$N73)/1000</f>
        <v>1.3665899460698749</v>
      </c>
      <c r="P164" s="292">
        <f>(H164*'Unit costs'!$N73)/1000</f>
        <v>1.3797663432120217</v>
      </c>
      <c r="Q164" s="292">
        <f>(I164*'Unit costs'!$N73)/1000</f>
        <v>1.3930697846384812</v>
      </c>
      <c r="R164" s="133"/>
      <c r="S164" s="133"/>
      <c r="T164" s="133"/>
      <c r="U164" s="133"/>
      <c r="V164" s="133"/>
      <c r="W164" s="133"/>
      <c r="X164" s="133"/>
      <c r="Y164" s="133"/>
      <c r="Z164" s="133"/>
      <c r="AJ164" s="286"/>
      <c r="AK164" s="286"/>
      <c r="AL164" s="286"/>
      <c r="AM164" s="286"/>
      <c r="AN164" s="286"/>
    </row>
    <row r="165" spans="1:40" x14ac:dyDescent="0.25">
      <c r="A165" s="291"/>
      <c r="B165" s="252" t="s">
        <v>1034</v>
      </c>
      <c r="C165" s="167"/>
      <c r="D165" s="128">
        <f>('Unit costs'!$C74*'Financial impact (cash)'!D$14)+('Unit costs'!$D74*'Financial impact (cash)'!D$15)+('Unit costs'!$E74*'Financial impact (cash)'!D$16)+('Unit costs'!$F74*'Financial impact (cash)'!D$17)</f>
        <v>21.570904413658543</v>
      </c>
      <c r="E165" s="128">
        <f>('Unit costs'!$C74*'Financial impact (cash)'!E$14)+('Unit costs'!$D74*'Financial impact (cash)'!E$15)+('Unit costs'!$E74*'Financial impact (cash)'!E$16)+('Unit costs'!$F74*'Financial impact (cash)'!E$17)</f>
        <v>34.622845874152475</v>
      </c>
      <c r="F165" s="128">
        <f>('Unit costs'!$C74*'Financial impact (cash)'!F$14)+('Unit costs'!$D74*'Financial impact (cash)'!F$15)+('Unit costs'!$E74*'Financial impact (cash)'!F$16)+('Unit costs'!$F74*'Financial impact (cash)'!F$17)</f>
        <v>58.214136371422384</v>
      </c>
      <c r="G165" s="128">
        <f>('Unit costs'!$C74*'Financial impact (cash)'!G$14)+('Unit costs'!$D74*'Financial impact (cash)'!G$15)+('Unit costs'!$E74*'Financial impact (cash)'!G$16)+('Unit costs'!$F74*'Financial impact (cash)'!G$17)</f>
        <v>58.775425865994549</v>
      </c>
      <c r="H165" s="128">
        <f>('Unit costs'!$C74*'Financial impact (cash)'!H$14)+('Unit costs'!$D74*'Financial impact (cash)'!H$15)+('Unit costs'!$E74*'Financial impact (cash)'!H$16)+('Unit costs'!$F74*'Financial impact (cash)'!H$17)</f>
        <v>59.342127205804886</v>
      </c>
      <c r="I165" s="128">
        <f>('Unit costs'!$C74*'Financial impact (cash)'!I$14)+('Unit costs'!$D74*'Financial impact (cash)'!I$15)+('Unit costs'!$E74*'Financial impact (cash)'!I$16)+('Unit costs'!$F74*'Financial impact (cash)'!I$17)</f>
        <v>59.914292570823228</v>
      </c>
      <c r="J165" s="291"/>
      <c r="K165" s="291"/>
      <c r="L165" s="292">
        <f>(D165*'Unit costs'!$N74)/1000</f>
        <v>2.9297336855614051</v>
      </c>
      <c r="M165" s="292">
        <f>(E165*'Unit costs'!$N74)/1000</f>
        <v>4.7024323089242772</v>
      </c>
      <c r="N165" s="292">
        <f>(F165*'Unit costs'!$N74)/1000</f>
        <v>7.9065723454427479</v>
      </c>
      <c r="O165" s="292">
        <f>(G165*'Unit costs'!$N74)/1000</f>
        <v>7.9828059936971334</v>
      </c>
      <c r="P165" s="292">
        <f>(H165*'Unit costs'!$N74)/1000</f>
        <v>8.0597746721102563</v>
      </c>
      <c r="Q165" s="292">
        <f>(I165*'Unit costs'!$N74)/1000</f>
        <v>8.1374854677013939</v>
      </c>
      <c r="R165" s="133"/>
      <c r="S165" s="133"/>
      <c r="T165" s="133"/>
      <c r="U165" s="133"/>
      <c r="V165" s="133"/>
      <c r="W165" s="133"/>
      <c r="X165" s="133"/>
      <c r="Y165" s="133"/>
      <c r="Z165" s="133"/>
      <c r="AJ165" s="286"/>
      <c r="AK165" s="286"/>
      <c r="AL165" s="286"/>
      <c r="AM165" s="286"/>
      <c r="AN165" s="286"/>
    </row>
    <row r="166" spans="1:40" x14ac:dyDescent="0.25">
      <c r="A166" s="291"/>
      <c r="B166" s="252" t="s">
        <v>1035</v>
      </c>
      <c r="C166" s="167"/>
      <c r="D166" s="128">
        <f>('Unit costs'!$C75*'Financial impact (cash)'!D$14)+('Unit costs'!$D75*'Financial impact (cash)'!D$15)+('Unit costs'!$E75*'Financial impact (cash)'!D$16)+('Unit costs'!$F75*'Financial impact (cash)'!D$17)</f>
        <v>26.963630517073145</v>
      </c>
      <c r="E166" s="128">
        <f>('Unit costs'!$C75*'Financial impact (cash)'!E$14)+('Unit costs'!$D75*'Financial impact (cash)'!E$15)+('Unit costs'!$E75*'Financial impact (cash)'!E$16)+('Unit costs'!$F75*'Financial impact (cash)'!E$17)</f>
        <v>30.015773640898296</v>
      </c>
      <c r="F166" s="128">
        <f>('Unit costs'!$C75*'Financial impact (cash)'!F$14)+('Unit costs'!$D75*'Financial impact (cash)'!F$15)+('Unit costs'!$E75*'Financial impact (cash)'!F$16)+('Unit costs'!$F75*'Financial impact (cash)'!F$17)</f>
        <v>35.943352965406071</v>
      </c>
      <c r="G166" s="128">
        <f>('Unit costs'!$C75*'Financial impact (cash)'!G$14)+('Unit costs'!$D75*'Financial impact (cash)'!G$15)+('Unit costs'!$E75*'Financial impact (cash)'!G$16)+('Unit costs'!$F75*'Financial impact (cash)'!G$17)</f>
        <v>36.28991185430656</v>
      </c>
      <c r="H166" s="128">
        <f>('Unit costs'!$C75*'Financial impact (cash)'!H$14)+('Unit costs'!$D75*'Financial impact (cash)'!H$15)+('Unit costs'!$E75*'Financial impact (cash)'!H$16)+('Unit costs'!$F75*'Financial impact (cash)'!H$17)</f>
        <v>36.639812197288727</v>
      </c>
      <c r="I166" s="128">
        <f>('Unit costs'!$C75*'Financial impact (cash)'!I$14)+('Unit costs'!$D75*'Financial impact (cash)'!I$15)+('Unit costs'!$E75*'Financial impact (cash)'!I$16)+('Unit costs'!$F75*'Financial impact (cash)'!I$17)</f>
        <v>36.993086212009501</v>
      </c>
      <c r="J166" s="291"/>
      <c r="K166" s="291"/>
      <c r="L166" s="292">
        <f>(D166*'Unit costs'!$N75)/1000</f>
        <v>15.17465837227765</v>
      </c>
      <c r="M166" s="292">
        <f>(E166*'Unit costs'!$N75)/1000</f>
        <v>16.89235099449396</v>
      </c>
      <c r="N166" s="292">
        <f>(F166*'Unit costs'!$N75)/1000</f>
        <v>20.228288681632446</v>
      </c>
      <c r="O166" s="292">
        <f>(G166*'Unit costs'!$N75)/1000</f>
        <v>20.423325946425521</v>
      </c>
      <c r="P166" s="292">
        <f>(H166*'Unit costs'!$N75)/1000</f>
        <v>20.620243722974017</v>
      </c>
      <c r="Q166" s="292">
        <f>(I166*'Unit costs'!$N75)/1000</f>
        <v>20.819060142810219</v>
      </c>
      <c r="R166" s="133"/>
      <c r="S166" s="133"/>
      <c r="T166" s="133"/>
      <c r="U166" s="133"/>
      <c r="V166" s="133"/>
      <c r="W166" s="133"/>
      <c r="X166" s="133"/>
      <c r="Y166" s="133"/>
      <c r="Z166" s="133"/>
      <c r="AJ166" s="286"/>
      <c r="AK166" s="286"/>
      <c r="AL166" s="286"/>
      <c r="AM166" s="286"/>
      <c r="AN166" s="286"/>
    </row>
    <row r="167" spans="1:40" x14ac:dyDescent="0.25">
      <c r="A167" s="291"/>
      <c r="B167" s="252" t="s">
        <v>1036</v>
      </c>
      <c r="C167" s="167"/>
      <c r="D167" s="128">
        <f>('Unit costs'!$C76*'Financial impact (cash)'!D$14)+('Unit costs'!$D76*'Financial impact (cash)'!D$15)+('Unit costs'!$E76*'Financial impact (cash)'!D$16)+('Unit costs'!$F76*'Financial impact (cash)'!D$17)</f>
        <v>37.74908272390244</v>
      </c>
      <c r="E167" s="128">
        <f>('Unit costs'!$C76*'Financial impact (cash)'!E$14)+('Unit costs'!$D76*'Financial impact (cash)'!E$15)+('Unit costs'!$E76*'Financial impact (cash)'!E$16)+('Unit costs'!$F76*'Financial impact (cash)'!E$17)</f>
        <v>37.554619113496031</v>
      </c>
      <c r="F167" s="128">
        <f>('Unit costs'!$C76*'Financial impact (cash)'!F$14)+('Unit costs'!$D76*'Financial impact (cash)'!F$15)+('Unit costs'!$E76*'Financial impact (cash)'!F$16)+('Unit costs'!$F76*'Financial impact (cash)'!F$17)</f>
        <v>37.916713520369548</v>
      </c>
      <c r="G167" s="128">
        <f>('Unit costs'!$C76*'Financial impact (cash)'!G$14)+('Unit costs'!$D76*'Financial impact (cash)'!G$15)+('Unit costs'!$E76*'Financial impact (cash)'!G$16)+('Unit costs'!$F76*'Financial impact (cash)'!G$17)</f>
        <v>38.282299171797909</v>
      </c>
      <c r="H167" s="128">
        <f>('Unit costs'!$C76*'Financial impact (cash)'!H$14)+('Unit costs'!$D76*'Financial impact (cash)'!H$15)+('Unit costs'!$E76*'Financial impact (cash)'!H$16)+('Unit costs'!$F76*'Financial impact (cash)'!H$17)</f>
        <v>38.651409729688901</v>
      </c>
      <c r="I167" s="128">
        <f>('Unit costs'!$C76*'Financial impact (cash)'!I$14)+('Unit costs'!$D76*'Financial impact (cash)'!I$15)+('Unit costs'!$E76*'Financial impact (cash)'!I$16)+('Unit costs'!$F76*'Financial impact (cash)'!I$17)</f>
        <v>39.02407918051199</v>
      </c>
      <c r="J167" s="291"/>
      <c r="K167" s="291"/>
      <c r="L167" s="292">
        <f>(D167*'Unit costs'!$N76)/1000</f>
        <v>18.964263950599804</v>
      </c>
      <c r="M167" s="292">
        <f>(E167*'Unit costs'!$N76)/1000</f>
        <v>18.866569941357071</v>
      </c>
      <c r="N167" s="292">
        <f>(F167*'Unit costs'!$N76)/1000</f>
        <v>19.048477776236385</v>
      </c>
      <c r="O167" s="292">
        <f>(G167*'Unit costs'!$N76)/1000</f>
        <v>19.232139531435788</v>
      </c>
      <c r="P167" s="292">
        <f>(H167*'Unit costs'!$N76)/1000</f>
        <v>19.417572117917306</v>
      </c>
      <c r="Q167" s="292">
        <f>(I167*'Unit costs'!$N76)/1000</f>
        <v>19.604792609695217</v>
      </c>
      <c r="R167" s="133"/>
      <c r="S167" s="133"/>
      <c r="T167" s="133"/>
      <c r="U167" s="133"/>
      <c r="V167" s="133"/>
      <c r="W167" s="133"/>
      <c r="X167" s="133"/>
      <c r="Y167" s="133"/>
      <c r="Z167" s="133"/>
      <c r="AJ167" s="286"/>
      <c r="AK167" s="286"/>
      <c r="AL167" s="286"/>
      <c r="AM167" s="286"/>
      <c r="AN167" s="286"/>
    </row>
    <row r="168" spans="1:40" x14ac:dyDescent="0.25">
      <c r="A168" s="291"/>
      <c r="B168" s="252" t="s">
        <v>1037</v>
      </c>
      <c r="C168" s="167"/>
      <c r="D168" s="128">
        <f>('Unit costs'!$C77*'Financial impact (cash)'!D$14)+('Unit costs'!$D77*'Financial impact (cash)'!D$15)+('Unit costs'!$E77*'Financial impact (cash)'!D$16)+('Unit costs'!$F77*'Financial impact (cash)'!D$17)</f>
        <v>40.070443898880008</v>
      </c>
      <c r="E168" s="128">
        <f>('Unit costs'!$C77*'Financial impact (cash)'!E$14)+('Unit costs'!$D77*'Financial impact (cash)'!E$15)+('Unit costs'!$E77*'Financial impact (cash)'!E$16)+('Unit costs'!$F77*'Financial impact (cash)'!E$17)</f>
        <v>30.840579178900299</v>
      </c>
      <c r="F168" s="128">
        <f>('Unit costs'!$C77*'Financial impact (cash)'!F$14)+('Unit costs'!$D77*'Financial impact (cash)'!F$15)+('Unit costs'!$E77*'Financial impact (cash)'!F$16)+('Unit costs'!$F77*'Financial impact (cash)'!F$17)</f>
        <v>12.933686985881296</v>
      </c>
      <c r="G168" s="128">
        <f>('Unit costs'!$C77*'Financial impact (cash)'!G$14)+('Unit costs'!$D77*'Financial impact (cash)'!G$15)+('Unit costs'!$E77*'Financial impact (cash)'!G$16)+('Unit costs'!$F77*'Financial impact (cash)'!G$17)</f>
        <v>13.058391105597888</v>
      </c>
      <c r="H168" s="128">
        <f>('Unit costs'!$C77*'Financial impact (cash)'!H$14)+('Unit costs'!$D77*'Financial impact (cash)'!H$15)+('Unit costs'!$E77*'Financial impact (cash)'!H$16)+('Unit costs'!$F77*'Financial impact (cash)'!H$17)</f>
        <v>13.184297598426745</v>
      </c>
      <c r="I168" s="128">
        <f>('Unit costs'!$C77*'Financial impact (cash)'!I$14)+('Unit costs'!$D77*'Financial impact (cash)'!I$15)+('Unit costs'!$E77*'Financial impact (cash)'!I$16)+('Unit costs'!$F77*'Financial impact (cash)'!I$17)</f>
        <v>13.311418057417914</v>
      </c>
      <c r="J168" s="291"/>
      <c r="K168" s="291"/>
      <c r="L168" s="292">
        <f>(D168*'Unit costs'!$N77)/1000</f>
        <v>6.5965169875919161</v>
      </c>
      <c r="M168" s="292">
        <f>(E168*'Unit costs'!$N77)/1000</f>
        <v>5.0770688983177372</v>
      </c>
      <c r="N168" s="292">
        <f>(F168*'Unit costs'!$N77)/1000</f>
        <v>2.1291824500338796</v>
      </c>
      <c r="O168" s="292">
        <f>(G168*'Unit costs'!$N77)/1000</f>
        <v>2.1497116172726831</v>
      </c>
      <c r="P168" s="292">
        <f>(H168*'Unit costs'!$N77)/1000</f>
        <v>2.1704387227893975</v>
      </c>
      <c r="Q168" s="292">
        <f>(I168*'Unit costs'!$N77)/1000</f>
        <v>2.1913656750667885</v>
      </c>
      <c r="R168" s="133"/>
      <c r="S168" s="133"/>
      <c r="T168" s="133"/>
      <c r="U168" s="133"/>
      <c r="V168" s="133"/>
      <c r="W168" s="133"/>
      <c r="X168" s="133"/>
      <c r="Y168" s="133"/>
      <c r="Z168" s="133"/>
      <c r="AJ168" s="286"/>
      <c r="AK168" s="286"/>
      <c r="AL168" s="286"/>
      <c r="AM168" s="286"/>
      <c r="AN168" s="286"/>
    </row>
    <row r="169" spans="1:40" x14ac:dyDescent="0.25">
      <c r="A169" s="291"/>
      <c r="B169" s="252" t="s">
        <v>1038</v>
      </c>
      <c r="C169" s="167"/>
      <c r="D169" s="128">
        <f>('Unit costs'!$C78*'Financial impact (cash)'!D$14)+('Unit costs'!$D78*'Financial impact (cash)'!D$15)+('Unit costs'!$E78*'Financial impact (cash)'!D$16)+('Unit costs'!$F78*'Financial impact (cash)'!D$17)</f>
        <v>53.927261034146348</v>
      </c>
      <c r="E169" s="128">
        <f>('Unit costs'!$C78*'Financial impact (cash)'!E$14)+('Unit costs'!$D78*'Financial impact (cash)'!E$15)+('Unit costs'!$E78*'Financial impact (cash)'!E$16)+('Unit costs'!$F78*'Financial impact (cash)'!E$17)</f>
        <v>54.447217302094614</v>
      </c>
      <c r="F169" s="128">
        <f>('Unit costs'!$C78*'Financial impact (cash)'!F$14)+('Unit costs'!$D78*'Financial impact (cash)'!F$15)+('Unit costs'!$E78*'Financial impact (cash)'!F$16)+('Unit costs'!$F78*'Financial impact (cash)'!F$17)</f>
        <v>56.381730141813449</v>
      </c>
      <c r="G169" s="128">
        <f>('Unit costs'!$C78*'Financial impact (cash)'!G$14)+('Unit costs'!$D78*'Financial impact (cash)'!G$15)+('Unit costs'!$E78*'Financial impact (cash)'!G$16)+('Unit costs'!$F78*'Financial impact (cash)'!G$17)</f>
        <v>56.925351928324019</v>
      </c>
      <c r="H169" s="128">
        <f>('Unit costs'!$C78*'Financial impact (cash)'!H$14)+('Unit costs'!$D78*'Financial impact (cash)'!H$15)+('Unit costs'!$E78*'Financial impact (cash)'!H$16)+('Unit costs'!$F78*'Financial impact (cash)'!H$17)</f>
        <v>57.474215211433304</v>
      </c>
      <c r="I169" s="128">
        <f>('Unit costs'!$C78*'Financial impact (cash)'!I$14)+('Unit costs'!$D78*'Financial impact (cash)'!I$15)+('Unit costs'!$E78*'Financial impact (cash)'!I$16)+('Unit costs'!$F78*'Financial impact (cash)'!I$17)</f>
        <v>58.028370528642355</v>
      </c>
      <c r="J169" s="291"/>
      <c r="K169" s="291"/>
      <c r="L169" s="292">
        <f>(D169*'Unit costs'!$N78)/1000</f>
        <v>9.5285367635232099</v>
      </c>
      <c r="M169" s="292">
        <f>(E169*'Unit costs'!$N78)/1000</f>
        <v>9.6204090804100684</v>
      </c>
      <c r="N169" s="292">
        <f>(F169*'Unit costs'!$N78)/1000</f>
        <v>9.962222782038582</v>
      </c>
      <c r="O169" s="292">
        <f>(G169*'Unit costs'!$N78)/1000</f>
        <v>10.058276616015764</v>
      </c>
      <c r="P169" s="292">
        <f>(H169*'Unit costs'!$N78)/1000</f>
        <v>10.155256582566325</v>
      </c>
      <c r="Q169" s="292">
        <f>(I169*'Unit costs'!$N78)/1000</f>
        <v>10.253171611282227</v>
      </c>
      <c r="R169" s="133"/>
      <c r="S169" s="133"/>
      <c r="T169" s="133"/>
      <c r="U169" s="133"/>
      <c r="V169" s="133"/>
      <c r="W169" s="133"/>
      <c r="X169" s="133"/>
      <c r="Y169" s="133"/>
      <c r="Z169" s="133"/>
      <c r="AJ169" s="286"/>
      <c r="AK169" s="286"/>
      <c r="AL169" s="286"/>
      <c r="AM169" s="286"/>
      <c r="AN169" s="286"/>
    </row>
    <row r="170" spans="1:40" x14ac:dyDescent="0.25">
      <c r="A170" s="291"/>
      <c r="B170" s="252" t="s">
        <v>1039</v>
      </c>
      <c r="C170" s="167"/>
      <c r="D170" s="128">
        <f>('Unit costs'!$C79*'Financial impact (cash)'!D$14)+('Unit costs'!$D79*'Financial impact (cash)'!D$15)+('Unit costs'!$E79*'Financial impact (cash)'!D$16)+('Unit costs'!$F79*'Financial impact (cash)'!D$17)</f>
        <v>24.991303168512005</v>
      </c>
      <c r="E170" s="128">
        <f>('Unit costs'!$C79*'Financial impact (cash)'!E$14)+('Unit costs'!$D79*'Financial impact (cash)'!E$15)+('Unit costs'!$E79*'Financial impact (cash)'!E$16)+('Unit costs'!$F79*'Financial impact (cash)'!E$17)</f>
        <v>18.638287661903334</v>
      </c>
      <c r="F170" s="128">
        <f>('Unit costs'!$C79*'Financial impact (cash)'!F$14)+('Unit costs'!$D79*'Financial impact (cash)'!F$15)+('Unit costs'!$E79*'Financial impact (cash)'!F$16)+('Unit costs'!$F79*'Financial impact (cash)'!F$17)</f>
        <v>6.3350793895992297</v>
      </c>
      <c r="G170" s="128">
        <f>('Unit costs'!$C79*'Financial impact (cash)'!G$14)+('Unit costs'!$D79*'Financial impact (cash)'!G$15)+('Unit costs'!$E79*'Financial impact (cash)'!G$16)+('Unit costs'!$F79*'Financial impact (cash)'!G$17)</f>
        <v>6.3961610053424511</v>
      </c>
      <c r="H170" s="128">
        <f>('Unit costs'!$C79*'Financial impact (cash)'!H$14)+('Unit costs'!$D79*'Financial impact (cash)'!H$15)+('Unit costs'!$E79*'Financial impact (cash)'!H$16)+('Unit costs'!$F79*'Financial impact (cash)'!H$17)</f>
        <v>6.4578315582642531</v>
      </c>
      <c r="I170" s="128">
        <f>('Unit costs'!$C79*'Financial impact (cash)'!I$14)+('Unit costs'!$D79*'Financial impact (cash)'!I$15)+('Unit costs'!$E79*'Financial impact (cash)'!I$16)+('Unit costs'!$F79*'Financial impact (cash)'!I$17)</f>
        <v>6.5200967267835193</v>
      </c>
      <c r="J170" s="291"/>
      <c r="K170" s="291"/>
      <c r="L170" s="292">
        <f>(D170*'Unit costs'!$N79)/1000</f>
        <v>3.0581275920566227</v>
      </c>
      <c r="M170" s="292">
        <f>(E170*'Unit costs'!$N79)/1000</f>
        <v>2.2807238735501607</v>
      </c>
      <c r="N170" s="292">
        <f>(F170*'Unit costs'!$N79)/1000</f>
        <v>0.7752089176210869</v>
      </c>
      <c r="O170" s="292">
        <f>(G170*'Unit costs'!$N79)/1000</f>
        <v>0.78268333274911039</v>
      </c>
      <c r="P170" s="292">
        <f>(H170*'Unit costs'!$N79)/1000</f>
        <v>0.79022981474870357</v>
      </c>
      <c r="Q170" s="292">
        <f>(I170*'Unit costs'!$N79)/1000</f>
        <v>0.7978490584747665</v>
      </c>
      <c r="R170" s="133"/>
      <c r="S170" s="133"/>
      <c r="T170" s="133"/>
      <c r="U170" s="133"/>
      <c r="V170" s="133"/>
      <c r="W170" s="133"/>
      <c r="X170" s="133"/>
      <c r="Y170" s="133"/>
      <c r="Z170" s="133"/>
      <c r="AJ170" s="286"/>
      <c r="AK170" s="286"/>
      <c r="AL170" s="286"/>
      <c r="AM170" s="286"/>
      <c r="AN170" s="286"/>
    </row>
    <row r="171" spans="1:40" x14ac:dyDescent="0.25">
      <c r="A171" s="291"/>
      <c r="B171" s="252" t="s">
        <v>1040</v>
      </c>
      <c r="C171" s="167"/>
      <c r="D171" s="128">
        <f>('Unit costs'!$C80*'Financial impact (cash)'!D$14)+('Unit costs'!$D80*'Financial impact (cash)'!D$15)+('Unit costs'!$E80*'Financial impact (cash)'!D$16)+('Unit costs'!$F80*'Financial impact (cash)'!D$17)</f>
        <v>426.02536216975619</v>
      </c>
      <c r="E171" s="128">
        <f>('Unit costs'!$C80*'Financial impact (cash)'!E$14)+('Unit costs'!$D80*'Financial impact (cash)'!E$15)+('Unit costs'!$E80*'Financial impact (cash)'!E$16)+('Unit costs'!$F80*'Financial impact (cash)'!E$17)</f>
        <v>593.75388509181607</v>
      </c>
      <c r="F171" s="128">
        <f>('Unit costs'!$C80*'Financial impact (cash)'!F$14)+('Unit costs'!$D80*'Financial impact (cash)'!F$15)+('Unit costs'!$E80*'Financial impact (cash)'!F$16)+('Unit costs'!$F80*'Financial impact (cash)'!F$17)</f>
        <v>899.7114587379873</v>
      </c>
      <c r="G171" s="128">
        <f>('Unit costs'!$C80*'Financial impact (cash)'!G$14)+('Unit costs'!$D80*'Financial impact (cash)'!G$15)+('Unit costs'!$E80*'Financial impact (cash)'!G$16)+('Unit costs'!$F80*'Financial impact (cash)'!G$17)</f>
        <v>908.38630339622966</v>
      </c>
      <c r="H171" s="128">
        <f>('Unit costs'!$C80*'Financial impact (cash)'!H$14)+('Unit costs'!$D80*'Financial impact (cash)'!H$15)+('Unit costs'!$E80*'Financial impact (cash)'!H$16)+('Unit costs'!$F80*'Financial impact (cash)'!H$17)</f>
        <v>917.14478923644617</v>
      </c>
      <c r="I171" s="128">
        <f>('Unit costs'!$C80*'Financial impact (cash)'!I$14)+('Unit costs'!$D80*'Financial impact (cash)'!I$15)+('Unit costs'!$E80*'Financial impact (cash)'!I$16)+('Unit costs'!$F80*'Financial impact (cash)'!I$17)</f>
        <v>925.98772271080952</v>
      </c>
      <c r="J171" s="291"/>
      <c r="K171" s="291"/>
      <c r="L171" s="292">
        <f>(D171*'Unit costs'!$N80)/1000</f>
        <v>214.02526458534072</v>
      </c>
      <c r="M171" s="292">
        <f>(E171*'Unit costs'!$N80)/1000</f>
        <v>298.28818572710617</v>
      </c>
      <c r="N171" s="292">
        <f>(F171*'Unit costs'!$N80)/1000</f>
        <v>451.99417712162347</v>
      </c>
      <c r="O171" s="292">
        <f>(G171*'Unit costs'!$N80)/1000</f>
        <v>456.3522179522472</v>
      </c>
      <c r="P171" s="292">
        <f>(H171*'Unit costs'!$N80)/1000</f>
        <v>460.75227817347968</v>
      </c>
      <c r="Q171" s="292">
        <f>(I171*'Unit costs'!$N80)/1000</f>
        <v>465.1947629281949</v>
      </c>
      <c r="R171" s="133"/>
      <c r="S171" s="133"/>
      <c r="T171" s="133"/>
      <c r="U171" s="133"/>
      <c r="V171" s="133"/>
      <c r="W171" s="133"/>
      <c r="X171" s="133"/>
      <c r="Y171" s="133"/>
      <c r="Z171" s="133"/>
      <c r="AJ171" s="286"/>
      <c r="AK171" s="286"/>
      <c r="AL171" s="286"/>
      <c r="AM171" s="286"/>
      <c r="AN171" s="286"/>
    </row>
    <row r="172" spans="1:40" x14ac:dyDescent="0.25">
      <c r="A172" s="291"/>
      <c r="B172" s="252" t="s">
        <v>1041</v>
      </c>
      <c r="C172" s="167"/>
      <c r="D172" s="128">
        <f>('Unit costs'!$C81*'Financial impact (cash)'!D$14)+('Unit costs'!$D81*'Financial impact (cash)'!D$15)+('Unit costs'!$E81*'Financial impact (cash)'!D$16)+('Unit costs'!$F81*'Financial impact (cash)'!D$17)</f>
        <v>70.105439344390263</v>
      </c>
      <c r="E172" s="128">
        <f>('Unit costs'!$C81*'Financial impact (cash)'!E$14)+('Unit costs'!$D81*'Financial impact (cash)'!E$15)+('Unit costs'!$E81*'Financial impact (cash)'!E$16)+('Unit costs'!$F81*'Financial impact (cash)'!E$17)</f>
        <v>110.43012534860728</v>
      </c>
      <c r="F172" s="128">
        <f>('Unit costs'!$C81*'Financial impact (cash)'!F$14)+('Unit costs'!$D81*'Financial impact (cash)'!F$15)+('Unit costs'!$E81*'Financial impact (cash)'!F$16)+('Unit costs'!$F81*'Financial impact (cash)'!F$17)</f>
        <v>183.38157728624824</v>
      </c>
      <c r="G172" s="128">
        <f>('Unit costs'!$C81*'Financial impact (cash)'!G$14)+('Unit costs'!$D81*'Financial impact (cash)'!G$15)+('Unit costs'!$E81*'Financial impact (cash)'!G$16)+('Unit costs'!$F81*'Financial impact (cash)'!G$17)</f>
        <v>185.14970714687388</v>
      </c>
      <c r="H172" s="128">
        <f>('Unit costs'!$C81*'Financial impact (cash)'!H$14)+('Unit costs'!$D81*'Financial impact (cash)'!H$15)+('Unit costs'!$E81*'Financial impact (cash)'!H$16)+('Unit costs'!$F81*'Financial impact (cash)'!H$17)</f>
        <v>186.93488497518683</v>
      </c>
      <c r="I172" s="128">
        <f>('Unit costs'!$C81*'Financial impact (cash)'!I$14)+('Unit costs'!$D81*'Financial impact (cash)'!I$15)+('Unit costs'!$E81*'Financial impact (cash)'!I$16)+('Unit costs'!$F81*'Financial impact (cash)'!I$17)</f>
        <v>188.73727514440927</v>
      </c>
      <c r="J172" s="291"/>
      <c r="K172" s="291"/>
      <c r="L172" s="292">
        <f>(D172*'Unit costs'!$N81)/1000</f>
        <v>35.219347336828221</v>
      </c>
      <c r="M172" s="292">
        <f>(E172*'Unit costs'!$N81)/1000</f>
        <v>55.477534660273015</v>
      </c>
      <c r="N172" s="292">
        <f>(F172*'Unit costs'!$N81)/1000</f>
        <v>92.126652739343996</v>
      </c>
      <c r="O172" s="292">
        <f>(G172*'Unit costs'!$N81)/1000</f>
        <v>93.014920187352999</v>
      </c>
      <c r="P172" s="292">
        <f>(H172*'Unit costs'!$N81)/1000</f>
        <v>93.911752139072163</v>
      </c>
      <c r="Q172" s="292">
        <f>(I172*'Unit costs'!$N81)/1000</f>
        <v>94.817231171797303</v>
      </c>
      <c r="R172" s="133"/>
      <c r="S172" s="133"/>
      <c r="T172" s="133"/>
      <c r="U172" s="133"/>
      <c r="V172" s="133"/>
      <c r="W172" s="133"/>
      <c r="X172" s="133"/>
      <c r="Y172" s="133"/>
      <c r="Z172" s="133"/>
      <c r="AJ172" s="286"/>
      <c r="AK172" s="286"/>
      <c r="AL172" s="286"/>
      <c r="AM172" s="286"/>
      <c r="AN172" s="286"/>
    </row>
    <row r="173" spans="1:40" x14ac:dyDescent="0.25">
      <c r="A173" s="291"/>
      <c r="B173" s="252" t="s">
        <v>1042</v>
      </c>
      <c r="C173" s="167"/>
      <c r="D173" s="128">
        <f>('Unit costs'!$C82*'Financial impact (cash)'!D$14)+('Unit costs'!$D82*'Financial impact (cash)'!D$15)+('Unit costs'!$E82*'Financial impact (cash)'!D$16)+('Unit costs'!$F82*'Financial impact (cash)'!D$17)</f>
        <v>26.963630517073174</v>
      </c>
      <c r="E173" s="128">
        <f>('Unit costs'!$C82*'Financial impact (cash)'!E$14)+('Unit costs'!$D82*'Financial impact (cash)'!E$15)+('Unit costs'!$E82*'Financial impact (cash)'!E$16)+('Unit costs'!$F82*'Financial impact (cash)'!E$17)</f>
        <v>24.431443661196301</v>
      </c>
      <c r="F173" s="128">
        <f>('Unit costs'!$C82*'Financial impact (cash)'!F$14)+('Unit costs'!$D82*'Financial impact (cash)'!F$15)+('Unit costs'!$E82*'Financial impact (cash)'!F$16)+('Unit costs'!$F82*'Financial impact (cash)'!F$17)</f>
        <v>20.438377176407378</v>
      </c>
      <c r="G173" s="128">
        <f>('Unit costs'!$C82*'Financial impact (cash)'!G$14)+('Unit costs'!$D82*'Financial impact (cash)'!G$15)+('Unit costs'!$E82*'Financial impact (cash)'!G$16)+('Unit costs'!$F82*'Financial impact (cash)'!G$17)</f>
        <v>20.63544007401746</v>
      </c>
      <c r="H173" s="128">
        <f>('Unit costs'!$C82*'Financial impact (cash)'!H$14)+('Unit costs'!$D82*'Financial impact (cash)'!H$15)+('Unit costs'!$E82*'Financial impact (cash)'!H$16)+('Unit costs'!$F82*'Financial impact (cash)'!H$17)</f>
        <v>20.834403014144574</v>
      </c>
      <c r="I173" s="128">
        <f>('Unit costs'!$C82*'Financial impact (cash)'!I$14)+('Unit costs'!$D82*'Financial impact (cash)'!I$15)+('Unit costs'!$E82*'Financial impact (cash)'!I$16)+('Unit costs'!$F82*'Financial impact (cash)'!I$17)</f>
        <v>21.035284316632854</v>
      </c>
      <c r="J173" s="291"/>
      <c r="K173" s="291"/>
      <c r="L173" s="292">
        <f>(D173*'Unit costs'!$N82)/1000</f>
        <v>41.112400403537116</v>
      </c>
      <c r="M173" s="292">
        <f>(E173*'Unit costs'!$N82)/1000</f>
        <v>37.251485611314841</v>
      </c>
      <c r="N173" s="292">
        <f>(F173*'Unit costs'!$N82)/1000</f>
        <v>31.163116018183128</v>
      </c>
      <c r="O173" s="292">
        <f>(G173*'Unit costs'!$N82)/1000</f>
        <v>31.463584782806535</v>
      </c>
      <c r="P173" s="292">
        <f>(H173*'Unit costs'!$N82)/1000</f>
        <v>31.766950609407353</v>
      </c>
      <c r="Q173" s="292">
        <f>(I173*'Unit costs'!$N82)/1000</f>
        <v>32.073241430899394</v>
      </c>
      <c r="R173" s="133"/>
      <c r="S173" s="133"/>
      <c r="T173" s="133"/>
      <c r="U173" s="133"/>
      <c r="V173" s="133"/>
      <c r="W173" s="133"/>
      <c r="X173" s="133"/>
      <c r="Y173" s="133"/>
      <c r="Z173" s="133"/>
      <c r="AJ173" s="286"/>
      <c r="AK173" s="286"/>
      <c r="AL173" s="286"/>
      <c r="AM173" s="286"/>
      <c r="AN173" s="286"/>
    </row>
    <row r="174" spans="1:40" x14ac:dyDescent="0.25">
      <c r="A174" s="291"/>
      <c r="B174" s="252" t="s">
        <v>1043</v>
      </c>
      <c r="C174" s="167"/>
      <c r="D174" s="128">
        <f>('Unit costs'!$C83*'Financial impact (cash)'!D$14)+('Unit costs'!$D83*'Financial impact (cash)'!D$15)+('Unit costs'!$E83*'Financial impact (cash)'!D$16)+('Unit costs'!$F83*'Financial impact (cash)'!D$17)</f>
        <v>52.384111718400007</v>
      </c>
      <c r="E174" s="128">
        <f>('Unit costs'!$C83*'Financial impact (cash)'!E$14)+('Unit costs'!$D83*'Financial impact (cash)'!E$15)+('Unit costs'!$E83*'Financial impact (cash)'!E$16)+('Unit costs'!$F83*'Financial impact (cash)'!E$17)</f>
        <v>37.777992312684106</v>
      </c>
      <c r="F174" s="128">
        <f>('Unit costs'!$C83*'Financial impact (cash)'!F$14)+('Unit costs'!$D83*'Financial impact (cash)'!F$15)+('Unit costs'!$E83*'Financial impact (cash)'!F$16)+('Unit costs'!$F83*'Financial impact (cash)'!F$17)</f>
        <v>9.5355601102341989</v>
      </c>
      <c r="G174" s="128">
        <f>('Unit costs'!$C83*'Financial impact (cash)'!G$14)+('Unit costs'!$D83*'Financial impact (cash)'!G$15)+('Unit costs'!$E83*'Financial impact (cash)'!G$16)+('Unit costs'!$F83*'Financial impact (cash)'!G$17)</f>
        <v>9.6275001448777999</v>
      </c>
      <c r="H174" s="128">
        <f>('Unit costs'!$C83*'Financial impact (cash)'!H$14)+('Unit costs'!$D83*'Financial impact (cash)'!H$15)+('Unit costs'!$E83*'Financial impact (cash)'!H$16)+('Unit costs'!$F83*'Financial impact (cash)'!H$17)</f>
        <v>9.7203266476336587</v>
      </c>
      <c r="I174" s="128">
        <f>('Unit costs'!$C83*'Financial impact (cash)'!I$14)+('Unit costs'!$D83*'Financial impact (cash)'!I$15)+('Unit costs'!$E83*'Financial impact (cash)'!I$16)+('Unit costs'!$F83*'Financial impact (cash)'!I$17)</f>
        <v>9.8140481656566383</v>
      </c>
      <c r="J174" s="291"/>
      <c r="K174" s="291"/>
      <c r="L174" s="292">
        <f>(D174*'Unit costs'!$N83)/1000</f>
        <v>66.289201822238198</v>
      </c>
      <c r="M174" s="292">
        <f>(E174*'Unit costs'!$N83)/1000</f>
        <v>47.8059639593898</v>
      </c>
      <c r="N174" s="292">
        <f>(F174*'Unit costs'!$N83)/1000</f>
        <v>12.066724964878444</v>
      </c>
      <c r="O174" s="292">
        <f>(G174*'Unit costs'!$N83)/1000</f>
        <v>12.183070003709989</v>
      </c>
      <c r="P174" s="292">
        <f>(H174*'Unit costs'!$N83)/1000</f>
        <v>12.300536819005327</v>
      </c>
      <c r="Q174" s="292">
        <f>(I174*'Unit costs'!$N83)/1000</f>
        <v>12.419136226717143</v>
      </c>
      <c r="R174" s="133"/>
      <c r="S174" s="133"/>
      <c r="T174" s="133"/>
      <c r="U174" s="133"/>
      <c r="V174" s="133"/>
      <c r="W174" s="133"/>
      <c r="X174" s="133"/>
      <c r="Y174" s="133"/>
      <c r="Z174" s="133"/>
      <c r="AJ174" s="286"/>
      <c r="AK174" s="286"/>
      <c r="AL174" s="286"/>
      <c r="AM174" s="286"/>
      <c r="AN174" s="286"/>
    </row>
    <row r="175" spans="1:40" x14ac:dyDescent="0.25">
      <c r="A175" s="291"/>
      <c r="B175" s="252" t="s">
        <v>1044</v>
      </c>
      <c r="C175" s="167"/>
      <c r="D175" s="128">
        <f>('Unit costs'!$C84*'Financial impact (cash)'!D$14)+('Unit costs'!$D84*'Financial impact (cash)'!D$15)+('Unit costs'!$E84*'Financial impact (cash)'!D$16)+('Unit costs'!$F84*'Financial impact (cash)'!D$17)</f>
        <v>46.214003405923904</v>
      </c>
      <c r="E175" s="128">
        <f>('Unit costs'!$C84*'Financial impact (cash)'!E$14)+('Unit costs'!$D84*'Financial impact (cash)'!E$15)+('Unit costs'!$E84*'Financial impact (cash)'!E$16)+('Unit costs'!$F84*'Financial impact (cash)'!E$17)</f>
        <v>53.485874896088902</v>
      </c>
      <c r="F175" s="128">
        <f>('Unit costs'!$C84*'Financial impact (cash)'!F$14)+('Unit costs'!$D84*'Financial impact (cash)'!F$15)+('Unit costs'!$E84*'Financial impact (cash)'!F$16)+('Unit costs'!$F84*'Financial impact (cash)'!F$17)</f>
        <v>65.514724698835096</v>
      </c>
      <c r="G175" s="128">
        <f>('Unit costs'!$C84*'Financial impact (cash)'!G$14)+('Unit costs'!$D84*'Financial impact (cash)'!G$15)+('Unit costs'!$E84*'Financial impact (cash)'!G$16)+('Unit costs'!$F84*'Financial impact (cash)'!G$17)</f>
        <v>66.14640506043358</v>
      </c>
      <c r="H175" s="128">
        <f>('Unit costs'!$C84*'Financial impact (cash)'!H$14)+('Unit costs'!$D84*'Financial impact (cash)'!H$15)+('Unit costs'!$E84*'Financial impact (cash)'!H$16)+('Unit costs'!$F84*'Financial impact (cash)'!H$17)</f>
        <v>66.784175962457326</v>
      </c>
      <c r="I175" s="128">
        <f>('Unit costs'!$C84*'Financial impact (cash)'!I$14)+('Unit costs'!$D84*'Financial impact (cash)'!I$15)+('Unit costs'!$E84*'Financial impact (cash)'!I$16)+('Unit costs'!$F84*'Financial impact (cash)'!I$17)</f>
        <v>67.428096128724491</v>
      </c>
      <c r="J175" s="291"/>
      <c r="K175" s="291"/>
      <c r="L175" s="292">
        <f>(D175*'Unit costs'!$N84)/1000</f>
        <v>23.216843842643097</v>
      </c>
      <c r="M175" s="292">
        <f>(E175*'Unit costs'!$N84)/1000</f>
        <v>26.870063481461226</v>
      </c>
      <c r="N175" s="292">
        <f>(F175*'Unit costs'!$N84)/1000</f>
        <v>32.913078734304882</v>
      </c>
      <c r="O175" s="292">
        <f>(G175*'Unit costs'!$N84)/1000</f>
        <v>33.23042030250619</v>
      </c>
      <c r="P175" s="292">
        <f>(H175*'Unit costs'!$N84)/1000</f>
        <v>33.550821617008374</v>
      </c>
      <c r="Q175" s="292">
        <f>(I175*'Unit costs'!$N84)/1000</f>
        <v>33.874312179296197</v>
      </c>
      <c r="R175" s="133"/>
      <c r="S175" s="133"/>
      <c r="T175" s="133"/>
      <c r="U175" s="133"/>
      <c r="V175" s="133"/>
      <c r="W175" s="133"/>
      <c r="X175" s="133"/>
      <c r="Y175" s="133"/>
      <c r="Z175" s="133"/>
      <c r="AJ175" s="286"/>
      <c r="AK175" s="286"/>
      <c r="AL175" s="286"/>
      <c r="AM175" s="286"/>
      <c r="AN175" s="286"/>
    </row>
    <row r="176" spans="1:40" x14ac:dyDescent="0.25">
      <c r="A176" s="291"/>
      <c r="B176" s="280"/>
      <c r="C176" s="210"/>
      <c r="D176" s="186">
        <f>SUM(D151:D175)</f>
        <v>1828.9228974739483</v>
      </c>
      <c r="E176" s="186">
        <f t="shared" ref="E176:H176" si="74">SUM(E151:E175)</f>
        <v>1958.6211202184306</v>
      </c>
      <c r="F176" s="186">
        <f t="shared" si="74"/>
        <v>2181.5470207078229</v>
      </c>
      <c r="G176" s="186">
        <f t="shared" si="74"/>
        <v>2202.5810770549965</v>
      </c>
      <c r="H176" s="186">
        <f t="shared" si="74"/>
        <v>2223.8179397236536</v>
      </c>
      <c r="I176" s="186">
        <f>SUM(I151:I175)</f>
        <v>2245.2595641332996</v>
      </c>
      <c r="J176" s="291"/>
      <c r="K176" s="291"/>
      <c r="L176" s="293">
        <f>SUM(L151:L175)</f>
        <v>1246.3354509171124</v>
      </c>
      <c r="M176" s="293">
        <f t="shared" ref="M176:Q176" si="75">SUM(M151:M175)</f>
        <v>1267.0532596049163</v>
      </c>
      <c r="N176" s="293">
        <f t="shared" si="75"/>
        <v>1295.8876206864836</v>
      </c>
      <c r="O176" s="293">
        <f t="shared" si="75"/>
        <v>1308.3823196200319</v>
      </c>
      <c r="P176" s="293">
        <f t="shared" si="75"/>
        <v>1320.9974900350167</v>
      </c>
      <c r="Q176" s="293">
        <f t="shared" si="75"/>
        <v>1333.7342934942674</v>
      </c>
      <c r="R176" s="133"/>
      <c r="S176" s="133"/>
      <c r="T176" s="133"/>
      <c r="U176" s="133"/>
      <c r="V176" s="133"/>
      <c r="W176" s="133"/>
      <c r="X176" s="133"/>
      <c r="Y176" s="133"/>
      <c r="Z176" s="133"/>
      <c r="AJ176" s="286"/>
      <c r="AK176" s="286"/>
      <c r="AL176" s="286"/>
      <c r="AM176" s="286"/>
      <c r="AN176" s="286"/>
    </row>
    <row r="177" spans="1:17" x14ac:dyDescent="0.25">
      <c r="A177" s="291"/>
      <c r="B177" s="305"/>
      <c r="C177" s="210"/>
      <c r="D177" s="285" t="s">
        <v>766</v>
      </c>
      <c r="E177" s="186">
        <f>E176-$D$176</f>
        <v>129.69822274448234</v>
      </c>
      <c r="F177" s="186">
        <f>F176-$D$176</f>
        <v>352.62412323387457</v>
      </c>
      <c r="G177" s="186">
        <f>G176-$D$176</f>
        <v>373.65817958104822</v>
      </c>
      <c r="H177" s="186">
        <f>H176-$D$176</f>
        <v>394.89504224970528</v>
      </c>
      <c r="I177" s="186">
        <f>I176-$D$176</f>
        <v>416.33666665935129</v>
      </c>
      <c r="J177" s="291"/>
      <c r="K177" s="291"/>
      <c r="L177" s="537"/>
      <c r="M177" s="293">
        <f>M176-$L$176</f>
        <v>20.717808687803881</v>
      </c>
      <c r="N177" s="293">
        <f>N176-$L$176</f>
        <v>49.552169769371176</v>
      </c>
      <c r="O177" s="293">
        <f>O176-$L$176</f>
        <v>62.046868702919483</v>
      </c>
      <c r="P177" s="293">
        <f>P176-$L$176</f>
        <v>74.662039117904214</v>
      </c>
      <c r="Q177" s="293">
        <f>Q176-$L$176</f>
        <v>87.398842577154937</v>
      </c>
    </row>
    <row r="178" spans="1:17" x14ac:dyDescent="0.25">
      <c r="A178" s="291"/>
      <c r="B178" s="291"/>
      <c r="C178" s="291"/>
      <c r="D178" s="291"/>
      <c r="E178" s="291"/>
      <c r="F178" s="291"/>
      <c r="G178" s="291"/>
      <c r="H178" s="291"/>
      <c r="I178" s="291"/>
      <c r="J178" s="291"/>
      <c r="K178" s="291"/>
      <c r="L178" s="291"/>
      <c r="M178" s="291"/>
      <c r="N178" s="291"/>
      <c r="O178" s="291"/>
      <c r="P178" s="291"/>
      <c r="Q178" s="291"/>
    </row>
    <row r="179" spans="1:17" x14ac:dyDescent="0.25">
      <c r="B179"/>
    </row>
    <row r="180" spans="1:17" x14ac:dyDescent="0.25">
      <c r="B180"/>
    </row>
    <row r="181" spans="1:17" x14ac:dyDescent="0.25">
      <c r="B181"/>
    </row>
    <row r="182" spans="1:17" x14ac:dyDescent="0.25">
      <c r="B182"/>
    </row>
    <row r="183" spans="1:17" x14ac:dyDescent="0.25">
      <c r="B183"/>
    </row>
  </sheetData>
  <sheetProtection algorithmName="SHA-512" hashValue="oNkyMq5YnEAD4SoDXB3fbP+eh4HyrsNgVigA98v/+mMOr55M6sCIeg7aC6l2tcAZvrR0ZYqNaYGkRSm0yTYu4A==" saltValue="fon2Xp3pF8sdZEA9J4/7UQ==" spinCount="100000" sheet="1" objects="1" scenarios="1"/>
  <pageMargins left="0.70866141732283472" right="0.70866141732283472" top="0.74803149606299213" bottom="0.74803149606299213" header="0.31496062992125984" footer="0.31496062992125984"/>
  <pageSetup paperSize="9" scale="32" fitToHeight="0" orientation="portrait" horizontalDpi="4294967293" r:id="rId1"/>
  <rowBreaks count="1" manualBreakCount="1">
    <brk id="128"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AB95-FE96-4E38-AED6-DD4F51D444F2}">
  <sheetPr>
    <tabColor theme="8" tint="-0.499984740745262"/>
    <pageSetUpPr fitToPage="1"/>
  </sheetPr>
  <dimension ref="A1:AN182"/>
  <sheetViews>
    <sheetView showGridLines="0" zoomScale="70" zoomScaleNormal="70" zoomScaleSheetLayoutView="30" workbookViewId="0">
      <selection activeCell="D42" sqref="D42:I42"/>
    </sheetView>
  </sheetViews>
  <sheetFormatPr defaultColWidth="8.85546875" defaultRowHeight="15" x14ac:dyDescent="0.25"/>
  <cols>
    <col min="1" max="1" width="3.5703125" customWidth="1"/>
    <col min="2" max="2" width="75" style="1" customWidth="1"/>
    <col min="3" max="9" width="12.5703125" customWidth="1"/>
    <col min="10" max="10" width="1.85546875" customWidth="1"/>
    <col min="11" max="11" width="9.42578125" customWidth="1"/>
    <col min="12" max="18" width="11.7109375" customWidth="1"/>
    <col min="19" max="19" width="11.42578125" customWidth="1"/>
    <col min="20" max="20" width="11.7109375" customWidth="1"/>
    <col min="21" max="26" width="10.85546875" customWidth="1"/>
    <col min="28" max="41" width="0" hidden="1" customWidth="1"/>
  </cols>
  <sheetData>
    <row r="1" spans="1:40" ht="30" customHeight="1" x14ac:dyDescent="0.25">
      <c r="B1" s="692" t="str">
        <f>'Unit costs'!B1</f>
        <v>Trifluridine–tipiracil with bevacizumab for treating metastatic colorectal cancer after 2 systemic treatments</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5" t="s">
        <v>767</v>
      </c>
      <c r="C2" s="127" t="s">
        <v>107</v>
      </c>
      <c r="D2" s="127" t="s">
        <v>107</v>
      </c>
      <c r="E2" s="127" t="s">
        <v>107</v>
      </c>
      <c r="F2" s="127" t="s">
        <v>107</v>
      </c>
      <c r="G2" s="127" t="s">
        <v>107</v>
      </c>
      <c r="H2" s="127" t="s">
        <v>107</v>
      </c>
      <c r="I2" s="127" t="s">
        <v>107</v>
      </c>
      <c r="J2" s="127" t="s">
        <v>107</v>
      </c>
      <c r="K2" s="127"/>
      <c r="L2" s="127" t="s">
        <v>107</v>
      </c>
      <c r="M2" s="127" t="s">
        <v>107</v>
      </c>
      <c r="N2" s="127" t="s">
        <v>107</v>
      </c>
      <c r="O2" s="127" t="s">
        <v>107</v>
      </c>
      <c r="P2" s="127" t="s">
        <v>107</v>
      </c>
      <c r="Q2" s="127"/>
      <c r="R2" s="127"/>
      <c r="S2" s="127"/>
      <c r="T2" s="127"/>
      <c r="U2" s="127"/>
      <c r="V2" s="127"/>
      <c r="W2" s="127"/>
      <c r="X2" s="127"/>
      <c r="Y2" s="127"/>
      <c r="Z2" s="127"/>
    </row>
    <row r="3" spans="1:40" ht="14.45" customHeight="1" x14ac:dyDescent="0.25">
      <c r="B3" s="130" t="s">
        <v>107</v>
      </c>
      <c r="C3" s="133" t="s">
        <v>107</v>
      </c>
      <c r="D3" s="133" t="s">
        <v>107</v>
      </c>
      <c r="E3" s="133" t="s">
        <v>107</v>
      </c>
      <c r="F3" s="133" t="s">
        <v>107</v>
      </c>
      <c r="G3" s="133" t="s">
        <v>107</v>
      </c>
      <c r="H3" s="133" t="s">
        <v>107</v>
      </c>
      <c r="I3" s="133" t="s">
        <v>107</v>
      </c>
      <c r="J3" s="133" t="s">
        <v>107</v>
      </c>
      <c r="K3" s="133"/>
      <c r="L3" s="133" t="s">
        <v>107</v>
      </c>
      <c r="M3" s="133" t="s">
        <v>107</v>
      </c>
      <c r="N3" s="133" t="s">
        <v>107</v>
      </c>
      <c r="O3" s="133" t="s">
        <v>107</v>
      </c>
      <c r="P3" s="133" t="s">
        <v>107</v>
      </c>
      <c r="Q3" s="133"/>
      <c r="R3" s="133"/>
      <c r="S3" s="127"/>
      <c r="T3" s="127"/>
      <c r="U3" s="127"/>
      <c r="V3" s="127"/>
      <c r="W3" s="127"/>
      <c r="X3" s="127"/>
      <c r="Y3" s="133"/>
      <c r="Z3" s="133"/>
    </row>
    <row r="4" spans="1:40" ht="14.45" customHeight="1" x14ac:dyDescent="0.25">
      <c r="B4" t="s">
        <v>736</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59" t="s">
        <v>37</v>
      </c>
      <c r="C6" s="210"/>
      <c r="D6" s="423" t="s">
        <v>730</v>
      </c>
      <c r="E6" s="257" t="s">
        <v>50</v>
      </c>
      <c r="F6" s="257" t="s">
        <v>51</v>
      </c>
      <c r="G6" s="164" t="s">
        <v>731</v>
      </c>
      <c r="H6" s="164" t="s">
        <v>732</v>
      </c>
      <c r="I6" s="257" t="s">
        <v>733</v>
      </c>
      <c r="L6" s="423" t="s">
        <v>730</v>
      </c>
      <c r="M6" s="257" t="s">
        <v>50</v>
      </c>
      <c r="N6" s="257" t="s">
        <v>51</v>
      </c>
      <c r="O6" s="164" t="s">
        <v>731</v>
      </c>
      <c r="P6" s="164" t="s">
        <v>732</v>
      </c>
      <c r="Q6" s="257" t="s">
        <v>733</v>
      </c>
      <c r="R6" s="133"/>
      <c r="S6" s="127"/>
      <c r="T6" s="127"/>
      <c r="U6" s="127"/>
      <c r="V6" s="127"/>
      <c r="W6" s="127"/>
      <c r="X6" s="127"/>
      <c r="Y6" s="133"/>
      <c r="Z6" s="133"/>
      <c r="AJ6" s="286"/>
      <c r="AK6" s="286"/>
      <c r="AL6" s="286"/>
      <c r="AM6" s="286"/>
      <c r="AN6" s="286"/>
    </row>
    <row r="7" spans="1:40" ht="14.45" customHeight="1" x14ac:dyDescent="0.25">
      <c r="B7" s="227" t="s">
        <v>962</v>
      </c>
      <c r="C7" s="167"/>
      <c r="D7" s="380">
        <f>'Inputs and eligible population'!F50</f>
        <v>3401.5656960000001</v>
      </c>
      <c r="E7" s="380">
        <f>'Inputs and eligible population'!G50</f>
        <v>3434.362937516737</v>
      </c>
      <c r="F7" s="380">
        <f>'Inputs and eligible population'!H50</f>
        <v>3467.4764037215268</v>
      </c>
      <c r="G7" s="380">
        <f>'Inputs and eligible population'!I50</f>
        <v>3500.9091435919267</v>
      </c>
      <c r="H7" s="380">
        <f>'Inputs and eligible population'!J50</f>
        <v>3534.6642355031481</v>
      </c>
      <c r="I7" s="380">
        <f>'Inputs and eligible population'!K50</f>
        <v>3568.7447875115045</v>
      </c>
      <c r="P7" s="133"/>
      <c r="Q7" s="133"/>
      <c r="R7" s="133"/>
      <c r="S7" s="127"/>
      <c r="T7" s="127"/>
      <c r="U7" s="127"/>
      <c r="V7" s="127"/>
      <c r="W7" s="127"/>
      <c r="X7" s="127"/>
      <c r="Y7" s="133"/>
      <c r="Z7" s="133"/>
      <c r="AJ7" s="286"/>
      <c r="AK7" s="286"/>
      <c r="AL7" s="286"/>
      <c r="AM7" s="286"/>
      <c r="AN7" s="286"/>
    </row>
    <row r="8" spans="1:40" ht="14.45" customHeight="1" x14ac:dyDescent="0.25">
      <c r="B8"/>
      <c r="P8" s="133"/>
      <c r="Q8" s="133"/>
      <c r="R8" s="133"/>
      <c r="S8" s="127"/>
      <c r="T8" s="127"/>
      <c r="U8" s="127"/>
      <c r="V8" s="127"/>
      <c r="W8" s="127"/>
      <c r="X8" s="127"/>
      <c r="Y8" s="133"/>
      <c r="Z8" s="133"/>
      <c r="AJ8" s="286"/>
      <c r="AK8" s="286"/>
      <c r="AL8" s="286"/>
      <c r="AM8" s="286"/>
      <c r="AN8" s="286"/>
    </row>
    <row r="9" spans="1:40" ht="14.45" customHeight="1" x14ac:dyDescent="0.25">
      <c r="B9" s="279" t="s">
        <v>737</v>
      </c>
      <c r="C9" s="440"/>
      <c r="D9" s="440"/>
      <c r="E9" s="441"/>
      <c r="F9" s="440"/>
      <c r="G9" s="442"/>
      <c r="H9" s="443"/>
      <c r="I9" s="443"/>
      <c r="J9" s="159"/>
      <c r="L9" s="726" t="s">
        <v>154</v>
      </c>
      <c r="M9" s="726" t="s">
        <v>154</v>
      </c>
      <c r="N9" s="726" t="s">
        <v>154</v>
      </c>
      <c r="O9" s="726" t="s">
        <v>154</v>
      </c>
      <c r="P9" s="726" t="s">
        <v>154</v>
      </c>
      <c r="Q9" s="726" t="s">
        <v>154</v>
      </c>
      <c r="R9" s="133"/>
      <c r="S9" s="127"/>
      <c r="T9" s="127"/>
      <c r="U9" s="127"/>
      <c r="V9" s="127"/>
      <c r="W9" s="127"/>
      <c r="X9" s="127"/>
      <c r="Y9" s="133"/>
      <c r="Z9" s="133"/>
      <c r="AJ9" s="286"/>
      <c r="AK9" s="286"/>
      <c r="AL9" s="286"/>
      <c r="AM9" s="286"/>
      <c r="AN9" s="286"/>
    </row>
    <row r="10" spans="1:40" ht="14.45" customHeight="1" x14ac:dyDescent="0.25">
      <c r="A10" s="295"/>
      <c r="B10" s="667" t="str">
        <f>B36</f>
        <v>Follow up attendances</v>
      </c>
      <c r="C10" s="385"/>
      <c r="D10" s="425">
        <f t="shared" ref="D10:I10" si="0">D42</f>
        <v>2452.5288668160001</v>
      </c>
      <c r="E10" s="425">
        <f t="shared" si="0"/>
        <v>2936.3803115768101</v>
      </c>
      <c r="F10" s="425">
        <f t="shared" si="0"/>
        <v>3770.8805890471604</v>
      </c>
      <c r="G10" s="425">
        <f t="shared" si="0"/>
        <v>3807.2386936562207</v>
      </c>
      <c r="H10" s="425">
        <f t="shared" si="0"/>
        <v>3843.9473561096734</v>
      </c>
      <c r="I10" s="425">
        <f t="shared" si="0"/>
        <v>3881.0099564187612</v>
      </c>
      <c r="L10" s="292">
        <f t="shared" ref="L10:Q10" si="1">L42</f>
        <v>358.06921455513606</v>
      </c>
      <c r="M10" s="292">
        <f t="shared" si="1"/>
        <v>428.71152549021429</v>
      </c>
      <c r="N10" s="292">
        <f t="shared" si="1"/>
        <v>550.54856600088544</v>
      </c>
      <c r="O10" s="292">
        <f t="shared" si="1"/>
        <v>555.85684927380817</v>
      </c>
      <c r="P10" s="292">
        <f t="shared" si="1"/>
        <v>561.21631399201237</v>
      </c>
      <c r="Q10" s="292">
        <f t="shared" si="1"/>
        <v>566.6274536371393</v>
      </c>
      <c r="R10" s="133"/>
      <c r="S10" s="133"/>
      <c r="T10" s="133"/>
      <c r="U10" s="133"/>
      <c r="V10" s="133"/>
      <c r="W10" s="133"/>
      <c r="X10" s="133"/>
      <c r="Y10" s="133"/>
      <c r="Z10" s="133"/>
      <c r="AJ10" s="286"/>
      <c r="AK10" s="286"/>
      <c r="AL10" s="286"/>
      <c r="AM10" s="286"/>
      <c r="AN10" s="286"/>
    </row>
    <row r="11" spans="1:40" x14ac:dyDescent="0.25">
      <c r="A11" s="295"/>
      <c r="B11" s="444" t="str">
        <f>B45</f>
        <v>Administrations</v>
      </c>
      <c r="C11" s="419"/>
      <c r="D11" s="418">
        <f t="shared" ref="D11:I11" si="2">D50</f>
        <v>5320.0487485440008</v>
      </c>
      <c r="E11" s="418">
        <f t="shared" si="2"/>
        <v>10646.525106301884</v>
      </c>
      <c r="F11" s="418">
        <f t="shared" si="2"/>
        <v>20042.013613510426</v>
      </c>
      <c r="G11" s="418">
        <f t="shared" si="2"/>
        <v>20235.254849961337</v>
      </c>
      <c r="H11" s="418">
        <f t="shared" si="2"/>
        <v>20430.359281208195</v>
      </c>
      <c r="I11" s="418">
        <f t="shared" si="2"/>
        <v>20627.344871816498</v>
      </c>
      <c r="L11" s="292">
        <f t="shared" ref="L11:P11" si="3">L50</f>
        <v>755.44692229324812</v>
      </c>
      <c r="M11" s="292">
        <f t="shared" si="3"/>
        <v>2370.397299474052</v>
      </c>
      <c r="N11" s="292">
        <f t="shared" si="3"/>
        <v>5229.8559606770305</v>
      </c>
      <c r="O11" s="292">
        <f t="shared" si="3"/>
        <v>5280.2812249139597</v>
      </c>
      <c r="P11" s="292">
        <f t="shared" si="3"/>
        <v>5331.1926798399782</v>
      </c>
      <c r="Q11" s="292">
        <f>Q50</f>
        <v>5382.5950132121025</v>
      </c>
      <c r="R11" s="133"/>
      <c r="S11" s="133"/>
      <c r="T11" s="133"/>
      <c r="U11" s="133"/>
      <c r="V11" s="133"/>
      <c r="W11" s="133"/>
      <c r="X11" s="133"/>
      <c r="Y11" s="133"/>
      <c r="Z11" s="133"/>
      <c r="AJ11" s="286"/>
      <c r="AK11" s="286"/>
      <c r="AL11" s="286"/>
      <c r="AM11" s="286"/>
      <c r="AN11" s="286"/>
    </row>
    <row r="12" spans="1:40" x14ac:dyDescent="0.25">
      <c r="A12" s="287"/>
      <c r="B12" s="445" t="str">
        <f>B63</f>
        <v>Administrations - duration of administrations (hours)</v>
      </c>
      <c r="C12" s="450"/>
      <c r="D12" s="420">
        <f t="shared" ref="D12:I12" si="4">D68</f>
        <v>0</v>
      </c>
      <c r="E12" s="420">
        <f t="shared" si="4"/>
        <v>4464.6718187717588</v>
      </c>
      <c r="F12" s="420">
        <f t="shared" si="4"/>
        <v>12396.228143304459</v>
      </c>
      <c r="G12" s="420">
        <f t="shared" si="4"/>
        <v>12515.750188341137</v>
      </c>
      <c r="H12" s="420">
        <f t="shared" si="4"/>
        <v>12636.424641923753</v>
      </c>
      <c r="I12" s="420">
        <f t="shared" si="4"/>
        <v>12758.262615353631</v>
      </c>
      <c r="L12" s="208"/>
      <c r="M12" s="208"/>
      <c r="N12" s="208"/>
      <c r="O12" s="208"/>
      <c r="P12" s="417"/>
      <c r="Q12" s="417"/>
      <c r="R12" s="133"/>
      <c r="S12" s="133"/>
      <c r="T12" s="133"/>
      <c r="U12" s="133"/>
      <c r="V12" s="133"/>
      <c r="W12" s="133"/>
      <c r="X12" s="133"/>
      <c r="Y12" s="133"/>
      <c r="Z12" s="133"/>
      <c r="AJ12" s="286"/>
      <c r="AK12" s="286"/>
      <c r="AL12" s="286"/>
      <c r="AM12" s="286"/>
      <c r="AN12" s="286"/>
    </row>
    <row r="13" spans="1:40" x14ac:dyDescent="0.25">
      <c r="A13" s="287"/>
      <c r="B13" s="445" t="str">
        <f>B71</f>
        <v>Preparation time before administration (hours)</v>
      </c>
      <c r="C13" s="450"/>
      <c r="D13" s="420">
        <f t="shared" ref="D13:I13" si="5">D76</f>
        <v>0</v>
      </c>
      <c r="E13" s="420">
        <f t="shared" si="5"/>
        <v>3434.362937516737</v>
      </c>
      <c r="F13" s="420">
        <f t="shared" si="5"/>
        <v>9535.5601102341989</v>
      </c>
      <c r="G13" s="420">
        <f t="shared" si="5"/>
        <v>9627.5001448777984</v>
      </c>
      <c r="H13" s="420">
        <f t="shared" si="5"/>
        <v>9720.3266476336576</v>
      </c>
      <c r="I13" s="420">
        <f t="shared" si="5"/>
        <v>9814.048165656639</v>
      </c>
      <c r="L13" s="208"/>
      <c r="M13" s="208"/>
      <c r="N13" s="208"/>
      <c r="O13" s="208"/>
      <c r="P13" s="417"/>
      <c r="Q13" s="417"/>
      <c r="R13" s="133"/>
      <c r="S13" s="133"/>
      <c r="T13" s="133"/>
      <c r="U13" s="133"/>
      <c r="V13" s="133"/>
      <c r="W13" s="133"/>
      <c r="X13" s="133"/>
      <c r="Y13" s="133"/>
      <c r="Z13" s="133"/>
      <c r="AJ13" s="286"/>
      <c r="AK13" s="286"/>
      <c r="AL13" s="286"/>
      <c r="AM13" s="286"/>
      <c r="AN13" s="286"/>
    </row>
    <row r="14" spans="1:40" x14ac:dyDescent="0.25">
      <c r="A14" s="287"/>
      <c r="B14" s="445" t="str">
        <f>B79</f>
        <v>Post administration nursing time (hours)</v>
      </c>
      <c r="C14" s="450"/>
      <c r="D14" s="420">
        <f t="shared" ref="D14:I14" si="6">D84</f>
        <v>0</v>
      </c>
      <c r="E14" s="421">
        <f t="shared" si="6"/>
        <v>3434.362937516737</v>
      </c>
      <c r="F14" s="420">
        <f t="shared" si="6"/>
        <v>9535.5601102341989</v>
      </c>
      <c r="G14" s="420">
        <f t="shared" si="6"/>
        <v>9627.5001448777984</v>
      </c>
      <c r="H14" s="420">
        <f t="shared" si="6"/>
        <v>9720.3266476336576</v>
      </c>
      <c r="I14" s="420">
        <f t="shared" si="6"/>
        <v>9814.048165656639</v>
      </c>
      <c r="L14" s="208"/>
      <c r="M14" s="208"/>
      <c r="N14" s="208"/>
      <c r="O14" s="208"/>
      <c r="P14" s="417"/>
      <c r="Q14" s="417"/>
      <c r="R14" s="133"/>
      <c r="S14" s="133"/>
      <c r="T14" s="133"/>
      <c r="U14" s="133"/>
      <c r="V14" s="133"/>
      <c r="W14" s="133"/>
      <c r="X14" s="133"/>
      <c r="Y14" s="133"/>
      <c r="Z14" s="133"/>
      <c r="AJ14" s="286"/>
      <c r="AK14" s="286"/>
      <c r="AL14" s="286"/>
      <c r="AM14" s="286"/>
      <c r="AN14" s="286"/>
    </row>
    <row r="15" spans="1:40" hidden="1" x14ac:dyDescent="0.25">
      <c r="A15" s="289"/>
      <c r="B15" s="446" t="str">
        <f>B88</f>
        <v>In-house aseptic unit preparations, number made</v>
      </c>
      <c r="C15" s="451"/>
      <c r="D15" s="422"/>
      <c r="E15" s="422"/>
      <c r="F15" s="422"/>
      <c r="G15" s="422"/>
      <c r="H15" s="422"/>
      <c r="I15" s="422"/>
      <c r="L15" s="208"/>
      <c r="M15" s="208"/>
      <c r="N15" s="208"/>
      <c r="O15" s="208"/>
      <c r="P15" s="417"/>
      <c r="Q15" s="417"/>
      <c r="R15" s="133"/>
      <c r="S15" s="133"/>
      <c r="T15" s="133"/>
      <c r="U15" s="133"/>
      <c r="V15" s="133"/>
      <c r="W15" s="133"/>
      <c r="X15" s="133"/>
      <c r="Y15" s="133"/>
      <c r="Z15" s="133"/>
      <c r="AJ15" s="286"/>
      <c r="AK15" s="286"/>
      <c r="AL15" s="286"/>
      <c r="AM15" s="286"/>
      <c r="AN15" s="286"/>
    </row>
    <row r="16" spans="1:40" hidden="1" x14ac:dyDescent="0.25">
      <c r="A16" s="289"/>
      <c r="B16" s="446" t="str">
        <f>B96</f>
        <v>Bought-in aseptic unit preparations, number bought in</v>
      </c>
      <c r="C16" s="451"/>
      <c r="D16" s="422"/>
      <c r="E16" s="422"/>
      <c r="F16" s="422"/>
      <c r="G16" s="422"/>
      <c r="H16" s="422"/>
      <c r="I16" s="422"/>
      <c r="L16" s="208"/>
      <c r="M16" s="208"/>
      <c r="N16" s="208"/>
      <c r="O16" s="208"/>
      <c r="P16" s="417"/>
      <c r="Q16" s="417"/>
      <c r="R16" s="133"/>
      <c r="S16" s="133"/>
      <c r="T16" s="133"/>
      <c r="U16" s="133"/>
      <c r="V16" s="133"/>
      <c r="W16" s="133"/>
      <c r="X16" s="133"/>
      <c r="Y16" s="133"/>
      <c r="Z16" s="133"/>
      <c r="AJ16" s="286"/>
      <c r="AK16" s="286"/>
      <c r="AL16" s="286"/>
      <c r="AM16" s="286"/>
      <c r="AN16" s="286"/>
    </row>
    <row r="17" spans="1:40" hidden="1" x14ac:dyDescent="0.25">
      <c r="A17" s="289"/>
      <c r="B17" s="446" t="str">
        <f>B104</f>
        <v>In-house aseptic unit preparations, pharmacy time (hours)</v>
      </c>
      <c r="C17" s="451"/>
      <c r="D17" s="422"/>
      <c r="E17" s="422"/>
      <c r="F17" s="422"/>
      <c r="G17" s="422"/>
      <c r="H17" s="422"/>
      <c r="I17" s="422"/>
      <c r="L17" s="208"/>
      <c r="M17" s="208"/>
      <c r="N17" s="208"/>
      <c r="O17" s="208"/>
      <c r="P17" s="417"/>
      <c r="Q17" s="417"/>
      <c r="R17" s="133"/>
      <c r="S17" s="133"/>
      <c r="T17" s="133"/>
      <c r="U17" s="133"/>
      <c r="V17" s="133"/>
      <c r="W17" s="133"/>
      <c r="X17" s="133"/>
      <c r="Y17" s="133"/>
      <c r="Z17" s="133"/>
      <c r="AJ17" s="286"/>
      <c r="AK17" s="286"/>
      <c r="AL17" s="286"/>
      <c r="AM17" s="286"/>
      <c r="AN17" s="286"/>
    </row>
    <row r="18" spans="1:40" hidden="1" x14ac:dyDescent="0.25">
      <c r="A18" s="289"/>
      <c r="B18" s="446" t="str">
        <f>B112</f>
        <v>Bought-in aseptic unit preparations, pharmacy time (hours)</v>
      </c>
      <c r="C18" s="451"/>
      <c r="D18" s="422"/>
      <c r="E18" s="422"/>
      <c r="F18" s="422"/>
      <c r="G18" s="422"/>
      <c r="H18" s="422"/>
      <c r="I18" s="422"/>
      <c r="L18" s="208"/>
      <c r="M18" s="208"/>
      <c r="N18" s="208"/>
      <c r="O18" s="208"/>
      <c r="P18" s="417"/>
      <c r="Q18" s="417"/>
      <c r="R18" s="133"/>
      <c r="S18" s="133"/>
      <c r="T18" s="133"/>
      <c r="U18" s="133"/>
      <c r="V18" s="133"/>
      <c r="W18" s="133"/>
      <c r="X18" s="133"/>
      <c r="Y18" s="133"/>
      <c r="Z18" s="133"/>
      <c r="AJ18" s="286"/>
      <c r="AK18" s="286"/>
      <c r="AL18" s="286"/>
      <c r="AM18" s="286"/>
      <c r="AN18" s="286"/>
    </row>
    <row r="19" spans="1:40" x14ac:dyDescent="0.25">
      <c r="A19" s="289"/>
      <c r="B19" s="446" t="str">
        <f>B120</f>
        <v>Drug regimen prep (hours)</v>
      </c>
      <c r="C19" s="451"/>
      <c r="D19" s="422">
        <f>D125</f>
        <v>0</v>
      </c>
      <c r="E19" s="422">
        <f t="shared" ref="E19:I19" si="7">E125</f>
        <v>0</v>
      </c>
      <c r="F19" s="422">
        <f t="shared" si="7"/>
        <v>0</v>
      </c>
      <c r="G19" s="422">
        <f t="shared" si="7"/>
        <v>0</v>
      </c>
      <c r="H19" s="422">
        <f t="shared" si="7"/>
        <v>0</v>
      </c>
      <c r="I19" s="422">
        <f t="shared" si="7"/>
        <v>0</v>
      </c>
      <c r="L19" s="208"/>
      <c r="M19" s="208"/>
      <c r="N19" s="208"/>
      <c r="O19" s="208"/>
      <c r="P19" s="417"/>
      <c r="Q19" s="417"/>
      <c r="R19" s="133"/>
      <c r="S19" s="133"/>
      <c r="T19" s="133"/>
      <c r="U19" s="133"/>
      <c r="V19" s="133"/>
      <c r="W19" s="133"/>
      <c r="X19" s="133"/>
      <c r="Y19" s="133"/>
      <c r="Z19" s="133"/>
      <c r="AJ19" s="286"/>
      <c r="AK19" s="286"/>
      <c r="AL19" s="286"/>
      <c r="AM19" s="286"/>
      <c r="AN19" s="286"/>
    </row>
    <row r="20" spans="1:40" ht="14.45" customHeight="1" x14ac:dyDescent="0.25">
      <c r="A20" s="330"/>
      <c r="B20" s="447" t="str">
        <f>B129</f>
        <v>Appointments with x specialty</v>
      </c>
      <c r="C20" s="452"/>
      <c r="D20" s="426">
        <f t="shared" ref="D20:I20" si="8">D135</f>
        <v>0</v>
      </c>
      <c r="E20" s="426">
        <f t="shared" si="8"/>
        <v>0</v>
      </c>
      <c r="F20" s="426">
        <f t="shared" si="8"/>
        <v>0</v>
      </c>
      <c r="G20" s="426">
        <f t="shared" si="8"/>
        <v>0</v>
      </c>
      <c r="H20" s="426">
        <f t="shared" si="8"/>
        <v>0</v>
      </c>
      <c r="I20" s="426">
        <f t="shared" si="8"/>
        <v>0</v>
      </c>
      <c r="L20" s="292">
        <f t="shared" ref="L20:Q20" si="9">L135</f>
        <v>0</v>
      </c>
      <c r="M20" s="292">
        <f t="shared" si="9"/>
        <v>0</v>
      </c>
      <c r="N20" s="292">
        <f t="shared" si="9"/>
        <v>0</v>
      </c>
      <c r="O20" s="292">
        <f t="shared" si="9"/>
        <v>0</v>
      </c>
      <c r="P20" s="292">
        <f t="shared" si="9"/>
        <v>0</v>
      </c>
      <c r="Q20" s="292">
        <f t="shared" si="9"/>
        <v>0</v>
      </c>
      <c r="R20" s="133"/>
      <c r="S20" s="133"/>
      <c r="T20" s="133"/>
      <c r="U20" s="133"/>
      <c r="V20" s="133"/>
      <c r="W20" s="133"/>
      <c r="X20" s="133"/>
      <c r="Y20" s="133"/>
      <c r="Z20" s="133"/>
      <c r="AJ20" s="286"/>
      <c r="AK20" s="286"/>
      <c r="AL20" s="286"/>
      <c r="AM20" s="286"/>
      <c r="AN20" s="286"/>
    </row>
    <row r="21" spans="1:40" ht="15" customHeight="1" x14ac:dyDescent="0.25">
      <c r="A21" s="290"/>
      <c r="B21" s="448" t="s">
        <v>947</v>
      </c>
      <c r="C21" s="453"/>
      <c r="D21" s="427">
        <f>D145</f>
        <v>3401.5656960000006</v>
      </c>
      <c r="E21" s="427">
        <f t="shared" ref="E21:I21" si="10">E145</f>
        <v>3434.362937516737</v>
      </c>
      <c r="F21" s="427">
        <f t="shared" si="10"/>
        <v>3467.4764037215273</v>
      </c>
      <c r="G21" s="427">
        <f t="shared" si="10"/>
        <v>3500.9091435919272</v>
      </c>
      <c r="H21" s="427">
        <f t="shared" si="10"/>
        <v>3534.6642355031486</v>
      </c>
      <c r="I21" s="427">
        <f t="shared" si="10"/>
        <v>3568.7447875115049</v>
      </c>
      <c r="L21" s="208"/>
      <c r="M21" s="208"/>
      <c r="N21" s="208"/>
      <c r="O21" s="208"/>
      <c r="P21" s="417"/>
      <c r="Q21" s="417"/>
      <c r="R21" s="133"/>
      <c r="S21" s="133"/>
      <c r="T21" s="133"/>
      <c r="U21" s="133"/>
      <c r="V21" s="133"/>
      <c r="W21" s="133"/>
      <c r="X21" s="133"/>
      <c r="Y21" s="133"/>
      <c r="Z21" s="133"/>
      <c r="AJ21" s="286"/>
      <c r="AK21" s="286"/>
      <c r="AL21" s="286"/>
      <c r="AM21" s="286"/>
      <c r="AN21" s="286"/>
    </row>
    <row r="22" spans="1:40" ht="15" customHeight="1" x14ac:dyDescent="0.25">
      <c r="A22" s="291"/>
      <c r="B22" s="449" t="str">
        <f>B148</f>
        <v>Adverse events, various (cases)</v>
      </c>
      <c r="C22" s="433"/>
      <c r="D22" s="428">
        <f t="shared" ref="D22:I22" si="11">D175</f>
        <v>1828.9228974739483</v>
      </c>
      <c r="E22" s="428">
        <f t="shared" si="11"/>
        <v>1958.6211202184306</v>
      </c>
      <c r="F22" s="428">
        <f t="shared" si="11"/>
        <v>2181.5470207078229</v>
      </c>
      <c r="G22" s="428">
        <f t="shared" si="11"/>
        <v>2202.5810770549965</v>
      </c>
      <c r="H22" s="428">
        <f t="shared" si="11"/>
        <v>2223.8179397236536</v>
      </c>
      <c r="I22" s="428">
        <f t="shared" si="11"/>
        <v>2245.2595641332996</v>
      </c>
      <c r="J22" s="133"/>
      <c r="K22" s="133"/>
      <c r="L22" s="292">
        <f t="shared" ref="L22:Q22" si="12">L175</f>
        <v>1557.9193136463903</v>
      </c>
      <c r="M22" s="292">
        <f t="shared" si="12"/>
        <v>1583.8165745061453</v>
      </c>
      <c r="N22" s="292">
        <f t="shared" si="12"/>
        <v>1619.859525858104</v>
      </c>
      <c r="O22" s="292">
        <f t="shared" si="12"/>
        <v>1635.4778995250394</v>
      </c>
      <c r="P22" s="292">
        <f t="shared" si="12"/>
        <v>1651.2468625437705</v>
      </c>
      <c r="Q22" s="292">
        <f t="shared" si="12"/>
        <v>1667.1678668678339</v>
      </c>
      <c r="R22" s="133"/>
      <c r="S22" s="133"/>
      <c r="T22" s="133"/>
      <c r="U22" s="133"/>
      <c r="V22" s="133"/>
      <c r="W22" s="133"/>
      <c r="X22" s="133"/>
      <c r="Y22" s="133"/>
      <c r="Z22" s="133"/>
    </row>
    <row r="23" spans="1:40" ht="14.45" customHeight="1" x14ac:dyDescent="0.25">
      <c r="B23" s="249"/>
      <c r="D23" s="286"/>
      <c r="F23" s="133"/>
      <c r="G23" s="133"/>
      <c r="H23" s="133"/>
      <c r="I23" s="133"/>
      <c r="J23" s="133"/>
      <c r="K23" s="133"/>
      <c r="L23" s="293">
        <f t="shared" ref="L23:Q23" si="13">SUM(L10:L22)</f>
        <v>2671.4354504947742</v>
      </c>
      <c r="M23" s="293">
        <f t="shared" si="13"/>
        <v>4382.9253994704113</v>
      </c>
      <c r="N23" s="293">
        <f t="shared" si="13"/>
        <v>7400.2640525360202</v>
      </c>
      <c r="O23" s="293">
        <f t="shared" si="13"/>
        <v>7471.6159737128073</v>
      </c>
      <c r="P23" s="293">
        <f t="shared" si="13"/>
        <v>7543.6558563757608</v>
      </c>
      <c r="Q23" s="293">
        <f t="shared" si="13"/>
        <v>7616.3903337170759</v>
      </c>
      <c r="R23" s="724"/>
      <c r="S23" s="133"/>
      <c r="T23" s="133"/>
      <c r="U23" s="133"/>
      <c r="V23" s="133"/>
      <c r="W23" s="133"/>
      <c r="X23" s="133"/>
      <c r="Y23" s="133"/>
      <c r="Z23" s="133"/>
    </row>
    <row r="24" spans="1:40" ht="14.45" customHeight="1" x14ac:dyDescent="0.25">
      <c r="B24" s="320"/>
      <c r="C24" s="320"/>
      <c r="D24" s="320"/>
      <c r="E24" s="320"/>
      <c r="F24" s="320"/>
      <c r="G24" s="320"/>
      <c r="H24" s="320"/>
      <c r="I24" s="320"/>
      <c r="J24" s="133"/>
      <c r="K24" s="133"/>
      <c r="L24" s="637"/>
      <c r="M24" s="637"/>
      <c r="N24" s="637"/>
      <c r="O24" s="637"/>
      <c r="P24" s="637"/>
      <c r="Q24" s="182"/>
      <c r="R24" s="133"/>
      <c r="S24" s="133"/>
      <c r="T24" s="133"/>
      <c r="U24" s="133"/>
      <c r="V24" s="133"/>
      <c r="W24" s="133"/>
      <c r="X24" s="133"/>
      <c r="Y24" s="133"/>
      <c r="Z24" s="133"/>
    </row>
    <row r="25" spans="1:40" x14ac:dyDescent="0.25">
      <c r="B25" s="372" t="s">
        <v>738</v>
      </c>
      <c r="C25" s="373"/>
      <c r="D25" s="373"/>
      <c r="E25" s="374"/>
      <c r="F25" s="373"/>
      <c r="G25" s="375"/>
      <c r="H25" s="376"/>
      <c r="I25" s="376"/>
      <c r="J25" s="376"/>
      <c r="K25" s="376"/>
      <c r="L25" s="376"/>
      <c r="M25" s="376"/>
      <c r="N25" s="376"/>
      <c r="O25" s="376"/>
      <c r="P25" s="376"/>
      <c r="Q25" s="377"/>
      <c r="R25" s="133"/>
      <c r="S25" s="133"/>
      <c r="T25" s="133"/>
      <c r="U25" s="133"/>
      <c r="V25" s="133"/>
      <c r="W25" s="133"/>
      <c r="X25" s="133"/>
      <c r="Y25" s="133"/>
      <c r="Z25" s="133"/>
      <c r="AJ25" s="286"/>
      <c r="AK25" s="286"/>
      <c r="AL25" s="286"/>
      <c r="AM25" s="286"/>
      <c r="AN25" s="286"/>
    </row>
    <row r="26" spans="1:40" x14ac:dyDescent="0.25">
      <c r="A26" s="288"/>
      <c r="B26" s="663"/>
      <c r="C26" s="658"/>
      <c r="D26" s="659"/>
      <c r="E26" s="660"/>
      <c r="F26" s="288"/>
      <c r="G26" s="288"/>
      <c r="H26" s="220"/>
      <c r="I26" s="220"/>
      <c r="J26" s="220"/>
      <c r="K26" s="220"/>
      <c r="L26" s="220"/>
      <c r="M26" s="220"/>
      <c r="N26" s="220"/>
      <c r="O26" s="220"/>
      <c r="P26" s="220"/>
      <c r="Q26" s="220"/>
      <c r="R26" s="133"/>
      <c r="S26" s="133"/>
      <c r="T26" s="133"/>
      <c r="U26" s="133"/>
      <c r="V26" s="133"/>
      <c r="W26" s="133"/>
      <c r="X26" s="133"/>
      <c r="Y26" s="133"/>
      <c r="Z26" s="133"/>
      <c r="AJ26" s="286"/>
      <c r="AK26" s="286"/>
      <c r="AL26" s="286"/>
      <c r="AM26" s="286"/>
      <c r="AN26" s="286"/>
    </row>
    <row r="27" spans="1:40" hidden="1" x14ac:dyDescent="0.25">
      <c r="A27" s="288"/>
      <c r="B27" s="634" t="s">
        <v>909</v>
      </c>
      <c r="C27" s="668"/>
      <c r="D27" s="668"/>
      <c r="E27" s="635"/>
      <c r="F27" s="636"/>
      <c r="G27" s="306"/>
      <c r="H27" s="306"/>
      <c r="I27" s="385"/>
      <c r="J27" s="669"/>
      <c r="K27" s="288"/>
      <c r="L27" s="288"/>
      <c r="M27" s="288"/>
      <c r="N27" s="288"/>
      <c r="O27" s="288"/>
      <c r="P27" s="288"/>
      <c r="Q27" s="220"/>
      <c r="R27" s="133"/>
      <c r="S27" s="133"/>
      <c r="V27" s="133"/>
    </row>
    <row r="28" spans="1:40" hidden="1" x14ac:dyDescent="0.25">
      <c r="A28" s="661"/>
      <c r="B28" s="662" t="s">
        <v>901</v>
      </c>
      <c r="C28" s="395"/>
      <c r="D28" s="395"/>
      <c r="E28" s="395"/>
      <c r="F28" s="395"/>
      <c r="G28" s="395"/>
      <c r="H28" s="395"/>
      <c r="I28" s="219"/>
      <c r="J28" s="220"/>
      <c r="K28" s="220"/>
      <c r="L28" s="220"/>
      <c r="M28" s="220"/>
      <c r="N28" s="220"/>
      <c r="O28" s="220"/>
      <c r="P28" s="220"/>
      <c r="Q28" s="220"/>
      <c r="R28" s="133"/>
      <c r="S28" s="133"/>
      <c r="T28" s="133"/>
      <c r="U28" s="133"/>
      <c r="V28" s="133"/>
      <c r="W28" s="133"/>
      <c r="X28" s="133"/>
      <c r="Y28" s="133"/>
      <c r="Z28" s="133"/>
      <c r="AJ28" s="286"/>
      <c r="AK28" s="286"/>
      <c r="AL28" s="286"/>
      <c r="AM28" s="286"/>
      <c r="AN28" s="286"/>
    </row>
    <row r="29" spans="1:40" ht="45" hidden="1" x14ac:dyDescent="0.25">
      <c r="A29" s="661"/>
      <c r="B29" s="319" t="s">
        <v>124</v>
      </c>
      <c r="C29" s="165" t="s">
        <v>739</v>
      </c>
      <c r="D29" s="423" t="s">
        <v>730</v>
      </c>
      <c r="E29" s="257" t="s">
        <v>50</v>
      </c>
      <c r="F29" s="257" t="s">
        <v>51</v>
      </c>
      <c r="G29" s="164" t="s">
        <v>731</v>
      </c>
      <c r="H29" s="164" t="s">
        <v>732</v>
      </c>
      <c r="I29" s="257" t="s">
        <v>733</v>
      </c>
      <c r="J29" s="666"/>
      <c r="K29" s="670" t="s">
        <v>929</v>
      </c>
      <c r="L29" s="423" t="s">
        <v>730</v>
      </c>
      <c r="M29" s="257" t="s">
        <v>50</v>
      </c>
      <c r="N29" s="257" t="s">
        <v>51</v>
      </c>
      <c r="O29" s="164" t="s">
        <v>731</v>
      </c>
      <c r="P29" s="164" t="s">
        <v>732</v>
      </c>
      <c r="Q29" s="257" t="s">
        <v>733</v>
      </c>
      <c r="R29" s="133"/>
      <c r="S29" s="133"/>
      <c r="T29" s="133"/>
      <c r="U29" s="133"/>
      <c r="V29" s="133"/>
      <c r="W29" s="133"/>
      <c r="X29" s="133"/>
      <c r="Y29" s="133"/>
      <c r="Z29" s="133"/>
      <c r="AJ29" s="286"/>
      <c r="AK29" s="286"/>
      <c r="AL29" s="286"/>
      <c r="AM29" s="286"/>
      <c r="AN29" s="286"/>
    </row>
    <row r="30" spans="1:40" hidden="1" x14ac:dyDescent="0.25">
      <c r="A30" s="661"/>
      <c r="B30" s="350" t="s">
        <v>938</v>
      </c>
      <c r="C30" s="632" t="e">
        <f>'Inputs and eligible population'!#REF!</f>
        <v>#REF!</v>
      </c>
      <c r="D30" s="128" t="e">
        <f>'Financial impact (cash)'!D14*$C$30</f>
        <v>#REF!</v>
      </c>
      <c r="E30" s="128" t="e">
        <f>'Financial impact (cash)'!E14*$C$30</f>
        <v>#REF!</v>
      </c>
      <c r="F30" s="128" t="e">
        <f>'Financial impact (cash)'!F14*$C$30</f>
        <v>#REF!</v>
      </c>
      <c r="G30" s="128" t="e">
        <f>'Financial impact (cash)'!G14*$C$30</f>
        <v>#REF!</v>
      </c>
      <c r="H30" s="128" t="e">
        <f>'Financial impact (cash)'!H14*$C$30</f>
        <v>#REF!</v>
      </c>
      <c r="I30" s="128" t="e">
        <f>'Financial impact (cash)'!I14*$C$30</f>
        <v>#REF!</v>
      </c>
      <c r="J30" s="666"/>
      <c r="K30" s="672">
        <f>'Unit costs'!$N$45</f>
        <v>314</v>
      </c>
      <c r="L30" s="292" t="e">
        <f>(D30*'Unit costs'!$N$45)/1000</f>
        <v>#REF!</v>
      </c>
      <c r="M30" s="292" t="e">
        <f>(E30*'Unit costs'!$N$45)/1000</f>
        <v>#REF!</v>
      </c>
      <c r="N30" s="292" t="e">
        <f>(F30*'Unit costs'!$N$45)/1000</f>
        <v>#REF!</v>
      </c>
      <c r="O30" s="292" t="e">
        <f>(G30*'Unit costs'!$N$45)/1000</f>
        <v>#REF!</v>
      </c>
      <c r="P30" s="292" t="e">
        <f>(H30*'Unit costs'!$N$45)/1000</f>
        <v>#REF!</v>
      </c>
      <c r="Q30" s="292" t="e">
        <f>(I30*'Unit costs'!$N$45)/1000</f>
        <v>#REF!</v>
      </c>
      <c r="R30" s="133"/>
      <c r="S30" s="133"/>
      <c r="T30" s="133"/>
      <c r="U30" s="133"/>
      <c r="V30" s="133"/>
      <c r="W30" s="133"/>
      <c r="X30" s="133"/>
      <c r="Y30" s="133"/>
      <c r="Z30" s="133"/>
      <c r="AJ30" s="286"/>
      <c r="AK30" s="286"/>
      <c r="AL30" s="286"/>
      <c r="AM30" s="286"/>
      <c r="AN30" s="286"/>
    </row>
    <row r="31" spans="1:40" hidden="1" x14ac:dyDescent="0.25">
      <c r="A31" s="661"/>
      <c r="B31" s="350" t="s">
        <v>939</v>
      </c>
      <c r="C31" s="632" t="e">
        <f>'Inputs and eligible population'!#REF!</f>
        <v>#REF!</v>
      </c>
      <c r="D31" s="128" t="e">
        <f>'Financial impact (cash)'!D15*$C$30</f>
        <v>#REF!</v>
      </c>
      <c r="E31" s="128" t="e">
        <f>'Financial impact (cash)'!E15*$C$30</f>
        <v>#REF!</v>
      </c>
      <c r="F31" s="128" t="e">
        <f>'Financial impact (cash)'!F15*$C$30</f>
        <v>#REF!</v>
      </c>
      <c r="G31" s="128" t="e">
        <f>'Financial impact (cash)'!G15*$C$30</f>
        <v>#REF!</v>
      </c>
      <c r="H31" s="128" t="e">
        <f>'Financial impact (cash)'!H15*$C$30</f>
        <v>#REF!</v>
      </c>
      <c r="I31" s="128" t="e">
        <f>'Financial impact (cash)'!I15*$C$30</f>
        <v>#REF!</v>
      </c>
      <c r="J31" s="666"/>
      <c r="K31" s="672">
        <f>'Unit costs'!$N$45</f>
        <v>314</v>
      </c>
      <c r="L31" s="292" t="e">
        <f>(D31*'Unit costs'!$N$45)/1000</f>
        <v>#REF!</v>
      </c>
      <c r="M31" s="292" t="e">
        <f>(E31*'Unit costs'!$N$45)/1000</f>
        <v>#REF!</v>
      </c>
      <c r="N31" s="292" t="e">
        <f>(F31*'Unit costs'!$N$45)/1000</f>
        <v>#REF!</v>
      </c>
      <c r="O31" s="292" t="e">
        <f>(G31*'Unit costs'!$N$45)/1000</f>
        <v>#REF!</v>
      </c>
      <c r="P31" s="292" t="e">
        <f>(H31*'Unit costs'!$N$45)/1000</f>
        <v>#REF!</v>
      </c>
      <c r="Q31" s="292" t="e">
        <f>(I31*'Unit costs'!$N$45)/1000</f>
        <v>#REF!</v>
      </c>
      <c r="R31" s="133"/>
      <c r="S31" s="133"/>
      <c r="T31" s="133"/>
      <c r="U31" s="133"/>
      <c r="V31" s="133"/>
      <c r="W31" s="133"/>
      <c r="X31" s="133"/>
      <c r="Y31" s="133"/>
      <c r="Z31" s="133"/>
      <c r="AJ31" s="286"/>
      <c r="AK31" s="286"/>
      <c r="AL31" s="286"/>
      <c r="AM31" s="286"/>
      <c r="AN31" s="286"/>
    </row>
    <row r="32" spans="1:40" hidden="1" x14ac:dyDescent="0.25">
      <c r="A32" s="661"/>
      <c r="B32" s="350" t="s">
        <v>940</v>
      </c>
      <c r="C32" s="632" t="e">
        <f>'Inputs and eligible population'!#REF!</f>
        <v>#REF!</v>
      </c>
      <c r="D32" s="128" t="e">
        <f>'Financial impact (cash)'!D16*$C$30</f>
        <v>#REF!</v>
      </c>
      <c r="E32" s="128" t="e">
        <f>'Financial impact (cash)'!E16*$C$30</f>
        <v>#REF!</v>
      </c>
      <c r="F32" s="128" t="e">
        <f>'Financial impact (cash)'!F16*$C$30</f>
        <v>#REF!</v>
      </c>
      <c r="G32" s="128" t="e">
        <f>'Financial impact (cash)'!G16*$C$30</f>
        <v>#REF!</v>
      </c>
      <c r="H32" s="128" t="e">
        <f>'Financial impact (cash)'!H16*$C$30</f>
        <v>#REF!</v>
      </c>
      <c r="I32" s="128" t="e">
        <f>'Financial impact (cash)'!I16*$C$30</f>
        <v>#REF!</v>
      </c>
      <c r="J32" s="666"/>
      <c r="K32" s="672">
        <f>'Unit costs'!$N$45</f>
        <v>314</v>
      </c>
      <c r="L32" s="292" t="e">
        <f>(D32*'Unit costs'!$N$45)/1000</f>
        <v>#REF!</v>
      </c>
      <c r="M32" s="292" t="e">
        <f>(E32*'Unit costs'!$N$45)/1000</f>
        <v>#REF!</v>
      </c>
      <c r="N32" s="292" t="e">
        <f>(F32*'Unit costs'!$N$45)/1000</f>
        <v>#REF!</v>
      </c>
      <c r="O32" s="292" t="e">
        <f>(G32*'Unit costs'!$N$45)/1000</f>
        <v>#REF!</v>
      </c>
      <c r="P32" s="292" t="e">
        <f>(H32*'Unit costs'!$N$45)/1000</f>
        <v>#REF!</v>
      </c>
      <c r="Q32" s="292" t="e">
        <f>(I32*'Unit costs'!$N$45)/1000</f>
        <v>#REF!</v>
      </c>
      <c r="R32" s="133"/>
      <c r="S32" s="133"/>
      <c r="T32" s="133"/>
      <c r="U32" s="133"/>
      <c r="V32" s="133"/>
      <c r="W32" s="133"/>
      <c r="X32" s="133"/>
      <c r="Y32" s="133"/>
      <c r="Z32" s="133"/>
      <c r="AJ32" s="286"/>
      <c r="AK32" s="286"/>
      <c r="AL32" s="286"/>
      <c r="AM32" s="286"/>
      <c r="AN32" s="286"/>
    </row>
    <row r="33" spans="1:40" hidden="1" x14ac:dyDescent="0.25">
      <c r="A33" s="661"/>
      <c r="B33" s="518"/>
      <c r="C33" s="283"/>
      <c r="D33" s="186" t="e">
        <f t="shared" ref="D33:I33" si="14">SUM(D30:D32)</f>
        <v>#REF!</v>
      </c>
      <c r="E33" s="186" t="e">
        <f t="shared" si="14"/>
        <v>#REF!</v>
      </c>
      <c r="F33" s="186" t="e">
        <f t="shared" si="14"/>
        <v>#REF!</v>
      </c>
      <c r="G33" s="186" t="e">
        <f t="shared" si="14"/>
        <v>#REF!</v>
      </c>
      <c r="H33" s="186" t="e">
        <f t="shared" si="14"/>
        <v>#REF!</v>
      </c>
      <c r="I33" s="186" t="e">
        <f t="shared" si="14"/>
        <v>#REF!</v>
      </c>
      <c r="J33" s="666"/>
      <c r="K33" s="220"/>
      <c r="L33" s="293" t="e">
        <f t="shared" ref="L33:Q33" si="15">SUM(L30:L32)</f>
        <v>#REF!</v>
      </c>
      <c r="M33" s="293" t="e">
        <f t="shared" si="15"/>
        <v>#REF!</v>
      </c>
      <c r="N33" s="293" t="e">
        <f t="shared" si="15"/>
        <v>#REF!</v>
      </c>
      <c r="O33" s="293" t="e">
        <f t="shared" si="15"/>
        <v>#REF!</v>
      </c>
      <c r="P33" s="293" t="e">
        <f t="shared" si="15"/>
        <v>#REF!</v>
      </c>
      <c r="Q33" s="293" t="e">
        <f t="shared" si="15"/>
        <v>#REF!</v>
      </c>
      <c r="R33" s="133"/>
      <c r="S33" s="133"/>
      <c r="T33" s="133"/>
      <c r="U33" s="133"/>
      <c r="V33" s="133"/>
      <c r="W33" s="133"/>
      <c r="X33" s="133"/>
      <c r="Y33" s="133"/>
      <c r="Z33" s="133"/>
      <c r="AJ33" s="286"/>
      <c r="AK33" s="286"/>
      <c r="AL33" s="286"/>
      <c r="AM33" s="286"/>
      <c r="AN33" s="286"/>
    </row>
    <row r="34" spans="1:40" hidden="1" x14ac:dyDescent="0.25">
      <c r="A34" s="661"/>
      <c r="B34" s="258"/>
      <c r="C34" s="258"/>
      <c r="D34" s="285" t="s">
        <v>913</v>
      </c>
      <c r="E34" s="186" t="e">
        <f>E33-$D$33</f>
        <v>#REF!</v>
      </c>
      <c r="F34" s="186" t="e">
        <f>F33-$D$33</f>
        <v>#REF!</v>
      </c>
      <c r="G34" s="186" t="e">
        <f>G33-$D$33</f>
        <v>#REF!</v>
      </c>
      <c r="H34" s="186" t="e">
        <f>H33-$D$33</f>
        <v>#REF!</v>
      </c>
      <c r="I34" s="186" t="e">
        <f>I33-$D$33</f>
        <v>#REF!</v>
      </c>
      <c r="J34" s="666"/>
      <c r="K34" s="220"/>
      <c r="L34" s="220"/>
      <c r="M34" s="293" t="e">
        <f>M33-$L$33</f>
        <v>#REF!</v>
      </c>
      <c r="N34" s="293" t="e">
        <f>N33-$L$33</f>
        <v>#REF!</v>
      </c>
      <c r="O34" s="293" t="e">
        <f>O33-$L$33</f>
        <v>#REF!</v>
      </c>
      <c r="P34" s="293" t="e">
        <f>P33-$L$33</f>
        <v>#REF!</v>
      </c>
      <c r="Q34" s="293" t="e">
        <f>Q33-$L$33</f>
        <v>#REF!</v>
      </c>
      <c r="R34" s="133"/>
      <c r="S34" s="133"/>
      <c r="T34" s="133"/>
      <c r="U34" s="133"/>
      <c r="V34" s="133"/>
      <c r="W34" s="133"/>
      <c r="X34" s="133"/>
      <c r="Y34" s="133"/>
      <c r="Z34" s="133"/>
      <c r="AJ34" s="286"/>
      <c r="AK34" s="286"/>
      <c r="AL34" s="286"/>
      <c r="AM34" s="286"/>
      <c r="AN34" s="286"/>
    </row>
    <row r="35" spans="1:40" hidden="1" x14ac:dyDescent="0.25">
      <c r="A35" s="288"/>
      <c r="B35" s="663"/>
      <c r="C35" s="658"/>
      <c r="D35" s="659"/>
      <c r="E35" s="660"/>
      <c r="F35" s="288"/>
      <c r="G35" s="288"/>
      <c r="H35" s="288"/>
      <c r="I35" s="306"/>
      <c r="J35" s="220"/>
      <c r="K35" s="220"/>
      <c r="L35" s="220"/>
      <c r="M35" s="220"/>
      <c r="N35" s="220"/>
      <c r="O35" s="220"/>
      <c r="P35" s="220"/>
      <c r="Q35" s="220"/>
      <c r="R35" s="133"/>
      <c r="S35" s="133"/>
      <c r="T35" s="133"/>
      <c r="U35" s="133"/>
      <c r="V35" s="133"/>
      <c r="W35" s="133"/>
      <c r="X35" s="133"/>
      <c r="Y35" s="133"/>
      <c r="Z35" s="133"/>
      <c r="AJ35" s="286"/>
      <c r="AK35" s="286"/>
      <c r="AL35" s="286"/>
      <c r="AM35" s="286"/>
      <c r="AN35" s="286"/>
    </row>
    <row r="36" spans="1:40" x14ac:dyDescent="0.25">
      <c r="A36" s="288"/>
      <c r="B36" s="394" t="s">
        <v>903</v>
      </c>
      <c r="C36" s="395"/>
      <c r="D36" s="395"/>
      <c r="E36" s="395"/>
      <c r="F36" s="395"/>
      <c r="G36" s="395"/>
      <c r="H36" s="395"/>
      <c r="I36" s="219"/>
      <c r="J36" s="220"/>
      <c r="K36" s="220"/>
      <c r="L36" s="220"/>
      <c r="M36" s="220"/>
      <c r="N36" s="220"/>
      <c r="O36" s="220"/>
      <c r="P36" s="220"/>
      <c r="Q36" s="220"/>
      <c r="R36" s="133"/>
      <c r="S36" s="133"/>
      <c r="T36" s="133"/>
      <c r="U36" s="133"/>
      <c r="V36" s="133"/>
      <c r="W36" s="133"/>
      <c r="X36" s="133"/>
      <c r="Y36" s="133"/>
      <c r="Z36" s="133"/>
      <c r="AJ36" s="286"/>
      <c r="AK36" s="286"/>
      <c r="AL36" s="286"/>
      <c r="AM36" s="286"/>
      <c r="AN36" s="286"/>
    </row>
    <row r="37" spans="1:40" ht="45" x14ac:dyDescent="0.25">
      <c r="A37" s="288"/>
      <c r="B37" s="279" t="s">
        <v>124</v>
      </c>
      <c r="C37" s="165" t="s">
        <v>739</v>
      </c>
      <c r="D37" s="423" t="s">
        <v>730</v>
      </c>
      <c r="E37" s="257" t="s">
        <v>50</v>
      </c>
      <c r="F37" s="257" t="s">
        <v>51</v>
      </c>
      <c r="G37" s="164" t="s">
        <v>731</v>
      </c>
      <c r="H37" s="164" t="s">
        <v>732</v>
      </c>
      <c r="I37" s="257" t="s">
        <v>733</v>
      </c>
      <c r="J37" s="220"/>
      <c r="K37" s="670" t="s">
        <v>929</v>
      </c>
      <c r="L37" s="423" t="s">
        <v>730</v>
      </c>
      <c r="M37" s="257" t="s">
        <v>50</v>
      </c>
      <c r="N37" s="257" t="s">
        <v>51</v>
      </c>
      <c r="O37" s="164" t="s">
        <v>731</v>
      </c>
      <c r="P37" s="164" t="s">
        <v>732</v>
      </c>
      <c r="Q37" s="257" t="s">
        <v>733</v>
      </c>
      <c r="R37" s="133"/>
      <c r="S37" s="133"/>
      <c r="T37" s="133"/>
      <c r="U37" s="133"/>
      <c r="V37" s="133"/>
      <c r="W37" s="133"/>
      <c r="X37" s="133"/>
      <c r="Y37" s="133"/>
      <c r="Z37" s="133"/>
      <c r="AJ37" s="286"/>
      <c r="AK37" s="286"/>
      <c r="AL37" s="286"/>
      <c r="AM37" s="286"/>
      <c r="AN37" s="286"/>
    </row>
    <row r="38" spans="1:40" x14ac:dyDescent="0.25">
      <c r="A38" s="288"/>
      <c r="B38" s="350" t="s">
        <v>1052</v>
      </c>
      <c r="C38" s="632">
        <f>'Inputs and eligible population'!F85</f>
        <v>1.25</v>
      </c>
      <c r="D38" s="128">
        <f>'Financial impact (cash)'!D14*$C$38</f>
        <v>0</v>
      </c>
      <c r="E38" s="128">
        <f>'Financial impact (cash)'!E14*$C$38</f>
        <v>858.59073437918425</v>
      </c>
      <c r="F38" s="128">
        <f>'Financial impact (cash)'!F14*$C$38</f>
        <v>2383.8900275585497</v>
      </c>
      <c r="G38" s="128">
        <f>'Financial impact (cash)'!G14*$C$38</f>
        <v>2406.8750362194496</v>
      </c>
      <c r="H38" s="128">
        <f>'Financial impact (cash)'!H14*$C$38</f>
        <v>2430.0816619084144</v>
      </c>
      <c r="I38" s="128">
        <f>'Financial impact (cash)'!I14*$C$38</f>
        <v>2453.5120414141597</v>
      </c>
      <c r="J38" s="220"/>
      <c r="K38" s="672">
        <f>'Unit costs'!$N$49</f>
        <v>146</v>
      </c>
      <c r="L38" s="292">
        <f>(D38*'Unit costs'!$N$49)/1000</f>
        <v>0</v>
      </c>
      <c r="M38" s="292">
        <f>(E38*'Unit costs'!$N$49)/1000</f>
        <v>125.3542472193609</v>
      </c>
      <c r="N38" s="292">
        <f>(F38*'Unit costs'!$N$49)/1000</f>
        <v>348.04794402354827</v>
      </c>
      <c r="O38" s="292">
        <f>(G38*'Unit costs'!$N$49)/1000</f>
        <v>351.40375528803963</v>
      </c>
      <c r="P38" s="292">
        <f>(H38*'Unit costs'!$N$49)/1000</f>
        <v>354.79192263862853</v>
      </c>
      <c r="Q38" s="292">
        <f>(I38*'Unit costs'!$N$49)/1000</f>
        <v>358.21275804646734</v>
      </c>
      <c r="R38" s="133"/>
      <c r="S38" s="133"/>
      <c r="T38" s="133"/>
      <c r="U38" s="133"/>
      <c r="V38" s="133"/>
      <c r="W38" s="133"/>
      <c r="X38" s="133"/>
      <c r="Y38" s="133"/>
      <c r="Z38" s="133"/>
      <c r="AJ38" s="286"/>
      <c r="AK38" s="286"/>
      <c r="AL38" s="286"/>
      <c r="AM38" s="286"/>
      <c r="AN38" s="286"/>
    </row>
    <row r="39" spans="1:40" x14ac:dyDescent="0.25">
      <c r="A39" s="288"/>
      <c r="B39" s="350" t="s">
        <v>1053</v>
      </c>
      <c r="C39" s="632">
        <f>'Inputs and eligible population'!G85</f>
        <v>0.5</v>
      </c>
      <c r="D39" s="128">
        <f>'Financial impact (cash)'!D15*$C$39</f>
        <v>663.30531072000008</v>
      </c>
      <c r="E39" s="128">
        <f>'Financial impact (cash)'!E15*$C$39</f>
        <v>463.63899656475951</v>
      </c>
      <c r="F39" s="128">
        <f>'Financial impact (cash)'!F15*$C$39</f>
        <v>121.36167413025345</v>
      </c>
      <c r="G39" s="128">
        <f>'Financial impact (cash)'!G15*$C$39</f>
        <v>122.53182002571745</v>
      </c>
      <c r="H39" s="128">
        <f>'Financial impact (cash)'!H15*$C$39</f>
        <v>123.71324824261019</v>
      </c>
      <c r="I39" s="128">
        <f>'Financial impact (cash)'!I15*$C$39</f>
        <v>124.90606756290266</v>
      </c>
      <c r="J39" s="220"/>
      <c r="K39" s="672">
        <f>'Unit costs'!$N$49</f>
        <v>146</v>
      </c>
      <c r="L39" s="292">
        <f>(D39*'Unit costs'!$N$49)/1000</f>
        <v>96.842575365120013</v>
      </c>
      <c r="M39" s="292">
        <f>(E39*'Unit costs'!$N$49)/1000</f>
        <v>67.691293498454897</v>
      </c>
      <c r="N39" s="292">
        <f>(F39*'Unit costs'!$N$49)/1000</f>
        <v>17.718804423017001</v>
      </c>
      <c r="O39" s="292">
        <f>(G39*'Unit costs'!$N$49)/1000</f>
        <v>17.889645723754747</v>
      </c>
      <c r="P39" s="292">
        <f>(H39*'Unit costs'!$N$49)/1000</f>
        <v>18.062134243421088</v>
      </c>
      <c r="Q39" s="292">
        <f>(I39*'Unit costs'!$N$49)/1000</f>
        <v>18.236285864183788</v>
      </c>
      <c r="R39" s="133"/>
      <c r="S39" s="133"/>
      <c r="T39" s="133"/>
      <c r="U39" s="133"/>
      <c r="V39" s="133"/>
      <c r="W39" s="133"/>
      <c r="X39" s="133"/>
      <c r="Y39" s="133"/>
      <c r="Z39" s="133"/>
      <c r="AJ39" s="286"/>
      <c r="AK39" s="286"/>
      <c r="AL39" s="286"/>
      <c r="AM39" s="286"/>
      <c r="AN39" s="286"/>
    </row>
    <row r="40" spans="1:40" x14ac:dyDescent="0.25">
      <c r="A40" s="288"/>
      <c r="B40" s="350" t="s">
        <v>1054</v>
      </c>
      <c r="C40" s="632">
        <f>'Inputs and eligible population'!H85</f>
        <v>0.7</v>
      </c>
      <c r="D40" s="128">
        <f>'Financial impact (cash)'!D16*$C$40</f>
        <v>666.70687641600011</v>
      </c>
      <c r="E40" s="128">
        <f>'Financial impact (cash)'!E16*$C$40</f>
        <v>480.81081125234317</v>
      </c>
      <c r="F40" s="128">
        <f>'Financial impact (cash)'!F16*$C$40</f>
        <v>121.36167413025345</v>
      </c>
      <c r="G40" s="128">
        <f>'Financial impact (cash)'!G16*$C$40</f>
        <v>122.53182002571744</v>
      </c>
      <c r="H40" s="128">
        <f>'Financial impact (cash)'!H16*$C$40</f>
        <v>123.71324824261019</v>
      </c>
      <c r="I40" s="128">
        <f>'Financial impact (cash)'!I16*$C$40</f>
        <v>124.90606756290266</v>
      </c>
      <c r="J40" s="220"/>
      <c r="K40" s="672">
        <f>'Unit costs'!$N$49</f>
        <v>146</v>
      </c>
      <c r="L40" s="292">
        <f>(D40*'Unit costs'!$N$49)/1000</f>
        <v>97.339203956736014</v>
      </c>
      <c r="M40" s="292">
        <f>(E40*'Unit costs'!$N$49)/1000</f>
        <v>70.198378442842099</v>
      </c>
      <c r="N40" s="292">
        <f>(F40*'Unit costs'!$N$49)/1000</f>
        <v>17.718804423017001</v>
      </c>
      <c r="O40" s="292">
        <f>(G40*'Unit costs'!$N$49)/1000</f>
        <v>17.889645723754747</v>
      </c>
      <c r="P40" s="292">
        <f>(H40*'Unit costs'!$N$49)/1000</f>
        <v>18.062134243421088</v>
      </c>
      <c r="Q40" s="292">
        <f>(I40*'Unit costs'!$N$49)/1000</f>
        <v>18.236285864183788</v>
      </c>
      <c r="R40" s="133"/>
      <c r="S40" s="133"/>
      <c r="T40" s="133"/>
      <c r="U40" s="133"/>
      <c r="V40" s="133"/>
      <c r="W40" s="133"/>
      <c r="X40" s="133"/>
      <c r="Y40" s="133"/>
      <c r="Z40" s="133"/>
      <c r="AJ40" s="286"/>
      <c r="AK40" s="286"/>
      <c r="AL40" s="286"/>
      <c r="AM40" s="286"/>
      <c r="AN40" s="286"/>
    </row>
    <row r="41" spans="1:40" x14ac:dyDescent="0.25">
      <c r="A41" s="288"/>
      <c r="B41" s="350" t="s">
        <v>997</v>
      </c>
      <c r="C41" s="632">
        <f>'Inputs and eligible population'!I85</f>
        <v>1</v>
      </c>
      <c r="D41" s="128">
        <f>'Financial impact (cash)'!D17*$C$41</f>
        <v>1122.5166796800002</v>
      </c>
      <c r="E41" s="128">
        <f>'Financial impact (cash)'!E17*$C$41</f>
        <v>1133.3397693805232</v>
      </c>
      <c r="F41" s="128">
        <f>'Financial impact (cash)'!F17*$C$41</f>
        <v>1144.2672132281039</v>
      </c>
      <c r="G41" s="128">
        <f>'Financial impact (cash)'!G17*$C$41</f>
        <v>1155.3000173853359</v>
      </c>
      <c r="H41" s="128">
        <f>'Financial impact (cash)'!H17*$C$41</f>
        <v>1166.439197716039</v>
      </c>
      <c r="I41" s="128">
        <f>'Financial impact (cash)'!I17*$C$41</f>
        <v>1177.6857798787964</v>
      </c>
      <c r="J41" s="220"/>
      <c r="K41" s="672">
        <f>'Unit costs'!$N$49</f>
        <v>146</v>
      </c>
      <c r="L41" s="292">
        <f>(D41*'Unit costs'!$N$49)/1000</f>
        <v>163.88743523328003</v>
      </c>
      <c r="M41" s="292">
        <f>(E41*'Unit costs'!$N$49)/1000</f>
        <v>165.46760632955639</v>
      </c>
      <c r="N41" s="292">
        <f>(F41*'Unit costs'!$N$49)/1000</f>
        <v>167.06301313130317</v>
      </c>
      <c r="O41" s="292">
        <f>(G41*'Unit costs'!$N$49)/1000</f>
        <v>168.67380253825905</v>
      </c>
      <c r="P41" s="292">
        <f>(H41*'Unit costs'!$N$49)/1000</f>
        <v>170.3001228665417</v>
      </c>
      <c r="Q41" s="292">
        <f>(I41*'Unit costs'!$N$49)/1000</f>
        <v>171.9421238623043</v>
      </c>
      <c r="R41" s="133"/>
      <c r="S41" s="133"/>
      <c r="T41" s="133"/>
      <c r="U41" s="133"/>
      <c r="V41" s="133"/>
      <c r="W41" s="133"/>
      <c r="X41" s="133"/>
      <c r="Y41" s="133"/>
      <c r="Z41" s="133"/>
      <c r="AJ41" s="286"/>
      <c r="AK41" s="286"/>
      <c r="AL41" s="286"/>
      <c r="AM41" s="286"/>
      <c r="AN41" s="286"/>
    </row>
    <row r="42" spans="1:40" x14ac:dyDescent="0.25">
      <c r="A42" s="288"/>
      <c r="B42" s="280"/>
      <c r="C42" s="283"/>
      <c r="D42" s="186">
        <f t="shared" ref="D42:I42" si="16">SUM(D38:D41)</f>
        <v>2452.5288668160001</v>
      </c>
      <c r="E42" s="186">
        <f t="shared" si="16"/>
        <v>2936.3803115768101</v>
      </c>
      <c r="F42" s="186">
        <f t="shared" si="16"/>
        <v>3770.8805890471604</v>
      </c>
      <c r="G42" s="186">
        <f t="shared" si="16"/>
        <v>3807.2386936562207</v>
      </c>
      <c r="H42" s="186">
        <f t="shared" si="16"/>
        <v>3843.9473561096734</v>
      </c>
      <c r="I42" s="186">
        <f t="shared" si="16"/>
        <v>3881.0099564187612</v>
      </c>
      <c r="J42" s="220"/>
      <c r="K42" s="220"/>
      <c r="L42" s="293">
        <f t="shared" ref="L42:Q42" si="17">SUM(L38:L41)</f>
        <v>358.06921455513606</v>
      </c>
      <c r="M42" s="293">
        <f t="shared" si="17"/>
        <v>428.71152549021429</v>
      </c>
      <c r="N42" s="293">
        <f t="shared" si="17"/>
        <v>550.54856600088544</v>
      </c>
      <c r="O42" s="293">
        <f t="shared" si="17"/>
        <v>555.85684927380817</v>
      </c>
      <c r="P42" s="293">
        <f t="shared" si="17"/>
        <v>561.21631399201237</v>
      </c>
      <c r="Q42" s="293">
        <f t="shared" si="17"/>
        <v>566.6274536371393</v>
      </c>
      <c r="R42" s="133"/>
      <c r="S42" s="133"/>
      <c r="T42" s="133"/>
      <c r="U42" s="133"/>
      <c r="V42" s="133"/>
      <c r="W42" s="133"/>
      <c r="X42" s="133"/>
      <c r="Y42" s="133"/>
      <c r="Z42" s="133"/>
      <c r="AJ42" s="286"/>
      <c r="AK42" s="286"/>
      <c r="AL42" s="286"/>
      <c r="AM42" s="286"/>
      <c r="AN42" s="286"/>
    </row>
    <row r="43" spans="1:40" x14ac:dyDescent="0.25">
      <c r="A43" s="288"/>
      <c r="B43" s="305"/>
      <c r="C43" s="258"/>
      <c r="D43" s="285" t="s">
        <v>913</v>
      </c>
      <c r="E43" s="186">
        <f>E42-$D$42</f>
        <v>483.85144476080995</v>
      </c>
      <c r="F43" s="186">
        <f>F42-$D$42</f>
        <v>1318.3517222311602</v>
      </c>
      <c r="G43" s="186">
        <f>G42-$D$42</f>
        <v>1354.7098268402206</v>
      </c>
      <c r="H43" s="186">
        <f>H42-$D$42</f>
        <v>1391.4184892936732</v>
      </c>
      <c r="I43" s="186">
        <f>I42-$D$42</f>
        <v>1428.4810896027611</v>
      </c>
      <c r="J43" s="220"/>
      <c r="K43" s="220"/>
      <c r="L43" s="220"/>
      <c r="M43" s="293">
        <f>M42-$L$42</f>
        <v>70.642310935078228</v>
      </c>
      <c r="N43" s="293">
        <f>N42-$L$42</f>
        <v>192.47935144574939</v>
      </c>
      <c r="O43" s="293">
        <f>O42-$L$42</f>
        <v>197.78763471867211</v>
      </c>
      <c r="P43" s="293">
        <f>P42-$L$42</f>
        <v>203.14709943687632</v>
      </c>
      <c r="Q43" s="293">
        <f>Q42-$L$42</f>
        <v>208.55823908200324</v>
      </c>
      <c r="R43" s="133"/>
      <c r="S43" s="133"/>
      <c r="T43" s="133"/>
      <c r="U43" s="133"/>
      <c r="V43" s="133"/>
      <c r="W43" s="133"/>
      <c r="X43" s="133"/>
      <c r="Y43" s="133"/>
      <c r="Z43" s="133"/>
      <c r="AJ43" s="286"/>
      <c r="AK43" s="286"/>
      <c r="AL43" s="286"/>
      <c r="AM43" s="286"/>
      <c r="AN43" s="286"/>
    </row>
    <row r="44" spans="1:40" x14ac:dyDescent="0.25">
      <c r="A44" s="288"/>
      <c r="B44" s="288"/>
      <c r="C44" s="288"/>
      <c r="D44" s="664"/>
      <c r="E44" s="665"/>
      <c r="F44" s="665"/>
      <c r="G44" s="665"/>
      <c r="H44" s="665"/>
      <c r="I44" s="665"/>
      <c r="J44" s="220"/>
      <c r="K44" s="220"/>
      <c r="L44" s="220"/>
      <c r="M44" s="220"/>
      <c r="N44" s="220"/>
      <c r="O44" s="220"/>
      <c r="P44" s="220"/>
      <c r="Q44" s="220"/>
      <c r="R44" s="133"/>
      <c r="S44" s="133"/>
      <c r="T44" s="133"/>
      <c r="U44" s="133"/>
      <c r="V44" s="133"/>
      <c r="W44" s="133"/>
      <c r="X44" s="133"/>
      <c r="Y44" s="133"/>
      <c r="Z44" s="133"/>
      <c r="AJ44" s="286"/>
      <c r="AK44" s="286"/>
      <c r="AL44" s="286"/>
      <c r="AM44" s="286"/>
      <c r="AN44" s="286"/>
    </row>
    <row r="45" spans="1:40" x14ac:dyDescent="0.25">
      <c r="A45" s="300"/>
      <c r="B45" s="387" t="s">
        <v>123</v>
      </c>
      <c r="C45" s="388"/>
      <c r="D45" s="388"/>
      <c r="E45" s="388"/>
      <c r="F45" s="388"/>
      <c r="G45" s="388"/>
      <c r="H45" s="388"/>
      <c r="I45" s="388"/>
      <c r="J45" s="429"/>
      <c r="K45" s="216"/>
      <c r="L45" s="216"/>
      <c r="M45" s="216"/>
      <c r="N45" s="216"/>
      <c r="O45" s="216"/>
      <c r="P45" s="216"/>
      <c r="Q45" s="216"/>
      <c r="R45" s="133"/>
      <c r="S45" s="133"/>
      <c r="T45" s="133"/>
      <c r="U45" s="133"/>
      <c r="V45" s="133"/>
      <c r="W45" s="133"/>
      <c r="X45" s="133"/>
      <c r="Y45" s="133"/>
      <c r="Z45" s="133"/>
      <c r="AJ45" s="286"/>
      <c r="AK45" s="286"/>
      <c r="AL45" s="286"/>
      <c r="AM45" s="286"/>
      <c r="AN45" s="286"/>
    </row>
    <row r="46" spans="1:40" ht="45" x14ac:dyDescent="0.25">
      <c r="A46" s="300"/>
      <c r="B46" s="319" t="s">
        <v>124</v>
      </c>
      <c r="C46" s="165" t="s">
        <v>127</v>
      </c>
      <c r="D46" s="423" t="s">
        <v>730</v>
      </c>
      <c r="E46" s="257" t="s">
        <v>50</v>
      </c>
      <c r="F46" s="257" t="s">
        <v>51</v>
      </c>
      <c r="G46" s="164" t="s">
        <v>731</v>
      </c>
      <c r="H46" s="164" t="s">
        <v>732</v>
      </c>
      <c r="I46" s="257" t="s">
        <v>733</v>
      </c>
      <c r="J46" s="429"/>
      <c r="K46" s="670" t="s">
        <v>929</v>
      </c>
      <c r="L46" s="423" t="s">
        <v>730</v>
      </c>
      <c r="M46" s="532" t="s">
        <v>50</v>
      </c>
      <c r="N46" s="532" t="s">
        <v>51</v>
      </c>
      <c r="O46" s="424" t="s">
        <v>731</v>
      </c>
      <c r="P46" s="424" t="s">
        <v>732</v>
      </c>
      <c r="Q46" s="532" t="s">
        <v>733</v>
      </c>
      <c r="R46" s="133"/>
      <c r="S46" s="133"/>
      <c r="T46" s="133"/>
      <c r="U46" s="133"/>
      <c r="V46" s="133"/>
      <c r="W46" s="133"/>
      <c r="X46" s="133"/>
      <c r="Y46" s="133"/>
      <c r="Z46" s="133"/>
      <c r="AJ46" s="286"/>
      <c r="AK46" s="286"/>
      <c r="AL46" s="286"/>
      <c r="AM46" s="286"/>
      <c r="AN46" s="286"/>
    </row>
    <row r="47" spans="1:40" x14ac:dyDescent="0.25">
      <c r="A47" s="300"/>
      <c r="B47" s="633" t="s">
        <v>1013</v>
      </c>
      <c r="C47" s="292">
        <f>'Unit costs'!O34</f>
        <v>178</v>
      </c>
      <c r="D47" s="128">
        <f>D55</f>
        <v>0</v>
      </c>
      <c r="E47" s="128">
        <f>E55</f>
        <v>3434.362937516737</v>
      </c>
      <c r="F47" s="128">
        <f t="shared" ref="E47:I48" si="18">F55</f>
        <v>9535.5601102341989</v>
      </c>
      <c r="G47" s="128">
        <f t="shared" si="18"/>
        <v>9627.5001448777984</v>
      </c>
      <c r="H47" s="128">
        <f t="shared" si="18"/>
        <v>9720.3266476336576</v>
      </c>
      <c r="I47" s="128">
        <f t="shared" si="18"/>
        <v>9814.048165656639</v>
      </c>
      <c r="J47" s="429"/>
      <c r="K47" s="671">
        <f>'Unit costs'!O34</f>
        <v>178</v>
      </c>
      <c r="L47" s="292">
        <f>(D47*$K$47)/1000</f>
        <v>0</v>
      </c>
      <c r="M47" s="292">
        <f t="shared" ref="M47:P47" si="19">(E47*$K$47)/1000</f>
        <v>611.31660287797922</v>
      </c>
      <c r="N47" s="292">
        <f t="shared" si="19"/>
        <v>1697.3296996216875</v>
      </c>
      <c r="O47" s="292">
        <f t="shared" si="19"/>
        <v>1713.6950257882481</v>
      </c>
      <c r="P47" s="292">
        <f t="shared" si="19"/>
        <v>1730.2181432787911</v>
      </c>
      <c r="Q47" s="292">
        <f>(I47*$K$47)/1000</f>
        <v>1746.9005734868817</v>
      </c>
      <c r="R47" s="133"/>
      <c r="S47" s="133"/>
      <c r="T47" s="133"/>
      <c r="U47" s="133"/>
      <c r="V47" s="133"/>
      <c r="W47" s="133"/>
      <c r="X47" s="133"/>
      <c r="Y47" s="133"/>
      <c r="Z47" s="133"/>
      <c r="AJ47" s="286"/>
      <c r="AK47" s="286"/>
      <c r="AL47" s="286"/>
      <c r="AM47" s="286"/>
      <c r="AN47" s="286"/>
    </row>
    <row r="48" spans="1:40" x14ac:dyDescent="0.25">
      <c r="A48" s="300"/>
      <c r="B48" s="633" t="s">
        <v>1014</v>
      </c>
      <c r="C48" s="292">
        <f>'Unit costs'!O35</f>
        <v>356</v>
      </c>
      <c r="D48" s="128">
        <f>D56</f>
        <v>0</v>
      </c>
      <c r="E48" s="128">
        <f t="shared" si="18"/>
        <v>3434.362937516737</v>
      </c>
      <c r="F48" s="128">
        <f t="shared" si="18"/>
        <v>9535.5601102341989</v>
      </c>
      <c r="G48" s="128">
        <f t="shared" si="18"/>
        <v>9627.5001448777984</v>
      </c>
      <c r="H48" s="128">
        <f t="shared" si="18"/>
        <v>9720.3266476336576</v>
      </c>
      <c r="I48" s="128">
        <f t="shared" si="18"/>
        <v>9814.048165656639</v>
      </c>
      <c r="J48" s="429"/>
      <c r="K48" s="671">
        <f>'Unit costs'!O35</f>
        <v>356</v>
      </c>
      <c r="L48" s="292">
        <f>(D48*$K$48)/1000</f>
        <v>0</v>
      </c>
      <c r="M48" s="292">
        <f t="shared" ref="M48:Q48" si="20">(E48*$K$48)/1000</f>
        <v>1222.6332057559584</v>
      </c>
      <c r="N48" s="292">
        <f t="shared" si="20"/>
        <v>3394.659399243375</v>
      </c>
      <c r="O48" s="292">
        <f t="shared" si="20"/>
        <v>3427.3900515764963</v>
      </c>
      <c r="P48" s="292">
        <f t="shared" si="20"/>
        <v>3460.4362865575822</v>
      </c>
      <c r="Q48" s="292">
        <f t="shared" si="20"/>
        <v>3493.8011469737635</v>
      </c>
      <c r="R48" s="133"/>
      <c r="S48" s="133"/>
      <c r="T48" s="133"/>
      <c r="U48" s="133"/>
      <c r="V48" s="133"/>
      <c r="W48" s="133"/>
      <c r="X48" s="133"/>
      <c r="Y48" s="133"/>
      <c r="Z48" s="133"/>
      <c r="AJ48" s="286"/>
      <c r="AK48" s="286"/>
      <c r="AL48" s="286"/>
      <c r="AM48" s="286"/>
      <c r="AN48" s="286"/>
    </row>
    <row r="49" spans="1:40" x14ac:dyDescent="0.25">
      <c r="A49" s="300"/>
      <c r="B49" s="633" t="s">
        <v>1015</v>
      </c>
      <c r="C49" s="292">
        <f>'Unit costs'!O36</f>
        <v>142</v>
      </c>
      <c r="D49" s="128">
        <f>D57+D58</f>
        <v>5320.0487485440008</v>
      </c>
      <c r="E49" s="128">
        <f t="shared" ref="E49:I49" si="21">E57+E58</f>
        <v>3777.7992312684109</v>
      </c>
      <c r="F49" s="128">
        <f t="shared" si="21"/>
        <v>970.89339304202758</v>
      </c>
      <c r="G49" s="128">
        <f t="shared" si="21"/>
        <v>980.25456020573961</v>
      </c>
      <c r="H49" s="128">
        <f t="shared" si="21"/>
        <v>989.70598594088153</v>
      </c>
      <c r="I49" s="128">
        <f t="shared" si="21"/>
        <v>999.24854050322131</v>
      </c>
      <c r="J49" s="429"/>
      <c r="K49" s="671">
        <f>'Unit costs'!O36</f>
        <v>142</v>
      </c>
      <c r="L49" s="292">
        <f>(D49*$K$49)/1000</f>
        <v>755.44692229324812</v>
      </c>
      <c r="M49" s="292">
        <f t="shared" ref="M49:Q49" si="22">(E49*$K$49)/1000</f>
        <v>536.44749084011426</v>
      </c>
      <c r="N49" s="292">
        <f t="shared" si="22"/>
        <v>137.86686181196791</v>
      </c>
      <c r="O49" s="292">
        <f t="shared" si="22"/>
        <v>139.19614754921503</v>
      </c>
      <c r="P49" s="292">
        <f t="shared" si="22"/>
        <v>140.53825000360519</v>
      </c>
      <c r="Q49" s="292">
        <f t="shared" si="22"/>
        <v>141.89329275145744</v>
      </c>
      <c r="R49" s="133"/>
      <c r="S49" s="133"/>
      <c r="T49" s="133"/>
      <c r="U49" s="133"/>
      <c r="V49" s="133"/>
      <c r="W49" s="133"/>
      <c r="X49" s="133"/>
      <c r="Y49" s="133"/>
      <c r="Z49" s="133"/>
      <c r="AJ49" s="286"/>
      <c r="AK49" s="286"/>
      <c r="AL49" s="286"/>
      <c r="AM49" s="286"/>
      <c r="AN49" s="286"/>
    </row>
    <row r="50" spans="1:40" x14ac:dyDescent="0.25">
      <c r="A50" s="300"/>
      <c r="B50" s="322"/>
      <c r="C50" s="322"/>
      <c r="D50" s="186">
        <f>SUM(D47:D49)</f>
        <v>5320.0487485440008</v>
      </c>
      <c r="E50" s="186">
        <f t="shared" ref="E50:I50" si="23">SUM(E47:E49)</f>
        <v>10646.525106301884</v>
      </c>
      <c r="F50" s="186">
        <f t="shared" si="23"/>
        <v>20042.013613510426</v>
      </c>
      <c r="G50" s="186">
        <f t="shared" si="23"/>
        <v>20235.254849961337</v>
      </c>
      <c r="H50" s="186">
        <f t="shared" si="23"/>
        <v>20430.359281208195</v>
      </c>
      <c r="I50" s="186">
        <f t="shared" si="23"/>
        <v>20627.344871816498</v>
      </c>
      <c r="J50" s="429"/>
      <c r="K50" s="216"/>
      <c r="L50" s="293">
        <f>SUM(L47:L49)</f>
        <v>755.44692229324812</v>
      </c>
      <c r="M50" s="293">
        <f t="shared" ref="M50:Q50" si="24">SUM(M47:M49)</f>
        <v>2370.397299474052</v>
      </c>
      <c r="N50" s="293">
        <f t="shared" si="24"/>
        <v>5229.8559606770305</v>
      </c>
      <c r="O50" s="293">
        <f t="shared" si="24"/>
        <v>5280.2812249139597</v>
      </c>
      <c r="P50" s="293">
        <f t="shared" si="24"/>
        <v>5331.1926798399782</v>
      </c>
      <c r="Q50" s="293">
        <f t="shared" si="24"/>
        <v>5382.5950132121025</v>
      </c>
      <c r="R50" s="133"/>
      <c r="S50" s="133"/>
      <c r="T50" s="133"/>
      <c r="U50" s="133"/>
      <c r="V50" s="133"/>
      <c r="W50" s="133"/>
      <c r="X50" s="133"/>
      <c r="Y50" s="133"/>
      <c r="Z50" s="133"/>
      <c r="AJ50" s="286"/>
      <c r="AK50" s="286"/>
      <c r="AL50" s="286"/>
      <c r="AM50" s="286"/>
      <c r="AN50" s="286"/>
    </row>
    <row r="51" spans="1:40" x14ac:dyDescent="0.25">
      <c r="A51" s="300"/>
      <c r="B51" s="258"/>
      <c r="C51" s="258"/>
      <c r="D51" s="285" t="s">
        <v>740</v>
      </c>
      <c r="E51" s="186">
        <f>E50-D50</f>
        <v>5326.4763577578833</v>
      </c>
      <c r="F51" s="186">
        <f>F50-$D$50</f>
        <v>14721.964864966425</v>
      </c>
      <c r="G51" s="186">
        <f>G50-$D$50</f>
        <v>14915.206101417336</v>
      </c>
      <c r="H51" s="186">
        <f>H50-$D$50</f>
        <v>15110.310532664194</v>
      </c>
      <c r="I51" s="186">
        <f>I50-$D$50</f>
        <v>15307.296123272497</v>
      </c>
      <c r="J51" s="429"/>
      <c r="K51" s="216"/>
      <c r="L51" s="538"/>
      <c r="M51" s="293">
        <f>M50-$L$50</f>
        <v>1614.950377180804</v>
      </c>
      <c r="N51" s="293">
        <f>N50-$L$50</f>
        <v>4474.409038383782</v>
      </c>
      <c r="O51" s="293">
        <f>O50-$L$50</f>
        <v>4524.8343026207112</v>
      </c>
      <c r="P51" s="293">
        <f>P50-$L$50</f>
        <v>4575.7457575467297</v>
      </c>
      <c r="Q51" s="293">
        <f>Q50-$L$50</f>
        <v>4627.148090918854</v>
      </c>
      <c r="R51" s="133"/>
      <c r="S51" s="133"/>
      <c r="T51" s="133"/>
      <c r="U51" s="133"/>
      <c r="V51" s="133"/>
      <c r="W51" s="133"/>
      <c r="X51" s="133"/>
      <c r="Y51" s="133"/>
      <c r="Z51" s="133"/>
      <c r="AJ51" s="286"/>
      <c r="AK51" s="286"/>
      <c r="AL51" s="286"/>
      <c r="AM51" s="286"/>
      <c r="AN51" s="286"/>
    </row>
    <row r="52" spans="1:40" x14ac:dyDescent="0.25">
      <c r="A52" s="295"/>
      <c r="B52" s="321"/>
      <c r="C52" s="298"/>
      <c r="D52" s="297"/>
      <c r="E52" s="768"/>
      <c r="F52" s="768"/>
      <c r="G52" s="768"/>
      <c r="H52" s="768"/>
      <c r="I52" s="768"/>
      <c r="J52" s="216"/>
      <c r="K52" s="216"/>
      <c r="L52" s="216"/>
      <c r="M52" s="216"/>
      <c r="N52" s="216"/>
      <c r="O52" s="216"/>
      <c r="P52" s="216"/>
      <c r="Q52" s="216"/>
      <c r="R52" s="133"/>
      <c r="S52" s="133"/>
      <c r="T52" s="133"/>
      <c r="U52" s="133"/>
      <c r="V52" s="133"/>
      <c r="W52" s="133"/>
      <c r="X52" s="133"/>
      <c r="Y52" s="133"/>
      <c r="Z52" s="133"/>
      <c r="AJ52" s="286"/>
      <c r="AK52" s="286"/>
      <c r="AL52" s="286"/>
      <c r="AM52" s="286"/>
      <c r="AN52" s="286"/>
    </row>
    <row r="53" spans="1:40" x14ac:dyDescent="0.25">
      <c r="A53" s="300"/>
      <c r="B53" s="387" t="s">
        <v>967</v>
      </c>
      <c r="C53" s="388"/>
      <c r="D53" s="388"/>
      <c r="E53" s="388"/>
      <c r="F53" s="388"/>
      <c r="G53" s="388"/>
      <c r="H53" s="388"/>
      <c r="I53" s="388"/>
      <c r="J53" s="429"/>
      <c r="K53" s="216"/>
      <c r="L53" s="216"/>
      <c r="M53" s="216"/>
      <c r="N53" s="216"/>
      <c r="O53" s="216"/>
      <c r="P53" s="216"/>
      <c r="Q53" s="216"/>
      <c r="R53" s="133"/>
      <c r="S53" s="133"/>
      <c r="T53" s="133"/>
      <c r="U53" s="133"/>
      <c r="V53" s="133"/>
      <c r="W53" s="133"/>
      <c r="X53" s="133"/>
      <c r="Y53" s="133"/>
      <c r="Z53" s="133"/>
      <c r="AJ53" s="286"/>
      <c r="AK53" s="286"/>
      <c r="AL53" s="286"/>
      <c r="AM53" s="286"/>
      <c r="AN53" s="286"/>
    </row>
    <row r="54" spans="1:40" ht="45" x14ac:dyDescent="0.25">
      <c r="A54" s="300"/>
      <c r="B54" s="319" t="s">
        <v>124</v>
      </c>
      <c r="C54" s="165" t="s">
        <v>742</v>
      </c>
      <c r="D54" s="423" t="s">
        <v>730</v>
      </c>
      <c r="E54" s="257" t="s">
        <v>50</v>
      </c>
      <c r="F54" s="257" t="s">
        <v>51</v>
      </c>
      <c r="G54" s="164" t="s">
        <v>731</v>
      </c>
      <c r="H54" s="164" t="s">
        <v>732</v>
      </c>
      <c r="I54" s="257" t="s">
        <v>733</v>
      </c>
      <c r="J54" s="429"/>
      <c r="K54" s="216"/>
      <c r="L54" s="216"/>
      <c r="M54" s="216"/>
      <c r="N54" s="216"/>
      <c r="O54" s="216"/>
      <c r="P54" s="216"/>
      <c r="Q54" s="216"/>
      <c r="R54" s="133"/>
      <c r="V54" s="133"/>
      <c r="AJ54" s="286"/>
      <c r="AK54" s="286"/>
      <c r="AL54" s="286"/>
      <c r="AM54" s="286"/>
      <c r="AN54" s="286"/>
    </row>
    <row r="55" spans="1:40" x14ac:dyDescent="0.25">
      <c r="A55" s="300"/>
      <c r="B55" s="350" t="s">
        <v>1057</v>
      </c>
      <c r="C55" s="128">
        <f>'Unit costs'!K9</f>
        <v>5</v>
      </c>
      <c r="D55" s="128">
        <f>'Financial impact (cash)'!D14*$C55</f>
        <v>0</v>
      </c>
      <c r="E55" s="128">
        <f>'Financial impact (cash)'!E14*$C55</f>
        <v>3434.362937516737</v>
      </c>
      <c r="F55" s="128">
        <f>'Financial impact (cash)'!F14*$C55</f>
        <v>9535.5601102341989</v>
      </c>
      <c r="G55" s="128">
        <f>'Financial impact (cash)'!G14*$C55</f>
        <v>9627.5001448777984</v>
      </c>
      <c r="H55" s="128">
        <f>'Financial impact (cash)'!H14*$C55</f>
        <v>9720.3266476336576</v>
      </c>
      <c r="I55" s="128">
        <f>'Financial impact (cash)'!I14*$C55</f>
        <v>9814.048165656639</v>
      </c>
      <c r="J55" s="429"/>
      <c r="K55" s="216"/>
      <c r="L55" s="216"/>
      <c r="M55" s="216"/>
      <c r="N55" s="216"/>
      <c r="O55" s="216"/>
      <c r="P55" s="216"/>
      <c r="Q55" s="216"/>
      <c r="R55" s="133"/>
      <c r="V55" s="133"/>
      <c r="AJ55" s="286"/>
      <c r="AK55" s="286"/>
      <c r="AL55" s="286"/>
      <c r="AM55" s="286"/>
      <c r="AN55" s="286"/>
    </row>
    <row r="56" spans="1:40" x14ac:dyDescent="0.25">
      <c r="A56" s="300"/>
      <c r="B56" s="350" t="s">
        <v>1058</v>
      </c>
      <c r="C56" s="128">
        <f>'Unit costs'!K11</f>
        <v>5</v>
      </c>
      <c r="D56" s="128">
        <f>'Financial impact (cash)'!D14*$C56</f>
        <v>0</v>
      </c>
      <c r="E56" s="128">
        <f>'Financial impact (cash)'!E14*$C56</f>
        <v>3434.362937516737</v>
      </c>
      <c r="F56" s="128">
        <f>'Financial impact (cash)'!F14*$C56</f>
        <v>9535.5601102341989</v>
      </c>
      <c r="G56" s="128">
        <f>'Financial impact (cash)'!G14*$C56</f>
        <v>9627.5001448777984</v>
      </c>
      <c r="H56" s="128">
        <f>'Financial impact (cash)'!H14*$C56</f>
        <v>9720.3266476336576</v>
      </c>
      <c r="I56" s="128">
        <f>'Financial impact (cash)'!I14*$C56</f>
        <v>9814.048165656639</v>
      </c>
      <c r="J56" s="429"/>
      <c r="K56" s="216"/>
      <c r="L56" s="216"/>
      <c r="M56" s="216"/>
      <c r="N56" s="216"/>
      <c r="O56" s="216"/>
      <c r="P56" s="216"/>
      <c r="Q56" s="216"/>
      <c r="R56" s="133"/>
      <c r="V56" s="133"/>
      <c r="AJ56" s="286"/>
      <c r="AK56" s="286"/>
      <c r="AL56" s="286"/>
      <c r="AM56" s="286"/>
      <c r="AN56" s="286"/>
    </row>
    <row r="57" spans="1:40" x14ac:dyDescent="0.25">
      <c r="A57" s="300"/>
      <c r="B57" s="350" t="s">
        <v>1059</v>
      </c>
      <c r="C57" s="128">
        <f>'Unit costs'!K22</f>
        <v>2</v>
      </c>
      <c r="D57" s="128">
        <f>'Financial impact (cash)'!D15*$C57</f>
        <v>2653.2212428800003</v>
      </c>
      <c r="E57" s="128">
        <f>'Financial impact (cash)'!E15*$C57</f>
        <v>1854.555986259038</v>
      </c>
      <c r="F57" s="128">
        <f>'Financial impact (cash)'!F15*$C57</f>
        <v>485.44669652101379</v>
      </c>
      <c r="G57" s="128">
        <f>'Financial impact (cash)'!G15*$C57</f>
        <v>490.1272801028698</v>
      </c>
      <c r="H57" s="128">
        <f>'Financial impact (cash)'!H15*$C57</f>
        <v>494.85299297044077</v>
      </c>
      <c r="I57" s="128">
        <f>'Financial impact (cash)'!I15*$C57</f>
        <v>499.62427025161065</v>
      </c>
      <c r="J57" s="429"/>
      <c r="K57" s="216"/>
      <c r="L57" s="216"/>
      <c r="M57" s="216"/>
      <c r="N57" s="216"/>
      <c r="O57" s="216"/>
      <c r="P57" s="216"/>
      <c r="Q57" s="216"/>
      <c r="R57" s="133"/>
      <c r="V57" s="133"/>
      <c r="AJ57" s="286"/>
      <c r="AK57" s="286"/>
      <c r="AL57" s="286"/>
      <c r="AM57" s="286"/>
      <c r="AN57" s="286"/>
    </row>
    <row r="58" spans="1:40" x14ac:dyDescent="0.25">
      <c r="A58" s="300"/>
      <c r="B58" s="349" t="s">
        <v>1060</v>
      </c>
      <c r="C58" s="128">
        <f>'Unit costs'!K26</f>
        <v>2.8</v>
      </c>
      <c r="D58" s="128">
        <f>'Financial impact (cash)'!D16*$C58</f>
        <v>2666.8275056640005</v>
      </c>
      <c r="E58" s="128">
        <f>'Financial impact (cash)'!E16*$C58</f>
        <v>1923.2432450093727</v>
      </c>
      <c r="F58" s="128">
        <f>'Financial impact (cash)'!F16*$C58</f>
        <v>485.44669652101379</v>
      </c>
      <c r="G58" s="128">
        <f>'Financial impact (cash)'!G16*$C58</f>
        <v>490.12728010286975</v>
      </c>
      <c r="H58" s="128">
        <f>'Financial impact (cash)'!H16*$C58</f>
        <v>494.85299297044077</v>
      </c>
      <c r="I58" s="128">
        <f>'Financial impact (cash)'!I16*$C58</f>
        <v>499.62427025161065</v>
      </c>
      <c r="J58" s="429"/>
      <c r="K58" s="216"/>
      <c r="L58" s="216"/>
      <c r="M58" s="216"/>
      <c r="N58" s="216"/>
      <c r="O58" s="216"/>
      <c r="P58" s="216"/>
      <c r="Q58" s="216"/>
      <c r="R58" s="133"/>
      <c r="V58" s="133"/>
      <c r="AJ58" s="286"/>
      <c r="AK58" s="286"/>
      <c r="AL58" s="286"/>
      <c r="AM58" s="286"/>
      <c r="AN58" s="286"/>
    </row>
    <row r="59" spans="1:40" x14ac:dyDescent="0.25">
      <c r="A59" s="300"/>
      <c r="B59" s="322"/>
      <c r="C59" s="322"/>
      <c r="D59" s="186">
        <f t="shared" ref="D59:I59" si="25">SUM(D55:D58)</f>
        <v>5320.0487485440008</v>
      </c>
      <c r="E59" s="186">
        <f t="shared" si="25"/>
        <v>10646.525106301884</v>
      </c>
      <c r="F59" s="186">
        <f t="shared" si="25"/>
        <v>20042.013613510422</v>
      </c>
      <c r="G59" s="186">
        <f t="shared" si="25"/>
        <v>20235.254849961333</v>
      </c>
      <c r="H59" s="186">
        <f t="shared" si="25"/>
        <v>20430.359281208199</v>
      </c>
      <c r="I59" s="186">
        <f t="shared" si="25"/>
        <v>20627.344871816498</v>
      </c>
      <c r="J59" s="295"/>
      <c r="K59" s="295"/>
      <c r="L59" s="295"/>
      <c r="M59" s="295"/>
      <c r="N59" s="295"/>
      <c r="O59" s="295"/>
      <c r="P59" s="295"/>
      <c r="Q59" s="295"/>
      <c r="R59" s="133"/>
      <c r="V59" s="133"/>
      <c r="AJ59" s="286"/>
      <c r="AK59" s="286"/>
      <c r="AL59" s="286"/>
      <c r="AM59" s="286"/>
      <c r="AN59" s="286"/>
    </row>
    <row r="60" spans="1:40" x14ac:dyDescent="0.25">
      <c r="A60" s="300"/>
      <c r="B60" s="258"/>
      <c r="C60" s="258"/>
      <c r="D60" s="285" t="s">
        <v>743</v>
      </c>
      <c r="E60" s="186">
        <f>E59-$D$59</f>
        <v>5326.4763577578833</v>
      </c>
      <c r="F60" s="186">
        <f>F59-$D$59</f>
        <v>14721.964864966421</v>
      </c>
      <c r="G60" s="186">
        <f>G59-$D$59</f>
        <v>14915.206101417332</v>
      </c>
      <c r="H60" s="186">
        <f>H59-$D$59</f>
        <v>15110.310532664198</v>
      </c>
      <c r="I60" s="186">
        <f>I59-$D$59</f>
        <v>15307.296123272497</v>
      </c>
      <c r="J60" s="295"/>
      <c r="K60" s="295"/>
      <c r="L60" s="295"/>
      <c r="M60" s="295"/>
      <c r="N60" s="295"/>
      <c r="O60" s="295"/>
      <c r="P60" s="295"/>
      <c r="Q60" s="295"/>
      <c r="R60" s="133"/>
      <c r="S60" s="133"/>
      <c r="T60" s="133"/>
      <c r="U60" s="133"/>
      <c r="V60" s="133"/>
      <c r="W60" s="133"/>
      <c r="X60" s="133"/>
      <c r="Y60" s="133"/>
      <c r="Z60" s="133"/>
      <c r="AJ60" s="286"/>
      <c r="AK60" s="286"/>
      <c r="AL60" s="286"/>
      <c r="AM60" s="286"/>
      <c r="AN60" s="286"/>
    </row>
    <row r="61" spans="1:40" x14ac:dyDescent="0.25">
      <c r="A61" s="295"/>
      <c r="B61" s="321"/>
      <c r="C61" s="298"/>
      <c r="D61" s="298"/>
      <c r="E61" s="299"/>
      <c r="F61" s="295"/>
      <c r="G61" s="295"/>
      <c r="H61" s="216"/>
      <c r="I61" s="216"/>
      <c r="J61" s="216"/>
      <c r="K61" s="216"/>
      <c r="L61" s="216"/>
      <c r="M61" s="216"/>
      <c r="N61" s="216"/>
      <c r="O61" s="216"/>
      <c r="P61" s="216"/>
      <c r="Q61" s="216"/>
      <c r="R61" s="133"/>
      <c r="S61" s="133"/>
      <c r="T61" s="133"/>
      <c r="U61" s="133"/>
      <c r="V61" s="133"/>
      <c r="W61" s="133"/>
      <c r="X61" s="133"/>
      <c r="Y61" s="133"/>
      <c r="Z61" s="133"/>
      <c r="AJ61" s="286"/>
      <c r="AK61" s="286"/>
      <c r="AL61" s="286"/>
      <c r="AM61" s="286"/>
      <c r="AN61" s="286"/>
    </row>
    <row r="62" spans="1:40" x14ac:dyDescent="0.25">
      <c r="A62" s="287"/>
      <c r="B62" s="323" t="s">
        <v>744</v>
      </c>
      <c r="C62" s="301"/>
      <c r="D62" s="301"/>
      <c r="E62" s="302"/>
      <c r="F62" s="303"/>
      <c r="G62" s="304"/>
      <c r="H62" s="304"/>
      <c r="I62" s="304"/>
      <c r="J62" s="434"/>
      <c r="K62" s="287"/>
      <c r="L62" s="287"/>
      <c r="M62" s="287"/>
      <c r="N62" s="287"/>
      <c r="O62" s="287"/>
      <c r="P62" s="287"/>
      <c r="Q62" s="218"/>
      <c r="R62" s="133"/>
      <c r="V62" s="133"/>
    </row>
    <row r="63" spans="1:40" x14ac:dyDescent="0.25">
      <c r="A63" s="287"/>
      <c r="B63" s="389" t="s">
        <v>745</v>
      </c>
      <c r="C63" s="390"/>
      <c r="D63" s="390"/>
      <c r="E63" s="390"/>
      <c r="F63" s="390"/>
      <c r="G63" s="390"/>
      <c r="H63" s="390"/>
      <c r="I63" s="217"/>
      <c r="J63" s="431"/>
      <c r="K63" s="218"/>
      <c r="L63" s="287"/>
      <c r="M63" s="287"/>
      <c r="N63" s="287"/>
      <c r="O63" s="287"/>
      <c r="P63" s="287"/>
      <c r="Q63" s="218"/>
      <c r="R63" s="133"/>
      <c r="V63" s="133"/>
    </row>
    <row r="64" spans="1:40" ht="60" x14ac:dyDescent="0.25">
      <c r="A64" s="287"/>
      <c r="B64" s="282" t="s">
        <v>124</v>
      </c>
      <c r="C64" s="165" t="s">
        <v>746</v>
      </c>
      <c r="D64" s="423" t="s">
        <v>730</v>
      </c>
      <c r="E64" s="257" t="s">
        <v>50</v>
      </c>
      <c r="F64" s="257" t="s">
        <v>51</v>
      </c>
      <c r="G64" s="164" t="s">
        <v>731</v>
      </c>
      <c r="H64" s="164" t="s">
        <v>732</v>
      </c>
      <c r="I64" s="257" t="s">
        <v>733</v>
      </c>
      <c r="J64" s="287"/>
      <c r="K64" s="287"/>
      <c r="L64" s="287"/>
      <c r="M64" s="287"/>
      <c r="N64" s="287"/>
      <c r="O64" s="287"/>
      <c r="P64" s="287"/>
      <c r="Q64" s="218"/>
      <c r="R64" s="133"/>
      <c r="V64" s="133"/>
    </row>
    <row r="65" spans="1:40" x14ac:dyDescent="0.25">
      <c r="A65" s="287"/>
      <c r="B65" s="350" t="s">
        <v>1052</v>
      </c>
      <c r="C65" s="149">
        <f>'Inputs and eligible population'!F87</f>
        <v>39</v>
      </c>
      <c r="D65" s="128">
        <f>((D55+D56)*$C$65)/60</f>
        <v>0</v>
      </c>
      <c r="E65" s="128">
        <f>((E55+E56)*$C$65)/60</f>
        <v>4464.6718187717588</v>
      </c>
      <c r="F65" s="128">
        <f t="shared" ref="F65:G65" si="26">((F55+F56)*$C$65)/60</f>
        <v>12396.228143304459</v>
      </c>
      <c r="G65" s="128">
        <f t="shared" si="26"/>
        <v>12515.750188341137</v>
      </c>
      <c r="H65" s="128">
        <f>((H55+H56)*$C$65)/60</f>
        <v>12636.424641923753</v>
      </c>
      <c r="I65" s="128">
        <f>((I55+I56)*$C$65)/60</f>
        <v>12758.262615353631</v>
      </c>
      <c r="J65" s="287"/>
      <c r="K65" s="287"/>
      <c r="L65" s="287"/>
      <c r="M65" s="287"/>
      <c r="N65" s="287"/>
      <c r="O65" s="287"/>
      <c r="P65" s="287"/>
      <c r="Q65" s="218"/>
      <c r="R65" s="133"/>
      <c r="S65" s="133"/>
      <c r="T65" s="133"/>
      <c r="U65" s="133"/>
      <c r="V65" s="133"/>
      <c r="W65" s="133"/>
      <c r="X65" s="133"/>
      <c r="Y65" s="133"/>
      <c r="Z65" s="133"/>
      <c r="AJ65" s="286"/>
      <c r="AK65" s="286"/>
      <c r="AL65" s="286"/>
      <c r="AM65" s="286"/>
      <c r="AN65" s="286"/>
    </row>
    <row r="66" spans="1:40" x14ac:dyDescent="0.25">
      <c r="A66" s="287"/>
      <c r="B66" s="350" t="s">
        <v>1053</v>
      </c>
      <c r="C66" s="149">
        <f>'Inputs and eligible population'!G87</f>
        <v>0</v>
      </c>
      <c r="D66" s="128">
        <f>(D57*$C$66)/60</f>
        <v>0</v>
      </c>
      <c r="E66" s="128">
        <f t="shared" ref="E66:I66" si="27">(E57*$C$66)/60</f>
        <v>0</v>
      </c>
      <c r="F66" s="128">
        <f t="shared" si="27"/>
        <v>0</v>
      </c>
      <c r="G66" s="128">
        <f t="shared" si="27"/>
        <v>0</v>
      </c>
      <c r="H66" s="128">
        <f t="shared" si="27"/>
        <v>0</v>
      </c>
      <c r="I66" s="128">
        <f t="shared" si="27"/>
        <v>0</v>
      </c>
      <c r="J66" s="287"/>
      <c r="K66" s="287"/>
      <c r="L66" s="287"/>
      <c r="M66" s="287"/>
      <c r="N66" s="287"/>
      <c r="O66" s="287"/>
      <c r="P66" s="287"/>
      <c r="Q66" s="218"/>
      <c r="R66" s="133"/>
      <c r="S66" s="133"/>
      <c r="T66" s="133"/>
      <c r="U66" s="133"/>
      <c r="V66" s="133"/>
      <c r="W66" s="133"/>
      <c r="X66" s="133"/>
      <c r="Y66" s="133"/>
      <c r="Z66" s="133"/>
      <c r="AJ66" s="286"/>
      <c r="AK66" s="286"/>
      <c r="AL66" s="286"/>
      <c r="AM66" s="286"/>
      <c r="AN66" s="286"/>
    </row>
    <row r="67" spans="1:40" x14ac:dyDescent="0.25">
      <c r="A67" s="287"/>
      <c r="B67" s="350" t="s">
        <v>1054</v>
      </c>
      <c r="C67" s="149">
        <f>'Inputs and eligible population'!H87</f>
        <v>0</v>
      </c>
      <c r="D67" s="128">
        <f>(D58*$C$67)/60</f>
        <v>0</v>
      </c>
      <c r="E67" s="128">
        <f t="shared" ref="E67:I67" si="28">(E58*$C$67)/60</f>
        <v>0</v>
      </c>
      <c r="F67" s="128">
        <f t="shared" si="28"/>
        <v>0</v>
      </c>
      <c r="G67" s="128">
        <f t="shared" si="28"/>
        <v>0</v>
      </c>
      <c r="H67" s="128">
        <f t="shared" si="28"/>
        <v>0</v>
      </c>
      <c r="I67" s="128">
        <f t="shared" si="28"/>
        <v>0</v>
      </c>
      <c r="J67" s="287"/>
      <c r="K67" s="287"/>
      <c r="L67" s="287"/>
      <c r="M67" s="287"/>
      <c r="N67" s="287"/>
      <c r="O67" s="287"/>
      <c r="P67" s="287"/>
      <c r="Q67" s="218"/>
      <c r="R67" s="133"/>
      <c r="S67" s="133"/>
      <c r="T67" s="133"/>
      <c r="U67" s="133"/>
      <c r="V67" s="133"/>
      <c r="W67" s="133"/>
      <c r="X67" s="133"/>
      <c r="Y67" s="133"/>
      <c r="Z67" s="133"/>
      <c r="AJ67" s="286"/>
      <c r="AK67" s="286"/>
      <c r="AL67" s="286"/>
      <c r="AM67" s="286"/>
      <c r="AN67" s="286"/>
    </row>
    <row r="68" spans="1:40" x14ac:dyDescent="0.25">
      <c r="A68" s="287"/>
      <c r="B68" s="283" t="s">
        <v>747</v>
      </c>
      <c r="C68" s="322"/>
      <c r="D68" s="186">
        <f t="shared" ref="D68:I68" si="29">SUM(D65:D67)</f>
        <v>0</v>
      </c>
      <c r="E68" s="186">
        <f t="shared" si="29"/>
        <v>4464.6718187717588</v>
      </c>
      <c r="F68" s="186">
        <f t="shared" si="29"/>
        <v>12396.228143304459</v>
      </c>
      <c r="G68" s="186">
        <f t="shared" si="29"/>
        <v>12515.750188341137</v>
      </c>
      <c r="H68" s="186">
        <f t="shared" si="29"/>
        <v>12636.424641923753</v>
      </c>
      <c r="I68" s="186">
        <f t="shared" si="29"/>
        <v>12758.262615353631</v>
      </c>
      <c r="J68" s="287"/>
      <c r="K68" s="287"/>
      <c r="L68" s="287"/>
      <c r="M68" s="287"/>
      <c r="N68" s="287"/>
      <c r="O68" s="287"/>
      <c r="P68" s="287"/>
      <c r="Q68" s="218"/>
      <c r="R68" s="133"/>
      <c r="S68" s="133"/>
      <c r="T68" s="133"/>
      <c r="U68" s="133"/>
      <c r="V68" s="133"/>
      <c r="W68" s="133"/>
      <c r="X68" s="133"/>
      <c r="Y68" s="133"/>
      <c r="Z68" s="133"/>
      <c r="AJ68" s="286"/>
      <c r="AK68" s="286"/>
      <c r="AL68" s="286"/>
      <c r="AM68" s="286"/>
      <c r="AN68" s="286"/>
    </row>
    <row r="69" spans="1:40" x14ac:dyDescent="0.25">
      <c r="A69" s="287"/>
      <c r="B69" s="305"/>
      <c r="C69" s="258"/>
      <c r="D69" s="285" t="s">
        <v>748</v>
      </c>
      <c r="E69" s="186">
        <f>E68-$D$68</f>
        <v>4464.6718187717588</v>
      </c>
      <c r="F69" s="186">
        <f>F68-$D$68</f>
        <v>12396.228143304459</v>
      </c>
      <c r="G69" s="186">
        <f>G68-$D$68</f>
        <v>12515.750188341137</v>
      </c>
      <c r="H69" s="186">
        <f>H68-$D$68</f>
        <v>12636.424641923753</v>
      </c>
      <c r="I69" s="186">
        <f>I68-$D$68</f>
        <v>12758.262615353631</v>
      </c>
      <c r="J69" s="287"/>
      <c r="K69" s="287"/>
      <c r="L69" s="287"/>
      <c r="M69" s="287"/>
      <c r="N69" s="287"/>
      <c r="O69" s="287"/>
      <c r="P69" s="287"/>
      <c r="Q69" s="218"/>
      <c r="R69" s="133"/>
      <c r="S69" s="133"/>
      <c r="T69" s="133"/>
      <c r="U69" s="133"/>
      <c r="V69" s="133"/>
      <c r="W69" s="133"/>
      <c r="X69" s="133"/>
      <c r="Y69" s="133"/>
      <c r="Z69" s="133"/>
      <c r="AJ69" s="286"/>
      <c r="AK69" s="286"/>
      <c r="AL69" s="286"/>
      <c r="AM69" s="286"/>
      <c r="AN69" s="286"/>
    </row>
    <row r="70" spans="1:40" x14ac:dyDescent="0.25">
      <c r="A70" s="287"/>
      <c r="B70" s="324"/>
      <c r="C70" s="218"/>
      <c r="D70" s="218"/>
      <c r="E70" s="218"/>
      <c r="F70" s="218"/>
      <c r="G70" s="218"/>
      <c r="H70" s="218"/>
      <c r="I70" s="218"/>
      <c r="J70" s="218"/>
      <c r="K70" s="218"/>
      <c r="L70" s="287"/>
      <c r="M70" s="287"/>
      <c r="N70" s="287"/>
      <c r="O70" s="287"/>
      <c r="P70" s="287"/>
      <c r="Q70" s="218"/>
      <c r="R70" s="133"/>
      <c r="S70" s="133"/>
      <c r="T70" s="133"/>
      <c r="U70" s="133"/>
      <c r="V70" s="133"/>
      <c r="W70" s="133"/>
      <c r="X70" s="133"/>
      <c r="Y70" s="133"/>
      <c r="Z70" s="133"/>
      <c r="AJ70" s="286"/>
      <c r="AK70" s="286"/>
      <c r="AL70" s="286"/>
      <c r="AM70" s="286"/>
      <c r="AN70" s="286"/>
    </row>
    <row r="71" spans="1:40" x14ac:dyDescent="0.25">
      <c r="A71" s="287"/>
      <c r="B71" s="391" t="s">
        <v>749</v>
      </c>
      <c r="C71" s="390"/>
      <c r="D71" s="390"/>
      <c r="E71" s="390"/>
      <c r="F71" s="390"/>
      <c r="G71" s="390"/>
      <c r="H71" s="390"/>
      <c r="I71" s="217"/>
      <c r="J71" s="431"/>
      <c r="K71" s="218"/>
      <c r="L71" s="287"/>
      <c r="M71" s="287"/>
      <c r="N71" s="287"/>
      <c r="O71" s="287"/>
      <c r="P71" s="287"/>
      <c r="Q71" s="218"/>
      <c r="R71" s="133"/>
      <c r="S71" s="133"/>
      <c r="T71" s="133"/>
      <c r="U71" s="133"/>
      <c r="V71" s="133"/>
      <c r="W71" s="133"/>
      <c r="X71" s="133"/>
      <c r="Y71" s="133"/>
      <c r="Z71" s="133"/>
      <c r="AJ71" s="286"/>
      <c r="AK71" s="286"/>
      <c r="AL71" s="286"/>
      <c r="AM71" s="286"/>
      <c r="AN71" s="286"/>
    </row>
    <row r="72" spans="1:40" ht="75" x14ac:dyDescent="0.25">
      <c r="A72" s="287"/>
      <c r="B72" s="282" t="s">
        <v>124</v>
      </c>
      <c r="C72" s="165" t="s">
        <v>88</v>
      </c>
      <c r="D72" s="423" t="s">
        <v>730</v>
      </c>
      <c r="E72" s="257" t="s">
        <v>50</v>
      </c>
      <c r="F72" s="257" t="s">
        <v>51</v>
      </c>
      <c r="G72" s="164" t="s">
        <v>731</v>
      </c>
      <c r="H72" s="164" t="s">
        <v>732</v>
      </c>
      <c r="I72" s="257" t="s">
        <v>733</v>
      </c>
      <c r="J72" s="287"/>
      <c r="K72" s="287"/>
      <c r="L72" s="287"/>
      <c r="M72" s="287"/>
      <c r="N72" s="287"/>
      <c r="O72" s="287"/>
      <c r="P72" s="287"/>
      <c r="Q72" s="218"/>
      <c r="R72" s="133"/>
      <c r="S72" s="133"/>
      <c r="T72" s="133"/>
      <c r="U72" s="133"/>
      <c r="V72" s="133"/>
      <c r="W72" s="133"/>
      <c r="X72" s="133"/>
      <c r="Y72" s="133"/>
      <c r="Z72" s="133"/>
      <c r="AJ72" s="286"/>
      <c r="AK72" s="286"/>
      <c r="AL72" s="286"/>
      <c r="AM72" s="286"/>
      <c r="AN72" s="286"/>
    </row>
    <row r="73" spans="1:40" x14ac:dyDescent="0.25">
      <c r="A73" s="287"/>
      <c r="B73" s="350" t="s">
        <v>1052</v>
      </c>
      <c r="C73" s="149">
        <f>'Inputs and eligible population'!F88</f>
        <v>30</v>
      </c>
      <c r="D73" s="128">
        <f>((D55+D56)*$C$73)/60</f>
        <v>0</v>
      </c>
      <c r="E73" s="128">
        <f t="shared" ref="E73:I73" si="30">((E55+E56)*$C$73)/60</f>
        <v>3434.362937516737</v>
      </c>
      <c r="F73" s="128">
        <f t="shared" si="30"/>
        <v>9535.5601102341989</v>
      </c>
      <c r="G73" s="128">
        <f t="shared" si="30"/>
        <v>9627.5001448777984</v>
      </c>
      <c r="H73" s="128">
        <f t="shared" si="30"/>
        <v>9720.3266476336576</v>
      </c>
      <c r="I73" s="128">
        <f t="shared" si="30"/>
        <v>9814.048165656639</v>
      </c>
      <c r="J73" s="287"/>
      <c r="K73" s="287"/>
      <c r="L73" s="287"/>
      <c r="M73" s="287"/>
      <c r="N73" s="287"/>
      <c r="O73" s="287"/>
      <c r="P73" s="287"/>
      <c r="Q73" s="218"/>
      <c r="R73" s="133"/>
      <c r="S73" s="133"/>
      <c r="T73" s="133"/>
      <c r="U73" s="133"/>
      <c r="V73" s="133"/>
      <c r="W73" s="133"/>
      <c r="X73" s="133"/>
      <c r="Y73" s="133"/>
      <c r="Z73" s="133"/>
      <c r="AJ73" s="286"/>
      <c r="AK73" s="286"/>
      <c r="AL73" s="286"/>
      <c r="AM73" s="286"/>
      <c r="AN73" s="286"/>
    </row>
    <row r="74" spans="1:40" x14ac:dyDescent="0.25">
      <c r="A74" s="287"/>
      <c r="B74" s="350" t="s">
        <v>1053</v>
      </c>
      <c r="C74" s="149">
        <f>'Inputs and eligible population'!G88</f>
        <v>0</v>
      </c>
      <c r="D74" s="128">
        <f>(D57*$C$74)/60</f>
        <v>0</v>
      </c>
      <c r="E74" s="128">
        <f t="shared" ref="E74:I74" si="31">(E57*$C$74)/60</f>
        <v>0</v>
      </c>
      <c r="F74" s="128">
        <f t="shared" si="31"/>
        <v>0</v>
      </c>
      <c r="G74" s="128">
        <f t="shared" si="31"/>
        <v>0</v>
      </c>
      <c r="H74" s="128">
        <f t="shared" si="31"/>
        <v>0</v>
      </c>
      <c r="I74" s="128">
        <f t="shared" si="31"/>
        <v>0</v>
      </c>
      <c r="J74" s="287"/>
      <c r="K74" s="287"/>
      <c r="L74" s="287"/>
      <c r="M74" s="287"/>
      <c r="N74" s="287"/>
      <c r="O74" s="287"/>
      <c r="P74" s="287"/>
      <c r="Q74" s="218"/>
      <c r="R74" s="133"/>
      <c r="S74" s="133"/>
      <c r="T74" s="133"/>
      <c r="U74" s="133"/>
      <c r="V74" s="133"/>
      <c r="W74" s="133"/>
      <c r="X74" s="133"/>
      <c r="Y74" s="133"/>
      <c r="Z74" s="133"/>
      <c r="AJ74" s="286"/>
      <c r="AK74" s="286"/>
      <c r="AL74" s="286"/>
      <c r="AM74" s="286"/>
      <c r="AN74" s="286"/>
    </row>
    <row r="75" spans="1:40" x14ac:dyDescent="0.25">
      <c r="A75" s="287"/>
      <c r="B75" s="350" t="s">
        <v>1054</v>
      </c>
      <c r="C75" s="149">
        <f>'Inputs and eligible population'!H88</f>
        <v>0</v>
      </c>
      <c r="D75" s="128">
        <f>(D58*$C$75)/60</f>
        <v>0</v>
      </c>
      <c r="E75" s="128">
        <f t="shared" ref="E75:I75" si="32">(E58*$C$75)/60</f>
        <v>0</v>
      </c>
      <c r="F75" s="128">
        <f t="shared" si="32"/>
        <v>0</v>
      </c>
      <c r="G75" s="128">
        <f t="shared" si="32"/>
        <v>0</v>
      </c>
      <c r="H75" s="128">
        <f t="shared" si="32"/>
        <v>0</v>
      </c>
      <c r="I75" s="128">
        <f t="shared" si="32"/>
        <v>0</v>
      </c>
      <c r="J75" s="287"/>
      <c r="K75" s="287"/>
      <c r="L75" s="287"/>
      <c r="M75" s="287"/>
      <c r="N75" s="287"/>
      <c r="O75" s="287"/>
      <c r="P75" s="287"/>
      <c r="Q75" s="218"/>
      <c r="R75" s="133"/>
      <c r="S75" s="133"/>
      <c r="T75" s="133"/>
      <c r="U75" s="133"/>
      <c r="V75" s="133"/>
      <c r="W75" s="133"/>
      <c r="X75" s="133"/>
      <c r="Y75" s="133"/>
      <c r="Z75" s="133"/>
      <c r="AJ75" s="286"/>
      <c r="AK75" s="286"/>
      <c r="AL75" s="286"/>
      <c r="AM75" s="286"/>
      <c r="AN75" s="286"/>
    </row>
    <row r="76" spans="1:40" x14ac:dyDescent="0.25">
      <c r="A76" s="287"/>
      <c r="B76" s="283"/>
      <c r="C76" s="283"/>
      <c r="D76" s="186">
        <f t="shared" ref="D76:I76" si="33">SUM(D73:D75)</f>
        <v>0</v>
      </c>
      <c r="E76" s="186">
        <f t="shared" si="33"/>
        <v>3434.362937516737</v>
      </c>
      <c r="F76" s="186">
        <f t="shared" si="33"/>
        <v>9535.5601102341989</v>
      </c>
      <c r="G76" s="186">
        <f t="shared" si="33"/>
        <v>9627.5001448777984</v>
      </c>
      <c r="H76" s="186">
        <f t="shared" si="33"/>
        <v>9720.3266476336576</v>
      </c>
      <c r="I76" s="186">
        <f t="shared" si="33"/>
        <v>9814.048165656639</v>
      </c>
      <c r="J76" s="287"/>
      <c r="K76" s="287"/>
      <c r="L76" s="287"/>
      <c r="M76" s="287"/>
      <c r="N76" s="287"/>
      <c r="O76" s="287"/>
      <c r="P76" s="287"/>
      <c r="Q76" s="218"/>
      <c r="S76" s="133"/>
      <c r="T76" s="133"/>
      <c r="U76" s="133"/>
      <c r="V76" s="133"/>
      <c r="W76" s="133"/>
      <c r="X76" s="133"/>
      <c r="Y76" s="133"/>
      <c r="Z76" s="133"/>
      <c r="AJ76" s="286"/>
      <c r="AK76" s="286"/>
      <c r="AL76" s="286"/>
      <c r="AM76" s="286"/>
      <c r="AN76" s="286"/>
    </row>
    <row r="77" spans="1:40" x14ac:dyDescent="0.25">
      <c r="A77" s="287"/>
      <c r="B77" s="283"/>
      <c r="C77" s="283"/>
      <c r="D77" s="285" t="s">
        <v>750</v>
      </c>
      <c r="E77" s="186">
        <f>E76-$D$76</f>
        <v>3434.362937516737</v>
      </c>
      <c r="F77" s="186">
        <f>F76-$D$76</f>
        <v>9535.5601102341989</v>
      </c>
      <c r="G77" s="186">
        <f>G76-$D$76</f>
        <v>9627.5001448777984</v>
      </c>
      <c r="H77" s="186">
        <f>H76-$D$76</f>
        <v>9720.3266476336576</v>
      </c>
      <c r="I77" s="186">
        <f>I76-$D$76</f>
        <v>9814.048165656639</v>
      </c>
      <c r="J77" s="287"/>
      <c r="K77" s="287"/>
      <c r="L77" s="287"/>
      <c r="M77" s="287"/>
      <c r="N77" s="287"/>
      <c r="O77" s="287"/>
      <c r="P77" s="287"/>
      <c r="Q77" s="218"/>
      <c r="S77" s="133"/>
      <c r="T77" s="133"/>
      <c r="U77" s="133"/>
      <c r="V77" s="133"/>
      <c r="W77" s="133"/>
      <c r="X77" s="133"/>
      <c r="Y77" s="133"/>
      <c r="Z77" s="133"/>
      <c r="AJ77" s="286"/>
      <c r="AK77" s="286"/>
      <c r="AL77" s="286"/>
      <c r="AM77" s="286"/>
      <c r="AN77" s="286"/>
    </row>
    <row r="78" spans="1:40" x14ac:dyDescent="0.25">
      <c r="A78" s="287"/>
      <c r="B78" s="324"/>
      <c r="C78" s="218"/>
      <c r="D78" s="218"/>
      <c r="E78" s="218"/>
      <c r="F78" s="218"/>
      <c r="G78" s="218"/>
      <c r="H78" s="218"/>
      <c r="I78" s="218"/>
      <c r="J78" s="218"/>
      <c r="K78" s="218"/>
      <c r="L78" s="287"/>
      <c r="M78" s="287"/>
      <c r="N78" s="287"/>
      <c r="O78" s="287"/>
      <c r="P78" s="287"/>
      <c r="Q78" s="218"/>
      <c r="S78" s="133"/>
      <c r="T78" s="133"/>
      <c r="U78" s="133"/>
      <c r="V78" s="133"/>
      <c r="W78" s="133"/>
      <c r="X78" s="133"/>
      <c r="Y78" s="133"/>
      <c r="Z78" s="133"/>
      <c r="AJ78" s="286"/>
      <c r="AK78" s="286"/>
      <c r="AL78" s="286"/>
      <c r="AM78" s="286"/>
      <c r="AN78" s="286"/>
    </row>
    <row r="79" spans="1:40" x14ac:dyDescent="0.25">
      <c r="A79" s="287"/>
      <c r="B79" s="391" t="s">
        <v>169</v>
      </c>
      <c r="C79" s="390"/>
      <c r="D79" s="390"/>
      <c r="E79" s="390"/>
      <c r="F79" s="390"/>
      <c r="G79" s="390"/>
      <c r="H79" s="390"/>
      <c r="I79" s="217"/>
      <c r="J79" s="431"/>
      <c r="K79" s="218"/>
      <c r="L79" s="287"/>
      <c r="M79" s="287"/>
      <c r="N79" s="287"/>
      <c r="O79" s="287"/>
      <c r="P79" s="287"/>
      <c r="Q79" s="218"/>
      <c r="V79" s="133"/>
      <c r="AJ79" s="286"/>
      <c r="AK79" s="286"/>
      <c r="AL79" s="286"/>
      <c r="AM79" s="286"/>
      <c r="AN79" s="286"/>
    </row>
    <row r="80" spans="1:40" ht="60" x14ac:dyDescent="0.25">
      <c r="A80" s="287"/>
      <c r="B80" s="282" t="s">
        <v>124</v>
      </c>
      <c r="C80" s="165" t="s">
        <v>89</v>
      </c>
      <c r="D80" s="423" t="s">
        <v>730</v>
      </c>
      <c r="E80" s="257" t="s">
        <v>50</v>
      </c>
      <c r="F80" s="257" t="s">
        <v>51</v>
      </c>
      <c r="G80" s="164" t="s">
        <v>731</v>
      </c>
      <c r="H80" s="164" t="s">
        <v>732</v>
      </c>
      <c r="I80" s="257" t="s">
        <v>733</v>
      </c>
      <c r="J80" s="287"/>
      <c r="K80" s="287"/>
      <c r="L80" s="287"/>
      <c r="M80" s="287"/>
      <c r="N80" s="287"/>
      <c r="O80" s="287"/>
      <c r="P80" s="287"/>
      <c r="Q80" s="218"/>
      <c r="V80" s="133"/>
      <c r="AJ80" s="286"/>
      <c r="AK80" s="286"/>
      <c r="AL80" s="286"/>
      <c r="AM80" s="286"/>
      <c r="AN80" s="286"/>
    </row>
    <row r="81" spans="1:40" x14ac:dyDescent="0.25">
      <c r="A81" s="287"/>
      <c r="B81" s="350" t="s">
        <v>1052</v>
      </c>
      <c r="C81" s="149">
        <f>'Inputs and eligible population'!F89</f>
        <v>30</v>
      </c>
      <c r="D81" s="128">
        <f>((D55+D56)*$C$81)/60</f>
        <v>0</v>
      </c>
      <c r="E81" s="128">
        <f t="shared" ref="E81:I81" si="34">((E55+E56)*$C$81)/60</f>
        <v>3434.362937516737</v>
      </c>
      <c r="F81" s="128">
        <f t="shared" si="34"/>
        <v>9535.5601102341989</v>
      </c>
      <c r="G81" s="128">
        <f t="shared" si="34"/>
        <v>9627.5001448777984</v>
      </c>
      <c r="H81" s="128">
        <f t="shared" si="34"/>
        <v>9720.3266476336576</v>
      </c>
      <c r="I81" s="128">
        <f t="shared" si="34"/>
        <v>9814.048165656639</v>
      </c>
      <c r="J81" s="287"/>
      <c r="K81" s="287"/>
      <c r="L81" s="287"/>
      <c r="M81" s="287"/>
      <c r="N81" s="287"/>
      <c r="O81" s="287"/>
      <c r="P81" s="287"/>
      <c r="Q81" s="218"/>
      <c r="V81" s="133"/>
      <c r="AJ81" s="286"/>
      <c r="AK81" s="286"/>
      <c r="AL81" s="286"/>
      <c r="AM81" s="286"/>
      <c r="AN81" s="286"/>
    </row>
    <row r="82" spans="1:40" x14ac:dyDescent="0.25">
      <c r="A82" s="287"/>
      <c r="B82" s="350" t="s">
        <v>1053</v>
      </c>
      <c r="C82" s="149">
        <f>'Inputs and eligible population'!G89</f>
        <v>0</v>
      </c>
      <c r="D82" s="128">
        <f>(D57*$C$82)/60</f>
        <v>0</v>
      </c>
      <c r="E82" s="128">
        <f t="shared" ref="E82:I82" si="35">(E57*$C$82)/60</f>
        <v>0</v>
      </c>
      <c r="F82" s="128">
        <f t="shared" si="35"/>
        <v>0</v>
      </c>
      <c r="G82" s="128">
        <f t="shared" si="35"/>
        <v>0</v>
      </c>
      <c r="H82" s="128">
        <f t="shared" si="35"/>
        <v>0</v>
      </c>
      <c r="I82" s="128">
        <f t="shared" si="35"/>
        <v>0</v>
      </c>
      <c r="J82" s="287"/>
      <c r="K82" s="287"/>
      <c r="L82" s="287"/>
      <c r="M82" s="287"/>
      <c r="N82" s="287"/>
      <c r="O82" s="287"/>
      <c r="P82" s="287"/>
      <c r="Q82" s="218"/>
      <c r="V82" s="133"/>
      <c r="AJ82" s="286"/>
      <c r="AK82" s="286"/>
      <c r="AL82" s="286"/>
      <c r="AM82" s="286"/>
      <c r="AN82" s="286"/>
    </row>
    <row r="83" spans="1:40" x14ac:dyDescent="0.25">
      <c r="A83" s="287"/>
      <c r="B83" s="350" t="s">
        <v>1054</v>
      </c>
      <c r="C83" s="149">
        <f>'Inputs and eligible population'!H89</f>
        <v>0</v>
      </c>
      <c r="D83" s="128">
        <f>(D58*$C$83)/60</f>
        <v>0</v>
      </c>
      <c r="E83" s="128">
        <f>(E58*$C$83)/60</f>
        <v>0</v>
      </c>
      <c r="F83" s="128">
        <f t="shared" ref="F83:H83" si="36">(F58*$C$83)/60</f>
        <v>0</v>
      </c>
      <c r="G83" s="128">
        <f t="shared" si="36"/>
        <v>0</v>
      </c>
      <c r="H83" s="128">
        <f t="shared" si="36"/>
        <v>0</v>
      </c>
      <c r="I83" s="128">
        <f>(I58*$C$83)/60</f>
        <v>0</v>
      </c>
      <c r="J83" s="287"/>
      <c r="K83" s="287"/>
      <c r="L83" s="287"/>
      <c r="M83" s="287"/>
      <c r="N83" s="287"/>
      <c r="O83" s="287"/>
      <c r="P83" s="287"/>
      <c r="Q83" s="218"/>
      <c r="V83" s="133"/>
      <c r="AJ83" s="286"/>
      <c r="AK83" s="286"/>
      <c r="AL83" s="286"/>
      <c r="AM83" s="286"/>
      <c r="AN83" s="286"/>
    </row>
    <row r="84" spans="1:40" x14ac:dyDescent="0.25">
      <c r="A84" s="287"/>
      <c r="B84" s="283"/>
      <c r="C84" s="283"/>
      <c r="D84" s="186">
        <f t="shared" ref="D84:I84" si="37">SUM(D81:D83)</f>
        <v>0</v>
      </c>
      <c r="E84" s="186">
        <f t="shared" si="37"/>
        <v>3434.362937516737</v>
      </c>
      <c r="F84" s="186">
        <f t="shared" si="37"/>
        <v>9535.5601102341989</v>
      </c>
      <c r="G84" s="186">
        <f t="shared" si="37"/>
        <v>9627.5001448777984</v>
      </c>
      <c r="H84" s="186">
        <f t="shared" si="37"/>
        <v>9720.3266476336576</v>
      </c>
      <c r="I84" s="186">
        <f t="shared" si="37"/>
        <v>9814.048165656639</v>
      </c>
      <c r="J84" s="287"/>
      <c r="K84" s="287"/>
      <c r="L84" s="287"/>
      <c r="M84" s="287"/>
      <c r="N84" s="287"/>
      <c r="O84" s="287"/>
      <c r="P84" s="287"/>
      <c r="Q84" s="218"/>
      <c r="R84" s="133"/>
      <c r="S84" s="133"/>
      <c r="T84" s="133"/>
      <c r="U84" s="133"/>
      <c r="V84" s="133"/>
      <c r="W84" s="133"/>
      <c r="X84" s="133"/>
      <c r="Y84" s="133"/>
      <c r="Z84" s="133"/>
      <c r="AJ84" s="286"/>
      <c r="AK84" s="286"/>
      <c r="AL84" s="286"/>
      <c r="AM84" s="286"/>
      <c r="AN84" s="286"/>
    </row>
    <row r="85" spans="1:40" x14ac:dyDescent="0.25">
      <c r="A85" s="287"/>
      <c r="B85" s="305"/>
      <c r="C85" s="283"/>
      <c r="D85" s="285" t="s">
        <v>751</v>
      </c>
      <c r="E85" s="186">
        <f>E84-$D$84</f>
        <v>3434.362937516737</v>
      </c>
      <c r="F85" s="186">
        <f>F84-$D$84</f>
        <v>9535.5601102341989</v>
      </c>
      <c r="G85" s="186">
        <f>G84-$D$84</f>
        <v>9627.5001448777984</v>
      </c>
      <c r="H85" s="186">
        <f>H84-$D$84</f>
        <v>9720.3266476336576</v>
      </c>
      <c r="I85" s="186">
        <f>I84-$D$84</f>
        <v>9814.048165656639</v>
      </c>
      <c r="J85" s="287"/>
      <c r="K85" s="287"/>
      <c r="L85" s="287"/>
      <c r="M85" s="287"/>
      <c r="N85" s="287"/>
      <c r="O85" s="287"/>
      <c r="P85" s="287"/>
      <c r="Q85" s="218"/>
      <c r="R85" s="133"/>
      <c r="S85" s="133"/>
      <c r="T85" s="133"/>
      <c r="U85" s="133"/>
      <c r="V85" s="133"/>
      <c r="W85" s="133"/>
      <c r="X85" s="133"/>
      <c r="Y85" s="133"/>
      <c r="Z85" s="133"/>
      <c r="AJ85" s="286"/>
      <c r="AK85" s="286"/>
      <c r="AL85" s="286"/>
      <c r="AM85" s="286"/>
      <c r="AN85" s="286"/>
    </row>
    <row r="86" spans="1:40" x14ac:dyDescent="0.25">
      <c r="A86" s="287"/>
      <c r="B86" s="324"/>
      <c r="C86" s="218"/>
      <c r="D86" s="218"/>
      <c r="E86" s="218"/>
      <c r="F86" s="218"/>
      <c r="G86" s="218"/>
      <c r="H86" s="218"/>
      <c r="I86" s="218"/>
      <c r="J86" s="287"/>
      <c r="K86" s="287"/>
      <c r="L86" s="287"/>
      <c r="M86" s="287"/>
      <c r="N86" s="287"/>
      <c r="O86" s="287"/>
      <c r="P86" s="287"/>
      <c r="Q86" s="218"/>
      <c r="R86" s="133"/>
      <c r="S86" s="133"/>
      <c r="T86" s="133"/>
      <c r="U86" s="133"/>
      <c r="V86" s="133"/>
      <c r="W86" s="133"/>
      <c r="X86" s="133"/>
      <c r="Y86" s="133"/>
      <c r="Z86" s="133"/>
      <c r="AJ86" s="286"/>
      <c r="AK86" s="286"/>
      <c r="AL86" s="286"/>
      <c r="AM86" s="286"/>
      <c r="AN86" s="286"/>
    </row>
    <row r="87" spans="1:40" x14ac:dyDescent="0.25">
      <c r="A87" s="289"/>
      <c r="B87" s="325" t="s">
        <v>752</v>
      </c>
      <c r="C87" s="308"/>
      <c r="D87" s="307"/>
      <c r="E87" s="769"/>
      <c r="F87" s="769"/>
      <c r="G87" s="769"/>
      <c r="H87" s="769"/>
      <c r="I87" s="769"/>
      <c r="J87" s="289"/>
      <c r="K87" s="289"/>
      <c r="L87" s="289"/>
      <c r="M87" s="289"/>
      <c r="N87" s="289"/>
      <c r="O87" s="289"/>
      <c r="P87" s="289"/>
      <c r="Q87" s="289"/>
      <c r="R87" s="133"/>
      <c r="S87" s="133"/>
      <c r="T87" s="133"/>
      <c r="U87" s="133"/>
      <c r="V87" s="133"/>
      <c r="W87" s="133"/>
      <c r="X87" s="133"/>
      <c r="Y87" s="133"/>
      <c r="Z87" s="133"/>
      <c r="AJ87" s="286"/>
      <c r="AK87" s="286"/>
      <c r="AL87" s="286"/>
      <c r="AM87" s="286"/>
      <c r="AN87" s="286"/>
    </row>
    <row r="88" spans="1:40" hidden="1" x14ac:dyDescent="0.25">
      <c r="A88" s="289"/>
      <c r="B88" s="392" t="s">
        <v>753</v>
      </c>
      <c r="C88" s="393"/>
      <c r="D88" s="393"/>
      <c r="E88" s="393"/>
      <c r="F88" s="393"/>
      <c r="G88" s="393"/>
      <c r="H88" s="393"/>
      <c r="I88" s="221"/>
      <c r="J88" s="289"/>
      <c r="K88" s="289"/>
      <c r="L88" s="289"/>
      <c r="M88" s="289"/>
      <c r="N88" s="289"/>
      <c r="O88" s="289"/>
      <c r="P88" s="289"/>
      <c r="Q88" s="289"/>
      <c r="R88" s="133"/>
      <c r="S88" s="133"/>
      <c r="T88" s="133"/>
      <c r="U88" s="133"/>
      <c r="V88" s="133"/>
      <c r="W88" s="133"/>
      <c r="X88" s="133"/>
      <c r="Y88" s="133"/>
      <c r="Z88" s="133"/>
      <c r="AJ88" s="286"/>
      <c r="AK88" s="286"/>
      <c r="AL88" s="286"/>
      <c r="AM88" s="286"/>
      <c r="AN88" s="286"/>
    </row>
    <row r="89" spans="1:40" ht="75" hidden="1" x14ac:dyDescent="0.25">
      <c r="A89" s="289"/>
      <c r="B89" s="279" t="s">
        <v>124</v>
      </c>
      <c r="C89" s="165" t="s">
        <v>754</v>
      </c>
      <c r="D89" s="423" t="s">
        <v>730</v>
      </c>
      <c r="E89" s="257" t="s">
        <v>50</v>
      </c>
      <c r="F89" s="257" t="s">
        <v>51</v>
      </c>
      <c r="G89" s="164" t="s">
        <v>731</v>
      </c>
      <c r="H89" s="164" t="s">
        <v>732</v>
      </c>
      <c r="I89" s="257" t="s">
        <v>733</v>
      </c>
      <c r="J89" s="289"/>
      <c r="K89" s="289"/>
      <c r="L89" s="289"/>
      <c r="M89" s="289"/>
      <c r="N89" s="289"/>
      <c r="O89" s="289"/>
      <c r="P89" s="289"/>
      <c r="Q89" s="289"/>
      <c r="R89" s="133"/>
      <c r="S89" s="133"/>
      <c r="T89" s="133"/>
      <c r="U89" s="133"/>
      <c r="V89" s="133"/>
      <c r="W89" s="133"/>
      <c r="X89" s="133"/>
      <c r="Y89" s="133"/>
      <c r="Z89" s="133"/>
      <c r="AJ89" s="286"/>
      <c r="AK89" s="286"/>
      <c r="AL89" s="286"/>
      <c r="AM89" s="286"/>
      <c r="AN89" s="286"/>
    </row>
    <row r="90" spans="1:40" hidden="1" x14ac:dyDescent="0.25">
      <c r="A90" s="289"/>
      <c r="B90" s="350" t="s">
        <v>910</v>
      </c>
      <c r="C90" s="149">
        <f>'Inputs and eligible population'!F90</f>
        <v>0</v>
      </c>
      <c r="D90" s="128" t="e">
        <f>D$7*'Inputs and eligible population'!#REF!*'Unit costs'!$P$9*'Capacity (local prices)'!$C91</f>
        <v>#REF!</v>
      </c>
      <c r="E90" s="128" t="e">
        <f>E$7*'Inputs and eligible population'!#REF!*'Unit costs'!$P$9*'Capacity (local prices)'!$C91</f>
        <v>#REF!</v>
      </c>
      <c r="F90" s="128" t="e">
        <f>F$7*'Inputs and eligible population'!#REF!*'Unit costs'!$P$9*'Capacity (local prices)'!$C91</f>
        <v>#REF!</v>
      </c>
      <c r="G90" s="128" t="e">
        <f>G$7*'Inputs and eligible population'!#REF!*'Unit costs'!$P$9*'Capacity (local prices)'!$C91</f>
        <v>#REF!</v>
      </c>
      <c r="H90" s="128" t="e">
        <f>H$7*'Inputs and eligible population'!#REF!*'Unit costs'!$P$9*'Capacity (local prices)'!$C91</f>
        <v>#REF!</v>
      </c>
      <c r="I90" s="128" t="e">
        <f>I$7*'Inputs and eligible population'!#REF!*'Unit costs'!$P$9*'Capacity (local prices)'!$C91</f>
        <v>#REF!</v>
      </c>
      <c r="J90" s="289"/>
      <c r="K90" s="289"/>
      <c r="L90" s="289"/>
      <c r="M90" s="289"/>
      <c r="N90" s="289"/>
      <c r="O90" s="289"/>
      <c r="P90" s="289"/>
      <c r="Q90" s="289"/>
      <c r="R90" s="133"/>
      <c r="S90" s="133"/>
      <c r="T90" s="133"/>
      <c r="U90" s="133"/>
      <c r="V90" s="133"/>
      <c r="W90" s="133"/>
      <c r="X90" s="133"/>
      <c r="Y90" s="133"/>
      <c r="Z90" s="133"/>
      <c r="AJ90" s="286"/>
      <c r="AK90" s="286"/>
      <c r="AL90" s="286"/>
      <c r="AM90" s="286"/>
      <c r="AN90" s="286"/>
    </row>
    <row r="91" spans="1:40" hidden="1" x14ac:dyDescent="0.25">
      <c r="A91" s="289"/>
      <c r="B91" s="350" t="s">
        <v>911</v>
      </c>
      <c r="C91" s="149">
        <f>'Inputs and eligible population'!H90</f>
        <v>0</v>
      </c>
      <c r="D91" s="128" t="e">
        <f>D$7*'Inputs and eligible population'!#REF!*'Unit costs'!#REF!*'Capacity (local prices)'!$C92</f>
        <v>#REF!</v>
      </c>
      <c r="E91" s="128" t="e">
        <f>E$7*'Inputs and eligible population'!#REF!*'Unit costs'!#REF!*'Capacity (local prices)'!$C92</f>
        <v>#REF!</v>
      </c>
      <c r="F91" s="128" t="e">
        <f>F$7*'Inputs and eligible population'!#REF!*'Unit costs'!#REF!*'Capacity (local prices)'!$C92</f>
        <v>#REF!</v>
      </c>
      <c r="G91" s="128" t="e">
        <f>G$7*'Inputs and eligible population'!#REF!*'Unit costs'!#REF!*'Capacity (local prices)'!$C92</f>
        <v>#REF!</v>
      </c>
      <c r="H91" s="128" t="e">
        <f>H$7*'Inputs and eligible population'!#REF!*'Unit costs'!#REF!*'Capacity (local prices)'!$C92</f>
        <v>#REF!</v>
      </c>
      <c r="I91" s="128" t="e">
        <f>I$7*'Inputs and eligible population'!#REF!*'Unit costs'!#REF!*'Capacity (local prices)'!$C92</f>
        <v>#REF!</v>
      </c>
      <c r="J91" s="289"/>
      <c r="K91" s="289"/>
      <c r="L91" s="289"/>
      <c r="M91" s="289"/>
      <c r="N91" s="289"/>
      <c r="O91" s="289"/>
      <c r="P91" s="289"/>
      <c r="Q91" s="289"/>
      <c r="R91" s="133"/>
      <c r="S91" s="133"/>
      <c r="T91" s="133"/>
      <c r="U91" s="133"/>
      <c r="V91" s="133"/>
      <c r="W91" s="133"/>
      <c r="X91" s="133"/>
      <c r="Y91" s="133"/>
      <c r="Z91" s="133"/>
      <c r="AJ91" s="286"/>
      <c r="AK91" s="286"/>
      <c r="AL91" s="286"/>
      <c r="AM91" s="286"/>
      <c r="AN91" s="286"/>
    </row>
    <row r="92" spans="1:40" hidden="1" x14ac:dyDescent="0.25">
      <c r="A92" s="289"/>
      <c r="B92" s="350" t="s">
        <v>912</v>
      </c>
      <c r="C92" s="149">
        <f>'Inputs and eligible population'!I90</f>
        <v>0</v>
      </c>
      <c r="D92" s="128" t="e">
        <f>D$7*'Inputs and eligible population'!#REF!*'Unit costs'!#REF!*'Capacity (local prices)'!$C93</f>
        <v>#REF!</v>
      </c>
      <c r="E92" s="128" t="e">
        <f>E$7*'Inputs and eligible population'!#REF!*'Unit costs'!#REF!*'Capacity (local prices)'!$C93</f>
        <v>#REF!</v>
      </c>
      <c r="F92" s="128" t="e">
        <f>F$7*'Inputs and eligible population'!#REF!*'Unit costs'!#REF!*'Capacity (local prices)'!$C93</f>
        <v>#REF!</v>
      </c>
      <c r="G92" s="128" t="e">
        <f>G$7*'Inputs and eligible population'!#REF!*'Unit costs'!#REF!*'Capacity (local prices)'!$C93</f>
        <v>#REF!</v>
      </c>
      <c r="H92" s="128" t="e">
        <f>H$7*'Inputs and eligible population'!#REF!*'Unit costs'!#REF!*'Capacity (local prices)'!$C93</f>
        <v>#REF!</v>
      </c>
      <c r="I92" s="128" t="e">
        <f>I$7*'Inputs and eligible population'!#REF!*'Unit costs'!#REF!*'Capacity (local prices)'!$C93</f>
        <v>#REF!</v>
      </c>
      <c r="J92" s="289"/>
      <c r="K92" s="289"/>
      <c r="L92" s="289"/>
      <c r="M92" s="289"/>
      <c r="N92" s="289"/>
      <c r="O92" s="289"/>
      <c r="P92" s="289"/>
      <c r="Q92" s="289"/>
      <c r="R92" s="133"/>
      <c r="S92" s="133"/>
      <c r="T92" s="133"/>
      <c r="U92" s="133"/>
      <c r="V92" s="133"/>
      <c r="W92" s="133"/>
      <c r="X92" s="133"/>
      <c r="Y92" s="133"/>
      <c r="Z92" s="133"/>
      <c r="AJ92" s="286"/>
      <c r="AK92" s="286"/>
      <c r="AL92" s="286"/>
      <c r="AM92" s="286"/>
      <c r="AN92" s="286"/>
    </row>
    <row r="93" spans="1:40" hidden="1" x14ac:dyDescent="0.25">
      <c r="A93" s="289"/>
      <c r="B93" s="283"/>
      <c r="C93" s="208"/>
      <c r="D93" s="186" t="e">
        <f t="shared" ref="D93:I93" si="38">SUM(D90:D92)</f>
        <v>#REF!</v>
      </c>
      <c r="E93" s="186" t="e">
        <f>SUM(E90:E92)</f>
        <v>#REF!</v>
      </c>
      <c r="F93" s="186" t="e">
        <f t="shared" si="38"/>
        <v>#REF!</v>
      </c>
      <c r="G93" s="186" t="e">
        <f t="shared" si="38"/>
        <v>#REF!</v>
      </c>
      <c r="H93" s="186" t="e">
        <f t="shared" si="38"/>
        <v>#REF!</v>
      </c>
      <c r="I93" s="186" t="e">
        <f t="shared" si="38"/>
        <v>#REF!</v>
      </c>
      <c r="J93" s="289"/>
      <c r="K93" s="289"/>
      <c r="L93" s="289"/>
      <c r="M93" s="289"/>
      <c r="N93" s="289"/>
      <c r="O93" s="289"/>
      <c r="P93" s="289"/>
      <c r="Q93" s="289"/>
      <c r="R93" s="133"/>
      <c r="S93" s="133"/>
      <c r="T93" s="133"/>
      <c r="U93" s="133"/>
      <c r="V93" s="133"/>
      <c r="W93" s="133"/>
      <c r="X93" s="133"/>
      <c r="Y93" s="133"/>
      <c r="Z93" s="133"/>
      <c r="AJ93" s="286"/>
      <c r="AK93" s="286"/>
      <c r="AL93" s="286"/>
      <c r="AM93" s="286"/>
      <c r="AN93" s="286"/>
    </row>
    <row r="94" spans="1:40" hidden="1" x14ac:dyDescent="0.25">
      <c r="A94" s="289"/>
      <c r="B94" s="305"/>
      <c r="C94" s="226"/>
      <c r="D94" s="285" t="s">
        <v>171</v>
      </c>
      <c r="E94" s="186" t="e">
        <f>E93-$D$93</f>
        <v>#REF!</v>
      </c>
      <c r="F94" s="186" t="e">
        <f>F93-$D$93</f>
        <v>#REF!</v>
      </c>
      <c r="G94" s="186" t="e">
        <f>G93-$D$93</f>
        <v>#REF!</v>
      </c>
      <c r="H94" s="186" t="e">
        <f>H93-$D$93</f>
        <v>#REF!</v>
      </c>
      <c r="I94" s="186" t="e">
        <f>I93-$D$93</f>
        <v>#REF!</v>
      </c>
      <c r="J94" s="289"/>
      <c r="K94" s="289"/>
      <c r="L94" s="289"/>
      <c r="M94" s="289"/>
      <c r="N94" s="289"/>
      <c r="O94" s="289"/>
      <c r="P94" s="289"/>
      <c r="Q94" s="289"/>
      <c r="R94" s="133"/>
      <c r="S94" s="133"/>
      <c r="T94" s="133"/>
      <c r="U94" s="133"/>
      <c r="V94" s="133"/>
      <c r="W94" s="133"/>
      <c r="X94" s="133"/>
      <c r="Y94" s="133"/>
      <c r="Z94" s="133"/>
      <c r="AJ94" s="286"/>
      <c r="AK94" s="286"/>
      <c r="AL94" s="286"/>
      <c r="AM94" s="286"/>
      <c r="AN94" s="286"/>
    </row>
    <row r="95" spans="1:40" hidden="1" x14ac:dyDescent="0.25">
      <c r="A95" s="289"/>
      <c r="B95" s="326"/>
      <c r="C95" s="393"/>
      <c r="D95" s="222"/>
      <c r="E95" s="222"/>
      <c r="F95" s="222"/>
      <c r="G95" s="222"/>
      <c r="H95" s="310"/>
      <c r="I95" s="310"/>
      <c r="J95" s="289"/>
      <c r="K95" s="289"/>
      <c r="L95" s="289"/>
      <c r="M95" s="289"/>
      <c r="N95" s="289"/>
      <c r="O95" s="289"/>
      <c r="P95" s="289"/>
      <c r="Q95" s="289"/>
      <c r="R95" s="133"/>
      <c r="S95" s="133"/>
      <c r="T95" s="133"/>
      <c r="U95" s="133"/>
      <c r="V95" s="133"/>
      <c r="W95" s="133"/>
      <c r="X95" s="133"/>
      <c r="Y95" s="133"/>
      <c r="Z95" s="133"/>
      <c r="AJ95" s="286"/>
      <c r="AK95" s="286"/>
      <c r="AL95" s="286"/>
      <c r="AM95" s="286"/>
      <c r="AN95" s="286"/>
    </row>
    <row r="96" spans="1:40" hidden="1" x14ac:dyDescent="0.25">
      <c r="A96" s="289"/>
      <c r="B96" s="392" t="s">
        <v>755</v>
      </c>
      <c r="C96" s="393"/>
      <c r="D96" s="393"/>
      <c r="E96" s="393"/>
      <c r="F96" s="393"/>
      <c r="G96" s="393"/>
      <c r="H96" s="393"/>
      <c r="I96" s="221"/>
      <c r="J96" s="289"/>
      <c r="K96" s="289"/>
      <c r="L96" s="289"/>
      <c r="M96" s="289"/>
      <c r="N96" s="289"/>
      <c r="O96" s="289"/>
      <c r="P96" s="289"/>
      <c r="Q96" s="289"/>
      <c r="R96" s="133"/>
      <c r="S96" s="133"/>
      <c r="T96" s="133"/>
      <c r="U96" s="133"/>
      <c r="V96" s="133"/>
      <c r="W96" s="133"/>
      <c r="X96" s="133"/>
      <c r="Y96" s="133"/>
      <c r="Z96" s="133"/>
      <c r="AJ96" s="286"/>
      <c r="AK96" s="286"/>
      <c r="AL96" s="286"/>
      <c r="AM96" s="286"/>
      <c r="AN96" s="286"/>
    </row>
    <row r="97" spans="1:40" ht="75" hidden="1" x14ac:dyDescent="0.25">
      <c r="A97" s="289"/>
      <c r="B97" s="279" t="s">
        <v>124</v>
      </c>
      <c r="C97" s="165" t="s">
        <v>756</v>
      </c>
      <c r="D97" s="423" t="s">
        <v>730</v>
      </c>
      <c r="E97" s="257" t="s">
        <v>50</v>
      </c>
      <c r="F97" s="257" t="s">
        <v>51</v>
      </c>
      <c r="G97" s="164" t="s">
        <v>731</v>
      </c>
      <c r="H97" s="164" t="s">
        <v>732</v>
      </c>
      <c r="I97" s="257" t="s">
        <v>733</v>
      </c>
      <c r="J97" s="289"/>
      <c r="K97" s="289"/>
      <c r="L97" s="289"/>
      <c r="M97" s="289"/>
      <c r="N97" s="289"/>
      <c r="O97" s="289"/>
      <c r="P97" s="289"/>
      <c r="Q97" s="289"/>
      <c r="R97" s="133"/>
      <c r="S97" s="133"/>
      <c r="T97" s="133"/>
      <c r="U97" s="133"/>
      <c r="V97" s="133"/>
      <c r="W97" s="133"/>
      <c r="X97" s="133"/>
      <c r="Y97" s="133"/>
      <c r="Z97" s="133"/>
      <c r="AJ97" s="286"/>
      <c r="AK97" s="286"/>
      <c r="AL97" s="286"/>
      <c r="AM97" s="286"/>
      <c r="AN97" s="286"/>
    </row>
    <row r="98" spans="1:40" hidden="1" x14ac:dyDescent="0.25">
      <c r="A98" s="289"/>
      <c r="B98" s="350" t="s">
        <v>910</v>
      </c>
      <c r="C98" s="149">
        <f>'Inputs and eligible population'!F91</f>
        <v>0</v>
      </c>
      <c r="D98" s="128" t="e">
        <f>D$7*'Inputs and eligible population'!#REF!*'Unit costs'!$P$9*'Capacity (local prices)'!$C99</f>
        <v>#REF!</v>
      </c>
      <c r="E98" s="128" t="e">
        <f>E$7*'Inputs and eligible population'!#REF!*'Unit costs'!$P$9*'Capacity (local prices)'!$C99</f>
        <v>#REF!</v>
      </c>
      <c r="F98" s="128" t="e">
        <f>F$7*'Inputs and eligible population'!#REF!*'Unit costs'!$P$9*'Capacity (local prices)'!$C99</f>
        <v>#REF!</v>
      </c>
      <c r="G98" s="128" t="e">
        <f>G$7*'Inputs and eligible population'!#REF!*'Unit costs'!$P$9*'Capacity (local prices)'!$C99</f>
        <v>#REF!</v>
      </c>
      <c r="H98" s="128" t="e">
        <f>H$7*'Inputs and eligible population'!#REF!*'Unit costs'!$P$9*'Capacity (local prices)'!$C99</f>
        <v>#REF!</v>
      </c>
      <c r="I98" s="128" t="e">
        <f>I$7*'Inputs and eligible population'!#REF!*'Unit costs'!$P$9*'Capacity (local prices)'!$C99</f>
        <v>#REF!</v>
      </c>
      <c r="J98" s="289"/>
      <c r="K98" s="289"/>
      <c r="L98" s="222"/>
      <c r="M98" s="222"/>
      <c r="N98" s="289"/>
      <c r="O98" s="222"/>
      <c r="P98" s="222"/>
      <c r="Q98" s="222"/>
      <c r="R98" s="133"/>
      <c r="S98" s="133"/>
      <c r="T98" s="133"/>
      <c r="U98" s="133"/>
      <c r="V98" s="133"/>
      <c r="W98" s="133"/>
      <c r="X98" s="133"/>
      <c r="Y98" s="133"/>
      <c r="Z98" s="133"/>
      <c r="AJ98" s="286"/>
      <c r="AK98" s="286"/>
      <c r="AL98" s="286"/>
      <c r="AM98" s="286"/>
      <c r="AN98" s="286"/>
    </row>
    <row r="99" spans="1:40" hidden="1" x14ac:dyDescent="0.25">
      <c r="A99" s="289"/>
      <c r="B99" s="350" t="s">
        <v>911</v>
      </c>
      <c r="C99" s="149">
        <f>'Inputs and eligible population'!H91</f>
        <v>0</v>
      </c>
      <c r="D99" s="128" t="e">
        <f>D$7*'Inputs and eligible population'!#REF!*'Unit costs'!#REF!*'Capacity (local prices)'!$C100</f>
        <v>#REF!</v>
      </c>
      <c r="E99" s="128" t="e">
        <f>E$7*'Inputs and eligible population'!#REF!*'Unit costs'!#REF!*'Capacity (local prices)'!$C100</f>
        <v>#REF!</v>
      </c>
      <c r="F99" s="128" t="e">
        <f>F$7*'Inputs and eligible population'!#REF!*'Unit costs'!#REF!*'Capacity (local prices)'!$C100</f>
        <v>#REF!</v>
      </c>
      <c r="G99" s="128" t="e">
        <f>G$7*'Inputs and eligible population'!#REF!*'Unit costs'!#REF!*'Capacity (local prices)'!$C100</f>
        <v>#REF!</v>
      </c>
      <c r="H99" s="128" t="e">
        <f>H$7*'Inputs and eligible population'!#REF!*'Unit costs'!#REF!*'Capacity (local prices)'!$C100</f>
        <v>#REF!</v>
      </c>
      <c r="I99" s="128" t="e">
        <f>I$7*'Inputs and eligible population'!#REF!*'Unit costs'!#REF!*'Capacity (local prices)'!$C100</f>
        <v>#REF!</v>
      </c>
      <c r="J99" s="289"/>
      <c r="K99" s="289"/>
      <c r="L99" s="222"/>
      <c r="M99" s="222"/>
      <c r="N99" s="289"/>
      <c r="O99" s="222"/>
      <c r="P99" s="222"/>
      <c r="Q99" s="222"/>
      <c r="R99" s="133"/>
      <c r="S99" s="133"/>
      <c r="T99" s="133"/>
      <c r="U99" s="133"/>
      <c r="V99" s="133"/>
      <c r="W99" s="133"/>
      <c r="X99" s="133"/>
      <c r="Y99" s="133"/>
      <c r="Z99" s="133"/>
      <c r="AJ99" s="286"/>
      <c r="AK99" s="286"/>
      <c r="AL99" s="286"/>
      <c r="AM99" s="286"/>
      <c r="AN99" s="286"/>
    </row>
    <row r="100" spans="1:40" hidden="1" x14ac:dyDescent="0.25">
      <c r="A100" s="289"/>
      <c r="B100" s="350" t="s">
        <v>912</v>
      </c>
      <c r="C100" s="149">
        <f>'Inputs and eligible population'!I91</f>
        <v>0</v>
      </c>
      <c r="D100" s="128" t="e">
        <f>D$7*'Inputs and eligible population'!#REF!*'Unit costs'!#REF!*'Capacity (local prices)'!$C101</f>
        <v>#REF!</v>
      </c>
      <c r="E100" s="128" t="e">
        <f>E$7*'Inputs and eligible population'!#REF!*'Unit costs'!#REF!*'Capacity (local prices)'!$C101</f>
        <v>#REF!</v>
      </c>
      <c r="F100" s="128" t="e">
        <f>F$7*'Inputs and eligible population'!#REF!*'Unit costs'!#REF!*'Capacity (local prices)'!$C101</f>
        <v>#REF!</v>
      </c>
      <c r="G100" s="128" t="e">
        <f>G$7*'Inputs and eligible population'!#REF!*'Unit costs'!#REF!*'Capacity (local prices)'!$C101</f>
        <v>#REF!</v>
      </c>
      <c r="H100" s="128" t="e">
        <f>H$7*'Inputs and eligible population'!#REF!*'Unit costs'!#REF!*'Capacity (local prices)'!$C101</f>
        <v>#REF!</v>
      </c>
      <c r="I100" s="128" t="e">
        <f>I$7*'Inputs and eligible population'!#REF!*'Unit costs'!#REF!*'Capacity (local prices)'!$C101</f>
        <v>#REF!</v>
      </c>
      <c r="J100" s="289"/>
      <c r="K100" s="289"/>
      <c r="L100" s="222"/>
      <c r="M100" s="222"/>
      <c r="N100" s="289"/>
      <c r="O100" s="222"/>
      <c r="P100" s="222"/>
      <c r="Q100" s="222"/>
      <c r="R100" s="133"/>
      <c r="S100" s="133"/>
      <c r="T100" s="133"/>
      <c r="U100" s="133"/>
      <c r="V100" s="133"/>
      <c r="W100" s="133"/>
      <c r="X100" s="133"/>
      <c r="Y100" s="133"/>
      <c r="Z100" s="133"/>
      <c r="AJ100" s="286"/>
      <c r="AK100" s="286"/>
      <c r="AL100" s="286"/>
      <c r="AM100" s="286"/>
      <c r="AN100" s="286"/>
    </row>
    <row r="101" spans="1:40" hidden="1" x14ac:dyDescent="0.25">
      <c r="A101" s="289"/>
      <c r="B101" s="283"/>
      <c r="C101" s="208"/>
      <c r="D101" s="186" t="e">
        <f t="shared" ref="D101:I101" si="39">SUM(D98:D100)</f>
        <v>#REF!</v>
      </c>
      <c r="E101" s="186" t="e">
        <f t="shared" si="39"/>
        <v>#REF!</v>
      </c>
      <c r="F101" s="186" t="e">
        <f t="shared" si="39"/>
        <v>#REF!</v>
      </c>
      <c r="G101" s="186" t="e">
        <f t="shared" si="39"/>
        <v>#REF!</v>
      </c>
      <c r="H101" s="186" t="e">
        <f t="shared" si="39"/>
        <v>#REF!</v>
      </c>
      <c r="I101" s="186" t="e">
        <f t="shared" si="39"/>
        <v>#REF!</v>
      </c>
      <c r="J101" s="289"/>
      <c r="K101" s="289"/>
      <c r="L101" s="222"/>
      <c r="M101" s="222"/>
      <c r="N101" s="289"/>
      <c r="O101" s="222"/>
      <c r="P101" s="222"/>
      <c r="Q101" s="222"/>
      <c r="V101" s="133"/>
    </row>
    <row r="102" spans="1:40" hidden="1" x14ac:dyDescent="0.25">
      <c r="A102" s="289"/>
      <c r="B102" s="305"/>
      <c r="C102" s="226"/>
      <c r="D102" s="285" t="s">
        <v>172</v>
      </c>
      <c r="E102" s="186" t="e">
        <f>E101-$D$101</f>
        <v>#REF!</v>
      </c>
      <c r="F102" s="186" t="e">
        <f>F101-$D$101</f>
        <v>#REF!</v>
      </c>
      <c r="G102" s="186" t="e">
        <f>G101-$D$101</f>
        <v>#REF!</v>
      </c>
      <c r="H102" s="186" t="e">
        <f>H101-$D$101</f>
        <v>#REF!</v>
      </c>
      <c r="I102" s="186" t="e">
        <f>I101-$D$101</f>
        <v>#REF!</v>
      </c>
      <c r="J102" s="289"/>
      <c r="K102" s="289"/>
      <c r="L102" s="222"/>
      <c r="M102" s="222"/>
      <c r="N102" s="289"/>
      <c r="O102" s="222"/>
      <c r="P102" s="222"/>
      <c r="Q102" s="222"/>
      <c r="V102" s="133"/>
    </row>
    <row r="103" spans="1:40" hidden="1" x14ac:dyDescent="0.25">
      <c r="A103" s="289"/>
      <c r="B103" s="326"/>
      <c r="C103" s="393"/>
      <c r="D103" s="222"/>
      <c r="E103" s="222"/>
      <c r="F103" s="222"/>
      <c r="G103" s="222"/>
      <c r="H103" s="310"/>
      <c r="I103" s="310"/>
      <c r="J103" s="289"/>
      <c r="K103" s="289"/>
      <c r="L103" s="222"/>
      <c r="M103" s="222"/>
      <c r="N103" s="289"/>
      <c r="O103" s="222"/>
      <c r="P103" s="222"/>
      <c r="Q103" s="222"/>
      <c r="V103" s="133"/>
    </row>
    <row r="104" spans="1:40" hidden="1" x14ac:dyDescent="0.25">
      <c r="A104" s="289"/>
      <c r="B104" s="392" t="s">
        <v>757</v>
      </c>
      <c r="C104" s="393"/>
      <c r="D104" s="393"/>
      <c r="E104" s="393"/>
      <c r="F104" s="393"/>
      <c r="G104" s="393"/>
      <c r="H104" s="393"/>
      <c r="I104" s="221"/>
      <c r="J104" s="289"/>
      <c r="K104" s="289"/>
      <c r="L104" s="222"/>
      <c r="M104" s="222"/>
      <c r="N104" s="289"/>
      <c r="O104" s="222"/>
      <c r="P104" s="222"/>
      <c r="Q104" s="222"/>
      <c r="V104" s="133"/>
    </row>
    <row r="105" spans="1:40" ht="75" hidden="1" x14ac:dyDescent="0.25">
      <c r="A105" s="289"/>
      <c r="B105" s="279" t="s">
        <v>124</v>
      </c>
      <c r="C105" s="165" t="s">
        <v>758</v>
      </c>
      <c r="D105" s="423" t="s">
        <v>730</v>
      </c>
      <c r="E105" s="257" t="s">
        <v>50</v>
      </c>
      <c r="F105" s="257" t="s">
        <v>51</v>
      </c>
      <c r="G105" s="164" t="s">
        <v>731</v>
      </c>
      <c r="H105" s="164" t="s">
        <v>732</v>
      </c>
      <c r="I105" s="257" t="s">
        <v>733</v>
      </c>
      <c r="J105" s="289"/>
      <c r="K105" s="289"/>
      <c r="L105" s="222"/>
      <c r="M105" s="222"/>
      <c r="N105" s="289"/>
      <c r="O105" s="222"/>
      <c r="P105" s="222"/>
      <c r="Q105" s="222"/>
      <c r="V105" s="133"/>
    </row>
    <row r="106" spans="1:40" hidden="1" x14ac:dyDescent="0.25">
      <c r="A106" s="289"/>
      <c r="B106" s="350" t="s">
        <v>910</v>
      </c>
      <c r="C106" s="149">
        <f>'Inputs and eligible population'!F92</f>
        <v>0</v>
      </c>
      <c r="D106" s="128" t="e">
        <f>(D$7*'Inputs and eligible population'!#REF!*'Unit costs'!$P$9*'Capacity (local prices)'!$C107)/60</f>
        <v>#REF!</v>
      </c>
      <c r="E106" s="128" t="e">
        <f>(E$7*'Inputs and eligible population'!#REF!*'Unit costs'!$P$9*'Capacity (local prices)'!$C107)/60</f>
        <v>#REF!</v>
      </c>
      <c r="F106" s="128" t="e">
        <f>(F$7*'Inputs and eligible population'!#REF!*'Unit costs'!$P$9*'Capacity (local prices)'!$C107)/60</f>
        <v>#REF!</v>
      </c>
      <c r="G106" s="128" t="e">
        <f>(G$7*'Inputs and eligible population'!#REF!*'Unit costs'!$P$9*'Capacity (local prices)'!$C107)/60</f>
        <v>#REF!</v>
      </c>
      <c r="H106" s="128" t="e">
        <f>(H$7*'Inputs and eligible population'!#REF!*'Unit costs'!$P$9*'Capacity (local prices)'!$C107)/60</f>
        <v>#REF!</v>
      </c>
      <c r="I106" s="128" t="e">
        <f>(I$7*'Inputs and eligible population'!#REF!*'Unit costs'!$P$9*'Capacity (local prices)'!$C107)/60</f>
        <v>#REF!</v>
      </c>
      <c r="J106" s="289"/>
      <c r="K106" s="289"/>
      <c r="L106" s="222"/>
      <c r="M106" s="222"/>
      <c r="N106" s="289"/>
      <c r="O106" s="222"/>
      <c r="P106" s="222"/>
      <c r="Q106" s="222"/>
      <c r="V106" s="133"/>
    </row>
    <row r="107" spans="1:40" hidden="1" x14ac:dyDescent="0.25">
      <c r="A107" s="289"/>
      <c r="B107" s="350" t="s">
        <v>911</v>
      </c>
      <c r="C107" s="149">
        <f>'Inputs and eligible population'!H92</f>
        <v>0</v>
      </c>
      <c r="D107" s="128" t="e">
        <f>(D$7*'Inputs and eligible population'!#REF!*'Unit costs'!#REF!*'Capacity (local prices)'!$C108)/60</f>
        <v>#REF!</v>
      </c>
      <c r="E107" s="128" t="e">
        <f>(E$7*'Inputs and eligible population'!#REF!*'Unit costs'!#REF!*'Capacity (local prices)'!$C108)/60</f>
        <v>#REF!</v>
      </c>
      <c r="F107" s="128" t="e">
        <f>(F$7*'Inputs and eligible population'!#REF!*'Unit costs'!#REF!*'Capacity (local prices)'!$C108)/60</f>
        <v>#REF!</v>
      </c>
      <c r="G107" s="128" t="e">
        <f>(G$7*'Inputs and eligible population'!#REF!*'Unit costs'!#REF!*'Capacity (local prices)'!$C108)/60</f>
        <v>#REF!</v>
      </c>
      <c r="H107" s="128" t="e">
        <f>(H$7*'Inputs and eligible population'!#REF!*'Unit costs'!#REF!*'Capacity (local prices)'!$C108)/60</f>
        <v>#REF!</v>
      </c>
      <c r="I107" s="128" t="e">
        <f>(I$7*'Inputs and eligible population'!#REF!*'Unit costs'!#REF!*'Capacity (local prices)'!$C108)/60</f>
        <v>#REF!</v>
      </c>
      <c r="J107" s="289"/>
      <c r="K107" s="289"/>
      <c r="L107" s="222"/>
      <c r="M107" s="222"/>
      <c r="N107" s="289"/>
      <c r="O107" s="222"/>
      <c r="P107" s="222"/>
      <c r="Q107" s="222"/>
      <c r="V107" s="133"/>
    </row>
    <row r="108" spans="1:40" hidden="1" x14ac:dyDescent="0.25">
      <c r="A108" s="289"/>
      <c r="B108" s="350" t="s">
        <v>912</v>
      </c>
      <c r="C108" s="149">
        <f>'Inputs and eligible population'!I92</f>
        <v>0</v>
      </c>
      <c r="D108" s="128" t="e">
        <f>(D$7*'Inputs and eligible population'!#REF!*'Unit costs'!#REF!*'Capacity (local prices)'!$C109)/60</f>
        <v>#REF!</v>
      </c>
      <c r="E108" s="128" t="e">
        <f>(E$7*'Inputs and eligible population'!#REF!*'Unit costs'!#REF!*'Capacity (local prices)'!$C109)/60</f>
        <v>#REF!</v>
      </c>
      <c r="F108" s="128" t="e">
        <f>(F$7*'Inputs and eligible population'!#REF!*'Unit costs'!#REF!*'Capacity (local prices)'!$C109)/60</f>
        <v>#REF!</v>
      </c>
      <c r="G108" s="128" t="e">
        <f>(G$7*'Inputs and eligible population'!#REF!*'Unit costs'!#REF!*'Capacity (local prices)'!$C109)/60</f>
        <v>#REF!</v>
      </c>
      <c r="H108" s="128" t="e">
        <f>(H$7*'Inputs and eligible population'!#REF!*'Unit costs'!#REF!*'Capacity (local prices)'!$C109)/60</f>
        <v>#REF!</v>
      </c>
      <c r="I108" s="128" t="e">
        <f>(I$7*'Inputs and eligible population'!#REF!*'Unit costs'!#REF!*'Capacity (local prices)'!$C109)/60</f>
        <v>#REF!</v>
      </c>
      <c r="J108" s="289"/>
      <c r="K108" s="289"/>
      <c r="L108" s="222"/>
      <c r="M108" s="222"/>
      <c r="N108" s="289"/>
      <c r="O108" s="222"/>
      <c r="P108" s="222"/>
      <c r="Q108" s="222"/>
      <c r="V108" s="133"/>
    </row>
    <row r="109" spans="1:40" hidden="1" x14ac:dyDescent="0.25">
      <c r="A109" s="289"/>
      <c r="B109" s="283"/>
      <c r="C109" s="208"/>
      <c r="D109" s="186" t="e">
        <f t="shared" ref="D109:I109" si="40">SUM(D106:D108)</f>
        <v>#REF!</v>
      </c>
      <c r="E109" s="186" t="e">
        <f t="shared" si="40"/>
        <v>#REF!</v>
      </c>
      <c r="F109" s="186" t="e">
        <f t="shared" si="40"/>
        <v>#REF!</v>
      </c>
      <c r="G109" s="186" t="e">
        <f t="shared" si="40"/>
        <v>#REF!</v>
      </c>
      <c r="H109" s="186" t="e">
        <f t="shared" si="40"/>
        <v>#REF!</v>
      </c>
      <c r="I109" s="186" t="e">
        <f t="shared" si="40"/>
        <v>#REF!</v>
      </c>
      <c r="J109" s="289"/>
      <c r="K109" s="289"/>
      <c r="L109" s="222"/>
      <c r="M109" s="222"/>
      <c r="N109" s="289"/>
      <c r="O109" s="222"/>
      <c r="P109" s="222"/>
      <c r="Q109" s="222"/>
      <c r="V109" s="133"/>
    </row>
    <row r="110" spans="1:40" hidden="1" x14ac:dyDescent="0.25">
      <c r="A110" s="289"/>
      <c r="B110" s="305"/>
      <c r="C110" s="226"/>
      <c r="D110" s="285" t="s">
        <v>173</v>
      </c>
      <c r="E110" s="186" t="e">
        <f>E109-$D$109</f>
        <v>#REF!</v>
      </c>
      <c r="F110" s="186" t="e">
        <f>F109-$D$109</f>
        <v>#REF!</v>
      </c>
      <c r="G110" s="186" t="e">
        <f>G109-$D$109</f>
        <v>#REF!</v>
      </c>
      <c r="H110" s="186" t="e">
        <f>H109-$D$109</f>
        <v>#REF!</v>
      </c>
      <c r="I110" s="186" t="e">
        <f>I109-$D$109</f>
        <v>#REF!</v>
      </c>
      <c r="J110" s="289"/>
      <c r="K110" s="289"/>
      <c r="L110" s="222"/>
      <c r="M110" s="222"/>
      <c r="N110" s="289"/>
      <c r="O110" s="222"/>
      <c r="P110" s="222"/>
      <c r="Q110" s="222"/>
      <c r="V110" s="133"/>
    </row>
    <row r="111" spans="1:40" hidden="1" x14ac:dyDescent="0.25">
      <c r="A111" s="289"/>
      <c r="B111" s="326"/>
      <c r="C111" s="393"/>
      <c r="D111" s="222"/>
      <c r="E111" s="222"/>
      <c r="F111" s="222"/>
      <c r="G111" s="222"/>
      <c r="H111" s="310"/>
      <c r="I111" s="310"/>
      <c r="J111" s="289"/>
      <c r="K111" s="289"/>
      <c r="L111" s="222"/>
      <c r="M111" s="222"/>
      <c r="N111" s="289"/>
      <c r="O111" s="222"/>
      <c r="P111" s="222"/>
      <c r="Q111" s="222"/>
      <c r="V111" s="133"/>
    </row>
    <row r="112" spans="1:40" hidden="1" x14ac:dyDescent="0.25">
      <c r="A112" s="289"/>
      <c r="B112" s="392" t="s">
        <v>759</v>
      </c>
      <c r="C112" s="393"/>
      <c r="D112" s="393"/>
      <c r="E112" s="393"/>
      <c r="F112" s="393"/>
      <c r="G112" s="393"/>
      <c r="H112" s="393"/>
      <c r="I112" s="221"/>
      <c r="J112" s="289"/>
      <c r="K112" s="289"/>
      <c r="L112" s="222"/>
      <c r="M112" s="222"/>
      <c r="N112" s="289"/>
      <c r="O112" s="222"/>
      <c r="P112" s="222"/>
      <c r="Q112" s="222"/>
      <c r="V112" s="133"/>
    </row>
    <row r="113" spans="1:40" ht="75" hidden="1" x14ac:dyDescent="0.25">
      <c r="A113" s="289"/>
      <c r="B113" s="279" t="s">
        <v>124</v>
      </c>
      <c r="C113" s="165" t="s">
        <v>760</v>
      </c>
      <c r="D113" s="423" t="s">
        <v>730</v>
      </c>
      <c r="E113" s="257" t="s">
        <v>50</v>
      </c>
      <c r="F113" s="257" t="s">
        <v>51</v>
      </c>
      <c r="G113" s="164" t="s">
        <v>731</v>
      </c>
      <c r="H113" s="164" t="s">
        <v>732</v>
      </c>
      <c r="I113" s="257" t="s">
        <v>733</v>
      </c>
      <c r="J113" s="289"/>
      <c r="K113" s="289"/>
      <c r="L113" s="222"/>
      <c r="M113" s="222"/>
      <c r="N113" s="289"/>
      <c r="O113" s="222"/>
      <c r="P113" s="222"/>
      <c r="Q113" s="222"/>
      <c r="V113" s="133"/>
    </row>
    <row r="114" spans="1:40" hidden="1" x14ac:dyDescent="0.25">
      <c r="A114" s="289"/>
      <c r="B114" s="350" t="s">
        <v>910</v>
      </c>
      <c r="C114" s="149">
        <f>'Inputs and eligible population'!F93</f>
        <v>0</v>
      </c>
      <c r="D114" s="128" t="e">
        <f>(D$7*'Inputs and eligible population'!#REF!*'Unit costs'!$P$9*'Capacity (local prices)'!$C115)/60</f>
        <v>#REF!</v>
      </c>
      <c r="E114" s="128" t="e">
        <f>(E$7*'Inputs and eligible population'!#REF!*'Unit costs'!$P$9*'Capacity (local prices)'!$C115)/60</f>
        <v>#REF!</v>
      </c>
      <c r="F114" s="128" t="e">
        <f>(F$7*'Inputs and eligible population'!#REF!*'Unit costs'!$P$9*'Capacity (local prices)'!$C115)/60</f>
        <v>#REF!</v>
      </c>
      <c r="G114" s="128" t="e">
        <f>(G$7*'Inputs and eligible population'!#REF!*'Unit costs'!$P$9*'Capacity (local prices)'!$C115)/60</f>
        <v>#REF!</v>
      </c>
      <c r="H114" s="128" t="e">
        <f>(H$7*'Inputs and eligible population'!#REF!*'Unit costs'!$P$9*'Capacity (local prices)'!$C115)/60</f>
        <v>#REF!</v>
      </c>
      <c r="I114" s="128" t="e">
        <f>(I$7*'Inputs and eligible population'!#REF!*'Unit costs'!$P$9*'Capacity (local prices)'!$C115)/60</f>
        <v>#REF!</v>
      </c>
      <c r="J114" s="289"/>
      <c r="K114" s="289"/>
      <c r="L114" s="222"/>
      <c r="M114" s="222"/>
      <c r="N114" s="289"/>
      <c r="O114" s="222"/>
      <c r="P114" s="222"/>
      <c r="Q114" s="222"/>
      <c r="V114" s="133"/>
    </row>
    <row r="115" spans="1:40" hidden="1" x14ac:dyDescent="0.25">
      <c r="A115" s="289"/>
      <c r="B115" s="350" t="s">
        <v>911</v>
      </c>
      <c r="C115" s="149">
        <f>'Inputs and eligible population'!H93</f>
        <v>0</v>
      </c>
      <c r="D115" s="128" t="e">
        <f>(D$7*'Inputs and eligible population'!#REF!*'Unit costs'!#REF!*'Capacity (local prices)'!$C116)/60</f>
        <v>#REF!</v>
      </c>
      <c r="E115" s="128" t="e">
        <f>(E$7*'Inputs and eligible population'!#REF!*'Unit costs'!#REF!*'Capacity (local prices)'!$C116)/60</f>
        <v>#REF!</v>
      </c>
      <c r="F115" s="128" t="e">
        <f>(F$7*'Inputs and eligible population'!#REF!*'Unit costs'!#REF!*'Capacity (local prices)'!$C116)/60</f>
        <v>#REF!</v>
      </c>
      <c r="G115" s="128" t="e">
        <f>(G$7*'Inputs and eligible population'!#REF!*'Unit costs'!#REF!*'Capacity (local prices)'!$C116)/60</f>
        <v>#REF!</v>
      </c>
      <c r="H115" s="128" t="e">
        <f>(H$7*'Inputs and eligible population'!#REF!*'Unit costs'!#REF!*'Capacity (local prices)'!$C116)/60</f>
        <v>#REF!</v>
      </c>
      <c r="I115" s="128" t="e">
        <f>(I$7*'Inputs and eligible population'!#REF!*'Unit costs'!#REF!*'Capacity (local prices)'!$C116)/60</f>
        <v>#REF!</v>
      </c>
      <c r="J115" s="289"/>
      <c r="K115" s="289"/>
      <c r="L115" s="222"/>
      <c r="M115" s="222"/>
      <c r="N115" s="289"/>
      <c r="O115" s="222"/>
      <c r="P115" s="222"/>
      <c r="Q115" s="222"/>
      <c r="V115" s="133"/>
    </row>
    <row r="116" spans="1:40" hidden="1" x14ac:dyDescent="0.25">
      <c r="A116" s="289"/>
      <c r="B116" s="350" t="s">
        <v>912</v>
      </c>
      <c r="C116" s="149">
        <f>'Inputs and eligible population'!I93</f>
        <v>0</v>
      </c>
      <c r="D116" s="128" t="e">
        <f>(D$7*'Inputs and eligible population'!#REF!*'Unit costs'!#REF!*'Capacity (local prices)'!$C117)/60</f>
        <v>#REF!</v>
      </c>
      <c r="E116" s="128" t="e">
        <f>(E$7*'Inputs and eligible population'!#REF!*'Unit costs'!#REF!*'Capacity (local prices)'!$C117)/60</f>
        <v>#REF!</v>
      </c>
      <c r="F116" s="128" t="e">
        <f>(F$7*'Inputs and eligible population'!#REF!*'Unit costs'!#REF!*'Capacity (local prices)'!$C117)/60</f>
        <v>#REF!</v>
      </c>
      <c r="G116" s="128" t="e">
        <f>(G$7*'Inputs and eligible population'!#REF!*'Unit costs'!#REF!*'Capacity (local prices)'!$C117)/60</f>
        <v>#REF!</v>
      </c>
      <c r="H116" s="128" t="e">
        <f>(H$7*'Inputs and eligible population'!#REF!*'Unit costs'!#REF!*'Capacity (local prices)'!$C117)/60</f>
        <v>#REF!</v>
      </c>
      <c r="I116" s="128" t="e">
        <f>(I$7*'Inputs and eligible population'!#REF!*'Unit costs'!#REF!*'Capacity (local prices)'!$C117)/60</f>
        <v>#REF!</v>
      </c>
      <c r="J116" s="289"/>
      <c r="K116" s="289"/>
      <c r="L116" s="222"/>
      <c r="M116" s="222"/>
      <c r="N116" s="289"/>
      <c r="O116" s="222"/>
      <c r="P116" s="222"/>
      <c r="Q116" s="222"/>
      <c r="V116" s="133"/>
    </row>
    <row r="117" spans="1:40" hidden="1" x14ac:dyDescent="0.25">
      <c r="A117" s="289"/>
      <c r="B117" s="283"/>
      <c r="C117" s="208"/>
      <c r="D117" s="186" t="e">
        <f t="shared" ref="D117:I117" si="41">SUM(D114:D116)</f>
        <v>#REF!</v>
      </c>
      <c r="E117" s="186" t="e">
        <f t="shared" si="41"/>
        <v>#REF!</v>
      </c>
      <c r="F117" s="186" t="e">
        <f t="shared" si="41"/>
        <v>#REF!</v>
      </c>
      <c r="G117" s="186" t="e">
        <f t="shared" si="41"/>
        <v>#REF!</v>
      </c>
      <c r="H117" s="186" t="e">
        <f t="shared" si="41"/>
        <v>#REF!</v>
      </c>
      <c r="I117" s="186" t="e">
        <f t="shared" si="41"/>
        <v>#REF!</v>
      </c>
      <c r="J117" s="289"/>
      <c r="K117" s="289"/>
      <c r="L117" s="222"/>
      <c r="M117" s="222"/>
      <c r="N117" s="289"/>
      <c r="O117" s="222"/>
      <c r="P117" s="222"/>
      <c r="Q117" s="222"/>
      <c r="V117" s="133"/>
    </row>
    <row r="118" spans="1:40" hidden="1" x14ac:dyDescent="0.25">
      <c r="A118" s="289"/>
      <c r="B118" s="305"/>
      <c r="C118" s="226"/>
      <c r="D118" s="285" t="s">
        <v>174</v>
      </c>
      <c r="E118" s="186" t="e">
        <f>E117-$D$117</f>
        <v>#REF!</v>
      </c>
      <c r="F118" s="186" t="e">
        <f>F117-$D$117</f>
        <v>#REF!</v>
      </c>
      <c r="G118" s="186" t="e">
        <f>G117-$D$117</f>
        <v>#REF!</v>
      </c>
      <c r="H118" s="186" t="e">
        <f>H117-$D$117</f>
        <v>#REF!</v>
      </c>
      <c r="I118" s="186" t="e">
        <f>I117-$D$117</f>
        <v>#REF!</v>
      </c>
      <c r="J118" s="289"/>
      <c r="K118" s="289"/>
      <c r="L118" s="222"/>
      <c r="M118" s="222"/>
      <c r="N118" s="289"/>
      <c r="O118" s="222"/>
      <c r="P118" s="222"/>
      <c r="Q118" s="222"/>
      <c r="V118" s="133"/>
    </row>
    <row r="119" spans="1:40" hidden="1" x14ac:dyDescent="0.25">
      <c r="A119" s="289"/>
      <c r="B119" s="326"/>
      <c r="C119" s="393"/>
      <c r="D119" s="222"/>
      <c r="E119" s="222"/>
      <c r="F119" s="222"/>
      <c r="G119" s="222"/>
      <c r="H119" s="310"/>
      <c r="I119" s="310"/>
      <c r="J119" s="289"/>
      <c r="K119" s="289"/>
      <c r="L119" s="222"/>
      <c r="M119" s="222"/>
      <c r="N119" s="289"/>
      <c r="O119" s="222"/>
      <c r="P119" s="222"/>
      <c r="Q119" s="222"/>
      <c r="V119" s="133"/>
    </row>
    <row r="120" spans="1:40" x14ac:dyDescent="0.25">
      <c r="A120" s="289"/>
      <c r="B120" s="392" t="s">
        <v>761</v>
      </c>
      <c r="C120" s="393"/>
      <c r="D120" s="393"/>
      <c r="E120" s="393"/>
      <c r="F120" s="393"/>
      <c r="G120" s="393"/>
      <c r="H120" s="393"/>
      <c r="I120" s="221"/>
      <c r="J120" s="289"/>
      <c r="K120" s="289"/>
      <c r="L120" s="222"/>
      <c r="M120" s="222"/>
      <c r="N120" s="289"/>
      <c r="O120" s="222"/>
      <c r="P120" s="222"/>
      <c r="Q120" s="222"/>
      <c r="V120" s="133"/>
    </row>
    <row r="121" spans="1:40" ht="45" x14ac:dyDescent="0.25">
      <c r="A121" s="289"/>
      <c r="B121" s="279" t="s">
        <v>124</v>
      </c>
      <c r="C121" s="165" t="s">
        <v>95</v>
      </c>
      <c r="D121" s="423" t="s">
        <v>730</v>
      </c>
      <c r="E121" s="257" t="s">
        <v>50</v>
      </c>
      <c r="F121" s="257" t="s">
        <v>51</v>
      </c>
      <c r="G121" s="164" t="s">
        <v>731</v>
      </c>
      <c r="H121" s="164" t="s">
        <v>732</v>
      </c>
      <c r="I121" s="257" t="s">
        <v>733</v>
      </c>
      <c r="J121" s="289"/>
      <c r="K121" s="289"/>
      <c r="L121" s="222"/>
      <c r="M121" s="222"/>
      <c r="N121" s="289"/>
      <c r="O121" s="222"/>
      <c r="P121" s="222"/>
      <c r="Q121" s="222"/>
      <c r="V121" s="133"/>
    </row>
    <row r="122" spans="1:40" x14ac:dyDescent="0.25">
      <c r="A122" s="289"/>
      <c r="B122" s="350" t="s">
        <v>1052</v>
      </c>
      <c r="C122" s="149">
        <f>'Inputs and eligible population'!F94</f>
        <v>0</v>
      </c>
      <c r="D122" s="128">
        <f>($C122*(D55+D56))/60</f>
        <v>0</v>
      </c>
      <c r="E122" s="128">
        <f t="shared" ref="E122:I122" si="42">($C122*(E55+E56))/60</f>
        <v>0</v>
      </c>
      <c r="F122" s="128">
        <f t="shared" si="42"/>
        <v>0</v>
      </c>
      <c r="G122" s="128">
        <f t="shared" si="42"/>
        <v>0</v>
      </c>
      <c r="H122" s="128">
        <f t="shared" si="42"/>
        <v>0</v>
      </c>
      <c r="I122" s="128">
        <f t="shared" si="42"/>
        <v>0</v>
      </c>
      <c r="J122" s="289"/>
      <c r="K122" s="289"/>
      <c r="L122" s="222"/>
      <c r="M122" s="222"/>
      <c r="N122" s="289"/>
      <c r="O122" s="222"/>
      <c r="P122" s="222"/>
      <c r="Q122" s="222"/>
      <c r="V122" s="133"/>
    </row>
    <row r="123" spans="1:40" x14ac:dyDescent="0.25">
      <c r="A123" s="289"/>
      <c r="B123" s="350" t="s">
        <v>1053</v>
      </c>
      <c r="C123" s="149">
        <f>'Inputs and eligible population'!G94</f>
        <v>0</v>
      </c>
      <c r="D123" s="128">
        <f>($C123*D57)/60</f>
        <v>0</v>
      </c>
      <c r="E123" s="128">
        <f t="shared" ref="E123:I123" si="43">($C123*E57)/60</f>
        <v>0</v>
      </c>
      <c r="F123" s="128">
        <f t="shared" si="43"/>
        <v>0</v>
      </c>
      <c r="G123" s="128">
        <f t="shared" si="43"/>
        <v>0</v>
      </c>
      <c r="H123" s="128">
        <f t="shared" si="43"/>
        <v>0</v>
      </c>
      <c r="I123" s="128">
        <f t="shared" si="43"/>
        <v>0</v>
      </c>
      <c r="J123" s="289"/>
      <c r="K123" s="289"/>
      <c r="L123" s="222"/>
      <c r="M123" s="222"/>
      <c r="N123" s="289"/>
      <c r="O123" s="222"/>
      <c r="P123" s="222"/>
      <c r="Q123" s="222"/>
      <c r="V123" s="133"/>
    </row>
    <row r="124" spans="1:40" x14ac:dyDescent="0.25">
      <c r="A124" s="289"/>
      <c r="B124" s="350" t="s">
        <v>1054</v>
      </c>
      <c r="C124" s="149">
        <f>'Inputs and eligible population'!H94</f>
        <v>0</v>
      </c>
      <c r="D124" s="128">
        <f>($C124*D58)/60</f>
        <v>0</v>
      </c>
      <c r="E124" s="128">
        <f t="shared" ref="E124:I124" si="44">($C124*E58)/60</f>
        <v>0</v>
      </c>
      <c r="F124" s="128">
        <f t="shared" si="44"/>
        <v>0</v>
      </c>
      <c r="G124" s="128">
        <f t="shared" si="44"/>
        <v>0</v>
      </c>
      <c r="H124" s="128">
        <f t="shared" si="44"/>
        <v>0</v>
      </c>
      <c r="I124" s="128">
        <f t="shared" si="44"/>
        <v>0</v>
      </c>
      <c r="J124" s="289"/>
      <c r="K124" s="289"/>
      <c r="L124" s="222"/>
      <c r="M124" s="222"/>
      <c r="N124" s="289"/>
      <c r="O124" s="222"/>
      <c r="P124" s="222"/>
      <c r="Q124" s="222"/>
      <c r="V124" s="133"/>
    </row>
    <row r="125" spans="1:40" x14ac:dyDescent="0.25">
      <c r="A125" s="289"/>
      <c r="B125" s="283"/>
      <c r="C125" s="208"/>
      <c r="D125" s="186">
        <f t="shared" ref="D125:I125" si="45">SUM(D122:D124)</f>
        <v>0</v>
      </c>
      <c r="E125" s="186">
        <f t="shared" si="45"/>
        <v>0</v>
      </c>
      <c r="F125" s="186">
        <f t="shared" si="45"/>
        <v>0</v>
      </c>
      <c r="G125" s="186">
        <f t="shared" si="45"/>
        <v>0</v>
      </c>
      <c r="H125" s="186">
        <f t="shared" si="45"/>
        <v>0</v>
      </c>
      <c r="I125" s="186">
        <f t="shared" si="45"/>
        <v>0</v>
      </c>
      <c r="J125" s="289"/>
      <c r="K125" s="289"/>
      <c r="L125" s="222"/>
      <c r="M125" s="222"/>
      <c r="N125" s="289"/>
      <c r="O125" s="222"/>
      <c r="P125" s="222"/>
      <c r="Q125" s="222"/>
      <c r="V125" s="133"/>
    </row>
    <row r="126" spans="1:40" x14ac:dyDescent="0.25">
      <c r="A126" s="289"/>
      <c r="B126" s="305"/>
      <c r="C126" s="226"/>
      <c r="D126" s="285" t="s">
        <v>175</v>
      </c>
      <c r="E126" s="186">
        <f>E125-$D$125</f>
        <v>0</v>
      </c>
      <c r="F126" s="186">
        <f>F125-$D$125</f>
        <v>0</v>
      </c>
      <c r="G126" s="186">
        <f>G125-$D$125</f>
        <v>0</v>
      </c>
      <c r="H126" s="186">
        <f>H125-$D$125</f>
        <v>0</v>
      </c>
      <c r="I126" s="186">
        <f>I125-$D$125</f>
        <v>0</v>
      </c>
      <c r="J126" s="289"/>
      <c r="K126" s="289"/>
      <c r="L126" s="222"/>
      <c r="M126" s="222"/>
      <c r="N126" s="289"/>
      <c r="O126" s="222"/>
      <c r="P126" s="222"/>
      <c r="Q126" s="222"/>
      <c r="V126" s="133"/>
    </row>
    <row r="127" spans="1:40" x14ac:dyDescent="0.25">
      <c r="A127" s="289"/>
      <c r="B127" s="326"/>
      <c r="C127" s="393"/>
      <c r="D127" s="222"/>
      <c r="E127" s="222"/>
      <c r="F127" s="222"/>
      <c r="G127" s="222"/>
      <c r="H127" s="222"/>
      <c r="I127" s="222"/>
      <c r="J127" s="222"/>
      <c r="K127" s="222"/>
      <c r="L127" s="222"/>
      <c r="M127" s="222"/>
      <c r="N127" s="289"/>
      <c r="O127" s="222"/>
      <c r="P127" s="222"/>
      <c r="Q127" s="222"/>
      <c r="R127" s="133"/>
      <c r="S127" s="133"/>
      <c r="T127" s="133"/>
      <c r="U127" s="133"/>
      <c r="V127" s="133"/>
      <c r="W127" s="133"/>
      <c r="X127" s="133"/>
      <c r="Y127" s="133"/>
      <c r="Z127" s="133"/>
      <c r="AJ127" s="286"/>
      <c r="AK127" s="286"/>
      <c r="AL127" s="286"/>
      <c r="AM127" s="286"/>
      <c r="AN127" s="286"/>
    </row>
    <row r="128" spans="1:40" x14ac:dyDescent="0.25">
      <c r="A128" s="330"/>
      <c r="B128" s="331" t="s">
        <v>762</v>
      </c>
      <c r="C128" s="332"/>
      <c r="D128" s="332"/>
      <c r="E128" s="333"/>
      <c r="F128" s="334"/>
      <c r="G128" s="335"/>
      <c r="H128" s="335"/>
      <c r="I128" s="386"/>
      <c r="J128" s="330"/>
      <c r="K128" s="330"/>
      <c r="L128" s="330"/>
      <c r="M128" s="330"/>
      <c r="N128" s="330"/>
      <c r="O128" s="330"/>
      <c r="P128" s="330"/>
      <c r="Q128" s="407"/>
      <c r="R128" s="133"/>
      <c r="S128" s="133"/>
      <c r="T128" s="133"/>
      <c r="U128" s="133"/>
      <c r="V128" s="133"/>
      <c r="W128" s="133"/>
      <c r="X128" s="133"/>
      <c r="Y128" s="133"/>
      <c r="Z128" s="133"/>
      <c r="AJ128" s="286"/>
      <c r="AK128" s="286"/>
      <c r="AL128" s="286"/>
      <c r="AM128" s="286"/>
      <c r="AN128" s="286"/>
    </row>
    <row r="129" spans="1:40" x14ac:dyDescent="0.25">
      <c r="A129" s="330"/>
      <c r="B129" s="396" t="s">
        <v>99</v>
      </c>
      <c r="C129" s="397"/>
      <c r="D129" s="397"/>
      <c r="E129" s="397"/>
      <c r="F129" s="397"/>
      <c r="G129" s="397"/>
      <c r="H129" s="397"/>
      <c r="I129" s="336"/>
      <c r="J129" s="407"/>
      <c r="K129" s="407"/>
      <c r="L129" s="435"/>
      <c r="M129" s="435"/>
      <c r="N129" s="435"/>
      <c r="O129" s="435"/>
      <c r="P129" s="435"/>
      <c r="Q129" s="435"/>
      <c r="R129" s="133"/>
      <c r="S129" s="133"/>
      <c r="T129" s="133"/>
      <c r="U129" s="133"/>
      <c r="V129" s="133"/>
      <c r="W129" s="133"/>
      <c r="X129" s="133"/>
      <c r="Y129" s="133"/>
      <c r="Z129" s="133"/>
      <c r="AJ129" s="286"/>
      <c r="AK129" s="286"/>
      <c r="AL129" s="286"/>
      <c r="AM129" s="286"/>
      <c r="AN129" s="286"/>
    </row>
    <row r="130" spans="1:40" ht="45" x14ac:dyDescent="0.25">
      <c r="A130" s="330"/>
      <c r="B130" s="279" t="s">
        <v>124</v>
      </c>
      <c r="C130" s="165" t="s">
        <v>99</v>
      </c>
      <c r="D130" s="423" t="s">
        <v>730</v>
      </c>
      <c r="E130" s="257" t="s">
        <v>50</v>
      </c>
      <c r="F130" s="257" t="s">
        <v>51</v>
      </c>
      <c r="G130" s="164" t="s">
        <v>731</v>
      </c>
      <c r="H130" s="164" t="s">
        <v>732</v>
      </c>
      <c r="I130" s="257" t="s">
        <v>733</v>
      </c>
      <c r="J130" s="330"/>
      <c r="K130" s="670" t="s">
        <v>929</v>
      </c>
      <c r="L130" s="423" t="s">
        <v>730</v>
      </c>
      <c r="M130" s="257" t="s">
        <v>50</v>
      </c>
      <c r="N130" s="257" t="s">
        <v>51</v>
      </c>
      <c r="O130" s="164" t="s">
        <v>731</v>
      </c>
      <c r="P130" s="164" t="s">
        <v>732</v>
      </c>
      <c r="Q130" s="257" t="s">
        <v>733</v>
      </c>
      <c r="R130" s="133"/>
      <c r="S130" s="133"/>
      <c r="T130" s="133"/>
      <c r="U130" s="133"/>
      <c r="V130" s="133"/>
      <c r="W130" s="133"/>
      <c r="X130" s="133"/>
      <c r="Y130" s="133"/>
      <c r="Z130" s="133"/>
      <c r="AJ130" s="286"/>
      <c r="AK130" s="286"/>
      <c r="AL130" s="286"/>
      <c r="AM130" s="286"/>
      <c r="AN130" s="286"/>
    </row>
    <row r="131" spans="1:40" x14ac:dyDescent="0.25">
      <c r="A131" s="330"/>
      <c r="B131" s="350" t="s">
        <v>1052</v>
      </c>
      <c r="C131" s="149">
        <f>'Inputs and eligible population'!F95</f>
        <v>0</v>
      </c>
      <c r="D131" s="128">
        <f>'Financial impact (cash)'!D14*$C131</f>
        <v>0</v>
      </c>
      <c r="E131" s="128">
        <f>'Financial impact (cash)'!E14*$C131</f>
        <v>0</v>
      </c>
      <c r="F131" s="128">
        <f>'Financial impact (cash)'!F14*$C131</f>
        <v>0</v>
      </c>
      <c r="G131" s="128">
        <f>'Financial impact (cash)'!G14*$C131</f>
        <v>0</v>
      </c>
      <c r="H131" s="128">
        <f>'Financial impact (cash)'!H14*$C131</f>
        <v>0</v>
      </c>
      <c r="I131" s="128">
        <f>'Financial impact (cash)'!I14*$C131</f>
        <v>0</v>
      </c>
      <c r="J131" s="330"/>
      <c r="K131" s="671">
        <f>'Unit costs'!$N$53</f>
        <v>0</v>
      </c>
      <c r="L131" s="292">
        <f>(D131*'Unit costs'!$N$53)/1000</f>
        <v>0</v>
      </c>
      <c r="M131" s="292">
        <f>(E131*'Unit costs'!$N$53)/1000</f>
        <v>0</v>
      </c>
      <c r="N131" s="292">
        <f>(F131*'Unit costs'!$N$53)/1000</f>
        <v>0</v>
      </c>
      <c r="O131" s="292">
        <f>(G131*'Unit costs'!$N$53)/1000</f>
        <v>0</v>
      </c>
      <c r="P131" s="292">
        <f>(H131*'Unit costs'!$N$53)/1000</f>
        <v>0</v>
      </c>
      <c r="Q131" s="292">
        <f>(I131*'Unit costs'!$N$53)/1000</f>
        <v>0</v>
      </c>
      <c r="R131" s="133"/>
      <c r="S131" s="133"/>
      <c r="T131" s="133"/>
      <c r="U131" s="133"/>
      <c r="V131" s="133"/>
      <c r="W131" s="133"/>
      <c r="X131" s="133"/>
      <c r="Y131" s="133"/>
      <c r="Z131" s="133"/>
      <c r="AJ131" s="286"/>
      <c r="AK131" s="286"/>
      <c r="AL131" s="286"/>
      <c r="AM131" s="286"/>
      <c r="AN131" s="286"/>
    </row>
    <row r="132" spans="1:40" x14ac:dyDescent="0.25">
      <c r="A132" s="330"/>
      <c r="B132" s="350" t="s">
        <v>1053</v>
      </c>
      <c r="C132" s="149">
        <f>'Inputs and eligible population'!G95</f>
        <v>0</v>
      </c>
      <c r="D132" s="128">
        <f>'Financial impact (cash)'!D15*$C132</f>
        <v>0</v>
      </c>
      <c r="E132" s="128">
        <f>'Financial impact (cash)'!E15*$C132</f>
        <v>0</v>
      </c>
      <c r="F132" s="128">
        <f>'Financial impact (cash)'!F15*$C132</f>
        <v>0</v>
      </c>
      <c r="G132" s="128">
        <f>'Financial impact (cash)'!G15*$C132</f>
        <v>0</v>
      </c>
      <c r="H132" s="128">
        <f>'Financial impact (cash)'!H15*$C132</f>
        <v>0</v>
      </c>
      <c r="I132" s="128">
        <f>'Financial impact (cash)'!I15*$C132</f>
        <v>0</v>
      </c>
      <c r="J132" s="330"/>
      <c r="K132" s="671">
        <f>'Unit costs'!$N$53</f>
        <v>0</v>
      </c>
      <c r="L132" s="292">
        <f>(D132*'Unit costs'!$N$53)/1000</f>
        <v>0</v>
      </c>
      <c r="M132" s="292">
        <f>(E132*'Unit costs'!$N$53)/1000</f>
        <v>0</v>
      </c>
      <c r="N132" s="292">
        <f>(F132*'Unit costs'!$N$53)/1000</f>
        <v>0</v>
      </c>
      <c r="O132" s="292">
        <f>(G132*'Unit costs'!$N$53)/1000</f>
        <v>0</v>
      </c>
      <c r="P132" s="292">
        <f>(H132*'Unit costs'!$N$53)/1000</f>
        <v>0</v>
      </c>
      <c r="Q132" s="292">
        <f>(I132*'Unit costs'!$N$53)/1000</f>
        <v>0</v>
      </c>
      <c r="R132" s="133"/>
      <c r="S132" s="133"/>
      <c r="T132" s="133"/>
      <c r="U132" s="133"/>
      <c r="V132" s="133"/>
      <c r="W132" s="133"/>
      <c r="X132" s="133"/>
      <c r="Y132" s="133"/>
      <c r="Z132" s="133"/>
      <c r="AJ132" s="286"/>
      <c r="AK132" s="286"/>
      <c r="AL132" s="286"/>
      <c r="AM132" s="286"/>
      <c r="AN132" s="286"/>
    </row>
    <row r="133" spans="1:40" x14ac:dyDescent="0.25">
      <c r="A133" s="330"/>
      <c r="B133" s="350" t="s">
        <v>1054</v>
      </c>
      <c r="C133" s="149">
        <f>'Inputs and eligible population'!H95</f>
        <v>0</v>
      </c>
      <c r="D133" s="128">
        <f>'Financial impact (cash)'!D16*$C133</f>
        <v>0</v>
      </c>
      <c r="E133" s="128">
        <f>'Financial impact (cash)'!E16*$C133</f>
        <v>0</v>
      </c>
      <c r="F133" s="128">
        <f>'Financial impact (cash)'!F16*$C133</f>
        <v>0</v>
      </c>
      <c r="G133" s="128">
        <f>'Financial impact (cash)'!G16*$C133</f>
        <v>0</v>
      </c>
      <c r="H133" s="128">
        <f>'Financial impact (cash)'!H16*$C133</f>
        <v>0</v>
      </c>
      <c r="I133" s="128">
        <f>'Financial impact (cash)'!I16*$C133</f>
        <v>0</v>
      </c>
      <c r="J133" s="330"/>
      <c r="K133" s="671">
        <f>'Unit costs'!$N$53</f>
        <v>0</v>
      </c>
      <c r="L133" s="292">
        <f>(D133*'Unit costs'!$N$53)/1000</f>
        <v>0</v>
      </c>
      <c r="M133" s="292">
        <f>(E133*'Unit costs'!$N$53)/1000</f>
        <v>0</v>
      </c>
      <c r="N133" s="292">
        <f>(F133*'Unit costs'!$N$53)/1000</f>
        <v>0</v>
      </c>
      <c r="O133" s="292">
        <f>(G133*'Unit costs'!$N$53)/1000</f>
        <v>0</v>
      </c>
      <c r="P133" s="292">
        <f>(H133*'Unit costs'!$N$53)/1000</f>
        <v>0</v>
      </c>
      <c r="Q133" s="292">
        <f>(I133*'Unit costs'!$N$53)/1000</f>
        <v>0</v>
      </c>
      <c r="R133" s="133"/>
      <c r="S133" s="133"/>
      <c r="T133" s="133"/>
      <c r="U133" s="133"/>
      <c r="V133" s="133"/>
      <c r="W133" s="133"/>
      <c r="X133" s="133"/>
      <c r="Y133" s="133"/>
      <c r="Z133" s="133"/>
      <c r="AJ133" s="286"/>
      <c r="AK133" s="286"/>
      <c r="AL133" s="286"/>
      <c r="AM133" s="286"/>
      <c r="AN133" s="286"/>
    </row>
    <row r="134" spans="1:40" x14ac:dyDescent="0.25">
      <c r="A134" s="330"/>
      <c r="B134" s="350" t="s">
        <v>997</v>
      </c>
      <c r="C134" s="149">
        <f>'Inputs and eligible population'!I95</f>
        <v>0</v>
      </c>
      <c r="D134" s="128">
        <f>'Financial impact (cash)'!D17*$C134</f>
        <v>0</v>
      </c>
      <c r="E134" s="128">
        <f>'Financial impact (cash)'!E17*$C134</f>
        <v>0</v>
      </c>
      <c r="F134" s="128">
        <f>'Financial impact (cash)'!F17*$C134</f>
        <v>0</v>
      </c>
      <c r="G134" s="128">
        <f>'Financial impact (cash)'!G17*$C134</f>
        <v>0</v>
      </c>
      <c r="H134" s="128">
        <f>'Financial impact (cash)'!H17*$C134</f>
        <v>0</v>
      </c>
      <c r="I134" s="128">
        <f>'Financial impact (cash)'!I17*$C134</f>
        <v>0</v>
      </c>
      <c r="J134" s="330"/>
      <c r="K134" s="671">
        <f>'Unit costs'!$N$53</f>
        <v>0</v>
      </c>
      <c r="L134" s="292">
        <f>(D134*'Unit costs'!$N$53)/1000</f>
        <v>0</v>
      </c>
      <c r="M134" s="292">
        <f>(E134*'Unit costs'!$N$53)/1000</f>
        <v>0</v>
      </c>
      <c r="N134" s="292">
        <f>(F134*'Unit costs'!$N$53)/1000</f>
        <v>0</v>
      </c>
      <c r="O134" s="292">
        <f>(G134*'Unit costs'!$N$53)/1000</f>
        <v>0</v>
      </c>
      <c r="P134" s="292">
        <f>(H134*'Unit costs'!$N$53)/1000</f>
        <v>0</v>
      </c>
      <c r="Q134" s="292">
        <f>(I134*'Unit costs'!$N$53)/1000</f>
        <v>0</v>
      </c>
      <c r="R134" s="133"/>
      <c r="S134" s="133"/>
      <c r="T134" s="133"/>
      <c r="U134" s="133"/>
      <c r="V134" s="133"/>
      <c r="W134" s="133"/>
      <c r="X134" s="133"/>
      <c r="Y134" s="133"/>
      <c r="Z134" s="133"/>
      <c r="AJ134" s="286"/>
      <c r="AK134" s="286"/>
      <c r="AL134" s="286"/>
      <c r="AM134" s="286"/>
      <c r="AN134" s="286"/>
    </row>
    <row r="135" spans="1:40" x14ac:dyDescent="0.25">
      <c r="A135" s="330"/>
      <c r="B135" s="283"/>
      <c r="C135" s="208"/>
      <c r="D135" s="186">
        <f t="shared" ref="D135:I135" si="46">SUM(D131:D134)</f>
        <v>0</v>
      </c>
      <c r="E135" s="186">
        <f t="shared" si="46"/>
        <v>0</v>
      </c>
      <c r="F135" s="186">
        <f t="shared" si="46"/>
        <v>0</v>
      </c>
      <c r="G135" s="186">
        <f t="shared" si="46"/>
        <v>0</v>
      </c>
      <c r="H135" s="186">
        <f t="shared" si="46"/>
        <v>0</v>
      </c>
      <c r="I135" s="186">
        <f t="shared" si="46"/>
        <v>0</v>
      </c>
      <c r="J135" s="330"/>
      <c r="K135" s="330"/>
      <c r="L135" s="293">
        <f t="shared" ref="L135:Q135" si="47">SUM(L131:L134)</f>
        <v>0</v>
      </c>
      <c r="M135" s="293">
        <f t="shared" si="47"/>
        <v>0</v>
      </c>
      <c r="N135" s="293">
        <f t="shared" si="47"/>
        <v>0</v>
      </c>
      <c r="O135" s="293">
        <f t="shared" si="47"/>
        <v>0</v>
      </c>
      <c r="P135" s="293">
        <f t="shared" si="47"/>
        <v>0</v>
      </c>
      <c r="Q135" s="293">
        <f t="shared" si="47"/>
        <v>0</v>
      </c>
      <c r="R135" s="133"/>
      <c r="S135" s="133"/>
      <c r="T135" s="133"/>
      <c r="U135" s="133"/>
      <c r="V135" s="133"/>
      <c r="W135" s="133"/>
      <c r="X135" s="133"/>
      <c r="Y135" s="133"/>
      <c r="Z135" s="133"/>
      <c r="AJ135" s="286"/>
      <c r="AK135" s="286"/>
      <c r="AL135" s="286"/>
      <c r="AM135" s="286"/>
      <c r="AN135" s="286"/>
    </row>
    <row r="136" spans="1:40" x14ac:dyDescent="0.25">
      <c r="A136" s="330"/>
      <c r="B136" s="305"/>
      <c r="C136" s="258"/>
      <c r="D136" s="285" t="s">
        <v>763</v>
      </c>
      <c r="E136" s="186">
        <f>E135-$D$135</f>
        <v>0</v>
      </c>
      <c r="F136" s="186">
        <f>F135-$D$135</f>
        <v>0</v>
      </c>
      <c r="G136" s="186">
        <f>G135-$D$135</f>
        <v>0</v>
      </c>
      <c r="H136" s="186">
        <f>H135-$D$135</f>
        <v>0</v>
      </c>
      <c r="I136" s="186">
        <f>I135-$D$135</f>
        <v>0</v>
      </c>
      <c r="J136" s="330"/>
      <c r="K136" s="330"/>
      <c r="L136" s="535"/>
      <c r="M136" s="293">
        <f>M135-$L$135</f>
        <v>0</v>
      </c>
      <c r="N136" s="293">
        <f>N135-$L$135</f>
        <v>0</v>
      </c>
      <c r="O136" s="293">
        <f>O135-$L$135</f>
        <v>0</v>
      </c>
      <c r="P136" s="293">
        <f>P135-$L$135</f>
        <v>0</v>
      </c>
      <c r="Q136" s="293">
        <f>Q135-$L$135</f>
        <v>0</v>
      </c>
      <c r="V136" s="133"/>
    </row>
    <row r="137" spans="1:40" x14ac:dyDescent="0.25">
      <c r="A137" s="330"/>
      <c r="B137" s="330"/>
      <c r="C137" s="330"/>
      <c r="D137" s="330"/>
      <c r="E137" s="330"/>
      <c r="F137" s="330"/>
      <c r="G137" s="330"/>
      <c r="H137" s="330"/>
      <c r="I137" s="330"/>
      <c r="J137" s="330"/>
      <c r="K137" s="330"/>
      <c r="L137" s="330"/>
      <c r="M137" s="330"/>
      <c r="N137" s="330"/>
      <c r="O137" s="330"/>
      <c r="P137" s="330"/>
      <c r="Q137" s="330"/>
      <c r="V137" s="133"/>
    </row>
    <row r="138" spans="1:40" x14ac:dyDescent="0.25">
      <c r="A138" s="290"/>
      <c r="B138" s="327" t="s">
        <v>764</v>
      </c>
      <c r="C138" s="311"/>
      <c r="D138" s="312"/>
      <c r="E138" s="313"/>
      <c r="F138" s="314"/>
      <c r="G138" s="314"/>
      <c r="H138" s="314"/>
      <c r="I138" s="436"/>
      <c r="J138" s="290"/>
      <c r="K138" s="290"/>
      <c r="L138" s="290"/>
      <c r="M138" s="290"/>
      <c r="N138" s="290"/>
      <c r="O138" s="290"/>
      <c r="P138" s="290"/>
      <c r="Q138" s="224"/>
      <c r="R138" s="133"/>
      <c r="S138" s="133"/>
      <c r="T138" s="133"/>
      <c r="U138" s="133"/>
      <c r="V138" s="133"/>
      <c r="W138" s="133"/>
      <c r="X138" s="133"/>
      <c r="Y138" s="133"/>
      <c r="Z138" s="133"/>
      <c r="AJ138" s="286"/>
      <c r="AK138" s="286"/>
      <c r="AL138" s="286"/>
      <c r="AM138" s="286"/>
      <c r="AN138" s="286"/>
    </row>
    <row r="139" spans="1:40" x14ac:dyDescent="0.25">
      <c r="A139" s="290"/>
      <c r="B139" s="398" t="s">
        <v>959</v>
      </c>
      <c r="C139" s="399"/>
      <c r="D139" s="399"/>
      <c r="E139" s="399"/>
      <c r="F139" s="399"/>
      <c r="G139" s="399"/>
      <c r="H139" s="399"/>
      <c r="I139" s="223"/>
      <c r="J139" s="290"/>
      <c r="K139" s="290"/>
      <c r="L139" s="290"/>
      <c r="M139" s="290"/>
      <c r="N139" s="290"/>
      <c r="O139" s="290"/>
      <c r="P139" s="290"/>
      <c r="Q139" s="224"/>
      <c r="R139" s="133"/>
      <c r="S139" s="133"/>
      <c r="T139" s="133"/>
      <c r="U139" s="133"/>
      <c r="V139" s="133"/>
      <c r="W139" s="133"/>
      <c r="X139" s="133"/>
      <c r="Y139" s="133"/>
      <c r="Z139" s="133"/>
      <c r="AJ139" s="286"/>
      <c r="AK139" s="286"/>
      <c r="AL139" s="286"/>
      <c r="AM139" s="286"/>
      <c r="AN139" s="286"/>
    </row>
    <row r="140" spans="1:40" ht="45" x14ac:dyDescent="0.25">
      <c r="A140" s="290"/>
      <c r="B140" s="279" t="s">
        <v>124</v>
      </c>
      <c r="C140" s="165" t="s">
        <v>959</v>
      </c>
      <c r="D140" s="423" t="s">
        <v>730</v>
      </c>
      <c r="E140" s="257" t="s">
        <v>50</v>
      </c>
      <c r="F140" s="257" t="s">
        <v>51</v>
      </c>
      <c r="G140" s="164" t="s">
        <v>731</v>
      </c>
      <c r="H140" s="164" t="s">
        <v>732</v>
      </c>
      <c r="I140" s="257" t="s">
        <v>733</v>
      </c>
      <c r="J140" s="290"/>
      <c r="K140" s="290"/>
      <c r="L140" s="290"/>
      <c r="M140" s="290"/>
      <c r="N140" s="290"/>
      <c r="O140" s="290"/>
      <c r="P140" s="290"/>
      <c r="Q140" s="224"/>
      <c r="R140" s="133"/>
      <c r="S140" s="133"/>
      <c r="T140" s="133"/>
      <c r="U140" s="133"/>
      <c r="V140" s="133"/>
      <c r="W140" s="133"/>
      <c r="X140" s="133"/>
      <c r="Y140" s="133"/>
      <c r="Z140" s="133"/>
      <c r="AJ140" s="286"/>
      <c r="AK140" s="286"/>
      <c r="AL140" s="286"/>
      <c r="AM140" s="286"/>
      <c r="AN140" s="286"/>
    </row>
    <row r="141" spans="1:40" x14ac:dyDescent="0.25">
      <c r="A141" s="290"/>
      <c r="B141" s="350" t="s">
        <v>1052</v>
      </c>
      <c r="C141" s="632">
        <f>'Inputs and eligible population'!F97</f>
        <v>1</v>
      </c>
      <c r="D141" s="128">
        <f>'Financial impact (cash)'!D14*$C141</f>
        <v>0</v>
      </c>
      <c r="E141" s="128">
        <f>'Financial impact (cash)'!E14*$C141</f>
        <v>686.8725875033474</v>
      </c>
      <c r="F141" s="128">
        <f>'Financial impact (cash)'!F14*$C141</f>
        <v>1907.1120220468399</v>
      </c>
      <c r="G141" s="128">
        <f>'Financial impact (cash)'!G14*$C141</f>
        <v>1925.5000289755599</v>
      </c>
      <c r="H141" s="128">
        <f>'Financial impact (cash)'!H14*$C141</f>
        <v>1944.0653295267316</v>
      </c>
      <c r="I141" s="128">
        <f>'Financial impact (cash)'!I14*$C141</f>
        <v>1962.8096331313277</v>
      </c>
      <c r="J141" s="290"/>
      <c r="K141" s="290"/>
      <c r="L141" s="290"/>
      <c r="M141" s="290"/>
      <c r="N141" s="290"/>
      <c r="O141" s="290"/>
      <c r="P141" s="290"/>
      <c r="Q141" s="224"/>
      <c r="R141" s="133"/>
      <c r="S141" s="133"/>
      <c r="T141" s="133"/>
      <c r="U141" s="133"/>
      <c r="V141" s="133"/>
      <c r="W141" s="133"/>
      <c r="X141" s="133"/>
      <c r="Y141" s="133"/>
      <c r="Z141" s="133"/>
      <c r="AJ141" s="286"/>
      <c r="AK141" s="286"/>
      <c r="AL141" s="286"/>
      <c r="AM141" s="286"/>
      <c r="AN141" s="286"/>
    </row>
    <row r="142" spans="1:40" x14ac:dyDescent="0.25">
      <c r="A142" s="290"/>
      <c r="B142" s="350" t="s">
        <v>1053</v>
      </c>
      <c r="C142" s="632">
        <f>'Inputs and eligible population'!G97</f>
        <v>1</v>
      </c>
      <c r="D142" s="128">
        <f>'Financial impact (cash)'!D15*$C142</f>
        <v>1326.6106214400002</v>
      </c>
      <c r="E142" s="128">
        <f>'Financial impact (cash)'!E15*$C142</f>
        <v>927.27799312951902</v>
      </c>
      <c r="F142" s="128">
        <f>'Financial impact (cash)'!F15*$C142</f>
        <v>242.7233482605069</v>
      </c>
      <c r="G142" s="128">
        <f>'Financial impact (cash)'!G15*$C142</f>
        <v>245.0636400514349</v>
      </c>
      <c r="H142" s="128">
        <f>'Financial impact (cash)'!H15*$C142</f>
        <v>247.42649648522038</v>
      </c>
      <c r="I142" s="128">
        <f>'Financial impact (cash)'!I15*$C142</f>
        <v>249.81213512580533</v>
      </c>
      <c r="J142" s="290"/>
      <c r="K142" s="290"/>
      <c r="L142" s="290"/>
      <c r="M142" s="290"/>
      <c r="N142" s="290"/>
      <c r="O142" s="290"/>
      <c r="P142" s="290"/>
      <c r="Q142" s="224"/>
      <c r="R142" s="133"/>
      <c r="S142" s="133"/>
      <c r="T142" s="133"/>
      <c r="U142" s="133"/>
      <c r="V142" s="133"/>
      <c r="W142" s="133"/>
      <c r="X142" s="133"/>
      <c r="Y142" s="133"/>
      <c r="Z142" s="133"/>
      <c r="AJ142" s="286"/>
      <c r="AK142" s="286"/>
      <c r="AL142" s="286"/>
      <c r="AM142" s="286"/>
      <c r="AN142" s="286"/>
    </row>
    <row r="143" spans="1:40" x14ac:dyDescent="0.25">
      <c r="A143" s="290"/>
      <c r="B143" s="350" t="s">
        <v>1054</v>
      </c>
      <c r="C143" s="632">
        <f>'Inputs and eligible population'!H97</f>
        <v>1</v>
      </c>
      <c r="D143" s="128">
        <f>'Financial impact (cash)'!D16*$C143</f>
        <v>952.43839488000015</v>
      </c>
      <c r="E143" s="128">
        <f>'Financial impact (cash)'!E16*$C143</f>
        <v>686.8725875033474</v>
      </c>
      <c r="F143" s="128">
        <f>'Financial impact (cash)'!F16*$C143</f>
        <v>173.37382018607636</v>
      </c>
      <c r="G143" s="128">
        <f>'Financial impact (cash)'!G16*$C143</f>
        <v>175.04545717959635</v>
      </c>
      <c r="H143" s="128">
        <f>'Financial impact (cash)'!H16*$C143</f>
        <v>176.73321177515743</v>
      </c>
      <c r="I143" s="128">
        <f>'Financial impact (cash)'!I16*$C143</f>
        <v>178.43723937557525</v>
      </c>
      <c r="J143" s="290"/>
      <c r="K143" s="290"/>
      <c r="L143" s="290"/>
      <c r="M143" s="290"/>
      <c r="N143" s="290"/>
      <c r="O143" s="290"/>
      <c r="P143" s="290"/>
      <c r="Q143" s="224"/>
      <c r="R143" s="133"/>
      <c r="S143" s="133"/>
      <c r="T143" s="133"/>
      <c r="U143" s="133"/>
      <c r="V143" s="133"/>
      <c r="W143" s="133"/>
      <c r="X143" s="133"/>
      <c r="Y143" s="133"/>
      <c r="Z143" s="133"/>
      <c r="AJ143" s="286"/>
      <c r="AK143" s="286"/>
      <c r="AL143" s="286"/>
      <c r="AM143" s="286"/>
      <c r="AN143" s="286"/>
    </row>
    <row r="144" spans="1:40" x14ac:dyDescent="0.25">
      <c r="A144" s="290"/>
      <c r="B144" s="350" t="s">
        <v>997</v>
      </c>
      <c r="C144" s="632">
        <f>'Inputs and eligible population'!I97</f>
        <v>1</v>
      </c>
      <c r="D144" s="128">
        <f>'Financial impact (cash)'!D17*$C144</f>
        <v>1122.5166796800002</v>
      </c>
      <c r="E144" s="128">
        <f>'Financial impact (cash)'!E17*$C144</f>
        <v>1133.3397693805232</v>
      </c>
      <c r="F144" s="128">
        <f>'Financial impact (cash)'!F17*$C144</f>
        <v>1144.2672132281039</v>
      </c>
      <c r="G144" s="128">
        <f>'Financial impact (cash)'!G17*$C144</f>
        <v>1155.3000173853359</v>
      </c>
      <c r="H144" s="128">
        <f>'Financial impact (cash)'!H17*$C144</f>
        <v>1166.439197716039</v>
      </c>
      <c r="I144" s="128">
        <f>'Financial impact (cash)'!I17*$C144</f>
        <v>1177.6857798787964</v>
      </c>
      <c r="J144" s="290"/>
      <c r="K144" s="290"/>
      <c r="L144" s="290"/>
      <c r="M144" s="290"/>
      <c r="N144" s="290"/>
      <c r="O144" s="290"/>
      <c r="P144" s="290"/>
      <c r="Q144" s="224"/>
      <c r="R144" s="133"/>
      <c r="S144" s="133"/>
      <c r="T144" s="133"/>
      <c r="U144" s="133"/>
      <c r="V144" s="133"/>
      <c r="W144" s="133"/>
      <c r="X144" s="133"/>
      <c r="Y144" s="133"/>
      <c r="Z144" s="133"/>
      <c r="AJ144" s="286"/>
      <c r="AK144" s="286"/>
      <c r="AL144" s="286"/>
      <c r="AM144" s="286"/>
      <c r="AN144" s="286"/>
    </row>
    <row r="145" spans="1:40" x14ac:dyDescent="0.25">
      <c r="A145" s="290"/>
      <c r="B145" s="283"/>
      <c r="C145" s="208"/>
      <c r="D145" s="186">
        <f t="shared" ref="D145:I145" si="48">SUM(D141:D144)</f>
        <v>3401.5656960000006</v>
      </c>
      <c r="E145" s="186">
        <f t="shared" si="48"/>
        <v>3434.362937516737</v>
      </c>
      <c r="F145" s="186">
        <f t="shared" si="48"/>
        <v>3467.4764037215273</v>
      </c>
      <c r="G145" s="186">
        <f t="shared" si="48"/>
        <v>3500.9091435919272</v>
      </c>
      <c r="H145" s="186">
        <f t="shared" si="48"/>
        <v>3534.6642355031486</v>
      </c>
      <c r="I145" s="186">
        <f t="shared" si="48"/>
        <v>3568.7447875115049</v>
      </c>
      <c r="J145" s="290"/>
      <c r="K145" s="290"/>
      <c r="L145" s="290"/>
      <c r="M145" s="290"/>
      <c r="N145" s="290"/>
      <c r="O145" s="290"/>
      <c r="P145" s="290"/>
      <c r="Q145" s="224"/>
      <c r="R145" s="133"/>
      <c r="S145" s="133"/>
      <c r="T145" s="133"/>
      <c r="U145" s="133"/>
      <c r="V145" s="133"/>
      <c r="W145" s="133"/>
      <c r="X145" s="133"/>
      <c r="Y145" s="133"/>
      <c r="Z145" s="133"/>
      <c r="AJ145" s="286"/>
      <c r="AK145" s="286"/>
      <c r="AL145" s="286"/>
      <c r="AM145" s="286"/>
      <c r="AN145" s="286"/>
    </row>
    <row r="146" spans="1:40" x14ac:dyDescent="0.25">
      <c r="A146" s="290"/>
      <c r="B146" s="305"/>
      <c r="C146" s="258"/>
      <c r="D146" s="285" t="s">
        <v>960</v>
      </c>
      <c r="E146" s="186">
        <f>E145-$D$145</f>
        <v>32.797241516736449</v>
      </c>
      <c r="F146" s="186">
        <f t="shared" ref="F146:I146" si="49">F145-$D$145</f>
        <v>65.910707721526705</v>
      </c>
      <c r="G146" s="186">
        <f t="shared" si="49"/>
        <v>99.343447591926633</v>
      </c>
      <c r="H146" s="186">
        <f t="shared" si="49"/>
        <v>133.098539503148</v>
      </c>
      <c r="I146" s="186">
        <f t="shared" si="49"/>
        <v>167.17909151150434</v>
      </c>
      <c r="J146" s="290"/>
      <c r="K146" s="290"/>
      <c r="L146" s="290"/>
      <c r="M146" s="290"/>
      <c r="N146" s="290"/>
      <c r="O146" s="290"/>
      <c r="P146" s="290"/>
      <c r="Q146" s="224"/>
      <c r="V146" s="133"/>
    </row>
    <row r="147" spans="1:40" x14ac:dyDescent="0.25">
      <c r="A147" s="291"/>
      <c r="B147" s="328" t="s">
        <v>102</v>
      </c>
      <c r="C147" s="315"/>
      <c r="D147" s="316"/>
      <c r="E147" s="317"/>
      <c r="F147" s="318"/>
      <c r="G147" s="318"/>
      <c r="H147" s="318"/>
      <c r="I147" s="433"/>
      <c r="J147" s="439"/>
      <c r="K147" s="291"/>
      <c r="L147" s="291"/>
      <c r="M147" s="291"/>
      <c r="N147" s="291"/>
      <c r="O147" s="291"/>
      <c r="P147" s="291"/>
      <c r="Q147" s="291"/>
      <c r="R147" s="133"/>
      <c r="S147" s="133"/>
      <c r="T147" s="133"/>
      <c r="U147" s="133"/>
      <c r="V147" s="133"/>
      <c r="W147" s="133"/>
      <c r="X147" s="133"/>
      <c r="Y147" s="133"/>
      <c r="Z147" s="133"/>
      <c r="AJ147" s="286"/>
      <c r="AK147" s="286"/>
      <c r="AL147" s="286"/>
      <c r="AM147" s="286"/>
      <c r="AN147" s="286"/>
    </row>
    <row r="148" spans="1:40" x14ac:dyDescent="0.25">
      <c r="A148" s="291"/>
      <c r="B148" s="400" t="s">
        <v>765</v>
      </c>
      <c r="C148" s="401"/>
      <c r="D148" s="401"/>
      <c r="E148" s="401"/>
      <c r="F148" s="401"/>
      <c r="G148" s="401"/>
      <c r="H148" s="401"/>
      <c r="I148" s="225"/>
      <c r="J148" s="437"/>
      <c r="K148" s="437"/>
      <c r="L148" s="438"/>
      <c r="M148" s="438"/>
      <c r="N148" s="438"/>
      <c r="O148" s="438"/>
      <c r="P148" s="438"/>
      <c r="Q148" s="438"/>
      <c r="R148" s="133"/>
      <c r="S148" s="133"/>
      <c r="T148" s="133"/>
      <c r="U148" s="133"/>
      <c r="V148" s="133"/>
      <c r="W148" s="133"/>
      <c r="X148" s="133"/>
      <c r="Y148" s="133"/>
      <c r="Z148" s="133"/>
      <c r="AJ148" s="286"/>
      <c r="AK148" s="286"/>
      <c r="AL148" s="286"/>
      <c r="AM148" s="286"/>
      <c r="AN148" s="286"/>
    </row>
    <row r="149" spans="1:40" ht="45" x14ac:dyDescent="0.25">
      <c r="A149" s="291"/>
      <c r="B149" s="279" t="s">
        <v>124</v>
      </c>
      <c r="C149" s="210"/>
      <c r="D149" s="423" t="s">
        <v>730</v>
      </c>
      <c r="E149" s="257" t="s">
        <v>50</v>
      </c>
      <c r="F149" s="257" t="s">
        <v>51</v>
      </c>
      <c r="G149" s="164" t="s">
        <v>731</v>
      </c>
      <c r="H149" s="164" t="s">
        <v>732</v>
      </c>
      <c r="I149" s="257" t="s">
        <v>733</v>
      </c>
      <c r="J149" s="291"/>
      <c r="K149" s="291"/>
      <c r="L149" s="423" t="s">
        <v>730</v>
      </c>
      <c r="M149" s="257" t="s">
        <v>50</v>
      </c>
      <c r="N149" s="257" t="s">
        <v>51</v>
      </c>
      <c r="O149" s="164" t="s">
        <v>731</v>
      </c>
      <c r="P149" s="164" t="s">
        <v>732</v>
      </c>
      <c r="Q149" s="257" t="s">
        <v>733</v>
      </c>
      <c r="R149" s="133"/>
      <c r="S149" s="133"/>
      <c r="T149" s="133"/>
      <c r="U149" s="133"/>
      <c r="V149" s="133"/>
      <c r="W149" s="133"/>
      <c r="X149" s="133"/>
      <c r="Y149" s="133"/>
      <c r="Z149" s="133"/>
      <c r="AJ149" s="286"/>
      <c r="AK149" s="286"/>
      <c r="AL149" s="286"/>
      <c r="AM149" s="286"/>
      <c r="AN149" s="286"/>
    </row>
    <row r="150" spans="1:40" x14ac:dyDescent="0.25">
      <c r="A150" s="291"/>
      <c r="B150" s="252" t="s">
        <v>1020</v>
      </c>
      <c r="C150" s="167"/>
      <c r="D150" s="128">
        <f>('Unit costs'!$C60*'Financial impact (cash)'!D$14)+('Unit costs'!$D60*'Financial impact (cash)'!D$15)+('Unit costs'!$E60*'Financial impact (cash)'!D$16)+('Unit costs'!$F60*'Financial impact (cash)'!D$17)</f>
        <v>21.570904413658543</v>
      </c>
      <c r="E150" s="128">
        <f>('Unit costs'!$C60*'Financial impact (cash)'!E$14)+('Unit costs'!$D60*'Financial impact (cash)'!E$15)+('Unit costs'!$E60*'Financial impact (cash)'!E$16)+('Unit costs'!$F60*'Financial impact (cash)'!E$17)</f>
        <v>29.038515894450462</v>
      </c>
      <c r="F150" s="128">
        <f>('Unit costs'!$C60*'Financial impact (cash)'!F$14)+('Unit costs'!$D60*'Financial impact (cash)'!F$15)+('Unit costs'!$E60*'Financial impact (cash)'!F$16)+('Unit costs'!$F60*'Financial impact (cash)'!F$17)</f>
        <v>42.709160582423685</v>
      </c>
      <c r="G150" s="128">
        <f>('Unit costs'!$C60*'Financial impact (cash)'!G$14)+('Unit costs'!$D60*'Financial impact (cash)'!G$15)+('Unit costs'!$E60*'Financial impact (cash)'!G$16)+('Unit costs'!$F60*'Financial impact (cash)'!G$17)</f>
        <v>43.120954085705449</v>
      </c>
      <c r="H150" s="128">
        <f>('Unit costs'!$C60*'Financial impact (cash)'!H$14)+('Unit costs'!$D60*'Financial impact (cash)'!H$15)+('Unit costs'!$E60*'Financial impact (cash)'!H$16)+('Unit costs'!$F60*'Financial impact (cash)'!H$17)</f>
        <v>43.536718022660729</v>
      </c>
      <c r="I150" s="128">
        <f>('Unit costs'!$C60*'Financial impact (cash)'!I$14)+('Unit costs'!$D60*'Financial impact (cash)'!I$15)+('Unit costs'!$E60*'Financial impact (cash)'!I$16)+('Unit costs'!$F60*'Financial impact (cash)'!I$17)</f>
        <v>43.956490675446581</v>
      </c>
      <c r="J150" s="291"/>
      <c r="K150" s="291"/>
      <c r="L150" s="292">
        <f>(D150*'Unit costs'!$H60)/1000</f>
        <v>4.4083057096443001</v>
      </c>
      <c r="M150" s="292">
        <f>(E150*'Unit costs'!$H60)/1000</f>
        <v>5.9344129927184364</v>
      </c>
      <c r="N150" s="292">
        <f>(F150*'Unit costs'!$H60)/1000</f>
        <v>8.7281939059726774</v>
      </c>
      <c r="O150" s="292">
        <f>(G150*'Unit costs'!$H60)/1000</f>
        <v>8.8123494711219053</v>
      </c>
      <c r="P150" s="292">
        <f>(H150*'Unit costs'!$H60)/1000</f>
        <v>8.8973164480273166</v>
      </c>
      <c r="Q150" s="292">
        <f>(I150*'Unit costs'!$H60)/1000</f>
        <v>8.9831026601648425</v>
      </c>
      <c r="R150" s="638"/>
      <c r="S150" s="133"/>
      <c r="T150" s="133"/>
      <c r="U150" s="133"/>
      <c r="V150" s="133"/>
      <c r="W150" s="133"/>
      <c r="X150" s="133"/>
      <c r="Y150" s="133"/>
      <c r="Z150" s="133"/>
      <c r="AJ150" s="286"/>
      <c r="AK150" s="286"/>
      <c r="AL150" s="286"/>
      <c r="AM150" s="286"/>
      <c r="AN150" s="286"/>
    </row>
    <row r="151" spans="1:40" x14ac:dyDescent="0.25">
      <c r="A151" s="291"/>
      <c r="B151" s="252" t="s">
        <v>1021</v>
      </c>
      <c r="C151" s="167"/>
      <c r="D151" s="128">
        <f>('Unit costs'!$C61*'Financial impact (cash)'!D$14)+('Unit costs'!$D61*'Financial impact (cash)'!D$15)+('Unit costs'!$E61*'Financial impact (cash)'!D$16)+('Unit costs'!$F61*'Financial impact (cash)'!D$17)</f>
        <v>0</v>
      </c>
      <c r="E151" s="128">
        <f>('Unit costs'!$C61*'Financial impact (cash)'!E$14)+('Unit costs'!$D61*'Financial impact (cash)'!E$15)+('Unit costs'!$E61*'Financial impact (cash)'!E$16)+('Unit costs'!$F61*'Financial impact (cash)'!E$17)</f>
        <v>19.545154928957039</v>
      </c>
      <c r="F151" s="128">
        <f>('Unit costs'!$C61*'Financial impact (cash)'!F$14)+('Unit costs'!$D61*'Financial impact (cash)'!F$15)+('Unit costs'!$E61*'Financial impact (cash)'!F$16)+('Unit costs'!$F61*'Financial impact (cash)'!F$17)</f>
        <v>54.267415261495444</v>
      </c>
      <c r="G151" s="128">
        <f>('Unit costs'!$C61*'Financial impact (cash)'!G$14)+('Unit costs'!$D61*'Financial impact (cash)'!G$15)+('Unit costs'!$E61*'Financial impact (cash)'!G$16)+('Unit costs'!$F61*'Financial impact (cash)'!G$17)</f>
        <v>54.790651231011864</v>
      </c>
      <c r="H151" s="128">
        <f>('Unit costs'!$C61*'Financial impact (cash)'!H$14)+('Unit costs'!$D61*'Financial impact (cash)'!H$15)+('Unit costs'!$E61*'Financial impact (cash)'!H$16)+('Unit costs'!$F61*'Financial impact (cash)'!H$17)</f>
        <v>55.318932141004552</v>
      </c>
      <c r="I151" s="128">
        <f>('Unit costs'!$C61*'Financial impact (cash)'!I$14)+('Unit costs'!$D61*'Financial impact (cash)'!I$15)+('Unit costs'!$E61*'Financial impact (cash)'!I$16)+('Unit costs'!$F61*'Financial impact (cash)'!I$17)</f>
        <v>55.852306633818266</v>
      </c>
      <c r="J151" s="291"/>
      <c r="K151" s="291"/>
      <c r="L151" s="292">
        <f>(D151*'Unit costs'!$H61)/1000</f>
        <v>0</v>
      </c>
      <c r="M151" s="292">
        <f>(E151*'Unit costs'!$H61)/1000</f>
        <v>43.279261029375974</v>
      </c>
      <c r="N151" s="292">
        <f>(F151*'Unit costs'!$H61)/1000</f>
        <v>120.16551616135644</v>
      </c>
      <c r="O151" s="292">
        <f>(G151*'Unit costs'!$H61)/1000</f>
        <v>121.32412893198789</v>
      </c>
      <c r="P151" s="292">
        <f>(H151*'Unit costs'!$H61)/1000</f>
        <v>122.49391282387899</v>
      </c>
      <c r="Q151" s="292">
        <f>(I151*'Unit costs'!$H61)/1000</f>
        <v>123.67497554683011</v>
      </c>
      <c r="R151" s="638"/>
      <c r="S151" s="133"/>
      <c r="T151" s="133"/>
      <c r="U151" s="133"/>
      <c r="V151" s="133"/>
      <c r="W151" s="133"/>
      <c r="X151" s="133"/>
      <c r="Y151" s="133"/>
      <c r="Z151" s="133"/>
      <c r="AJ151" s="286"/>
      <c r="AK151" s="286"/>
      <c r="AL151" s="286"/>
      <c r="AM151" s="286"/>
      <c r="AN151" s="286"/>
    </row>
    <row r="152" spans="1:40" x14ac:dyDescent="0.25">
      <c r="A152" s="291"/>
      <c r="B152" s="252" t="s">
        <v>1022</v>
      </c>
      <c r="C152" s="167"/>
      <c r="D152" s="128">
        <f>('Unit costs'!$C62*'Financial impact (cash)'!D$14)+('Unit costs'!$D62*'Financial impact (cash)'!D$15)+('Unit costs'!$E62*'Financial impact (cash)'!D$16)+('Unit costs'!$F62*'Financial impact (cash)'!D$17)</f>
        <v>166.55724947955514</v>
      </c>
      <c r="E152" s="128">
        <f>('Unit costs'!$C62*'Financial impact (cash)'!E$14)+('Unit costs'!$D62*'Financial impact (cash)'!E$15)+('Unit costs'!$E62*'Financial impact (cash)'!E$16)+('Unit costs'!$F62*'Financial impact (cash)'!E$17)</f>
        <v>158.7680856529079</v>
      </c>
      <c r="F152" s="128">
        <f>('Unit costs'!$C62*'Financial impact (cash)'!F$14)+('Unit costs'!$D62*'Financial impact (cash)'!F$15)+('Unit costs'!$E62*'Financial impact (cash)'!F$16)+('Unit costs'!$F62*'Financial impact (cash)'!F$17)</f>
        <v>146.74190995359078</v>
      </c>
      <c r="G152" s="128">
        <f>('Unit costs'!$C62*'Financial impact (cash)'!G$14)+('Unit costs'!$D62*'Financial impact (cash)'!G$15)+('Unit costs'!$E62*'Financial impact (cash)'!G$16)+('Unit costs'!$F62*'Financial impact (cash)'!G$17)</f>
        <v>148.1567671962525</v>
      </c>
      <c r="H152" s="128">
        <f>('Unit costs'!$C62*'Financial impact (cash)'!H$14)+('Unit costs'!$D62*'Financial impact (cash)'!H$15)+('Unit costs'!$E62*'Financial impact (cash)'!H$16)+('Unit costs'!$F62*'Financial impact (cash)'!H$17)</f>
        <v>149.58526622003691</v>
      </c>
      <c r="I152" s="128">
        <f>('Unit costs'!$C62*'Financial impact (cash)'!I$14)+('Unit costs'!$D62*'Financial impact (cash)'!I$15)+('Unit costs'!$E62*'Financial impact (cash)'!I$16)+('Unit costs'!$F62*'Financial impact (cash)'!I$17)</f>
        <v>151.02753855637104</v>
      </c>
      <c r="J152" s="291"/>
      <c r="K152" s="291"/>
      <c r="L152" s="292">
        <f>(D152*'Unit costs'!$H62)/1000</f>
        <v>117.16937369942211</v>
      </c>
      <c r="M152" s="292">
        <f>(E152*'Unit costs'!$H62)/1000</f>
        <v>111.68986770336231</v>
      </c>
      <c r="N152" s="292">
        <f>(F152*'Unit costs'!$H62)/1000</f>
        <v>103.22971673970723</v>
      </c>
      <c r="O152" s="292">
        <f>(G152*'Unit costs'!$H62)/1000</f>
        <v>104.22503779306741</v>
      </c>
      <c r="P152" s="292">
        <f>(H152*'Unit costs'!$H62)/1000</f>
        <v>105.2299555403889</v>
      </c>
      <c r="Q152" s="292">
        <f>(I152*'Unit costs'!$H62)/1000</f>
        <v>106.24456251114711</v>
      </c>
      <c r="R152" s="638"/>
      <c r="S152" s="133"/>
      <c r="T152" s="133"/>
      <c r="U152" s="133"/>
      <c r="V152" s="133"/>
      <c r="W152" s="133"/>
      <c r="X152" s="133"/>
      <c r="Y152" s="133"/>
      <c r="Z152" s="133"/>
      <c r="AJ152" s="286"/>
      <c r="AK152" s="286"/>
      <c r="AL152" s="286"/>
      <c r="AM152" s="286"/>
      <c r="AN152" s="286"/>
    </row>
    <row r="153" spans="1:40" x14ac:dyDescent="0.25">
      <c r="A153" s="291"/>
      <c r="B153" s="252" t="s">
        <v>1023</v>
      </c>
      <c r="C153" s="167"/>
      <c r="D153" s="128">
        <f>('Unit costs'!$C63*'Financial impact (cash)'!D$14)+('Unit costs'!$D63*'Financial impact (cash)'!D$15)+('Unit costs'!$E63*'Financial impact (cash)'!D$16)+('Unit costs'!$F63*'Financial impact (cash)'!D$17)</f>
        <v>48.506326824960006</v>
      </c>
      <c r="E153" s="128">
        <f>('Unit costs'!$C63*'Financial impact (cash)'!E$14)+('Unit costs'!$D63*'Financial impact (cash)'!E$15)+('Unit costs'!$E63*'Financial impact (cash)'!E$16)+('Unit costs'!$F63*'Financial impact (cash)'!E$17)</f>
        <v>42.105289613955193</v>
      </c>
      <c r="F153" s="128">
        <f>('Unit costs'!$C63*'Financial impact (cash)'!F$14)+('Unit costs'!$D63*'Financial impact (cash)'!F$15)+('Unit costs'!$E63*'Financial impact (cash)'!F$16)+('Unit costs'!$F63*'Financial impact (cash)'!F$17)</f>
        <v>29.508224195670195</v>
      </c>
      <c r="G153" s="128">
        <f>('Unit costs'!$C63*'Financial impact (cash)'!G$14)+('Unit costs'!$D63*'Financial impact (cash)'!G$15)+('Unit costs'!$E63*'Financial impact (cash)'!G$16)+('Unit costs'!$F63*'Financial impact (cash)'!G$17)</f>
        <v>29.792736811967295</v>
      </c>
      <c r="H153" s="128">
        <f>('Unit costs'!$C63*'Financial impact (cash)'!H$14)+('Unit costs'!$D63*'Financial impact (cash)'!H$15)+('Unit costs'!$E63*'Financial impact (cash)'!H$16)+('Unit costs'!$F63*'Financial impact (cash)'!H$17)</f>
        <v>30.079992644131792</v>
      </c>
      <c r="I153" s="128">
        <f>('Unit costs'!$C63*'Financial impact (cash)'!I$14)+('Unit costs'!$D63*'Financial impact (cash)'!I$15)+('Unit costs'!$E63*'Financial impact (cash)'!I$16)+('Unit costs'!$F63*'Financial impact (cash)'!I$17)</f>
        <v>30.370018141722902</v>
      </c>
      <c r="J153" s="291"/>
      <c r="K153" s="291"/>
      <c r="L153" s="292">
        <f>(D153*'Unit costs'!$H63)/1000</f>
        <v>7.419507871023451</v>
      </c>
      <c r="M153" s="292">
        <f>(E153*'Unit costs'!$H63)/1000</f>
        <v>6.440407842667442</v>
      </c>
      <c r="N153" s="292">
        <f>(F153*'Unit costs'!$H63)/1000</f>
        <v>4.5135658791430284</v>
      </c>
      <c r="O153" s="292">
        <f>(G153*'Unit costs'!$H63)/1000</f>
        <v>4.5570848123254848</v>
      </c>
      <c r="P153" s="292">
        <f>(H153*'Unit costs'!$H63)/1000</f>
        <v>4.6010233466827213</v>
      </c>
      <c r="Q153" s="292">
        <f>(I153*'Unit costs'!$H63)/1000</f>
        <v>4.645385527928477</v>
      </c>
      <c r="R153" s="638"/>
      <c r="S153" s="133"/>
      <c r="T153" s="133"/>
      <c r="U153" s="133"/>
      <c r="V153" s="133"/>
      <c r="W153" s="133"/>
      <c r="X153" s="133"/>
      <c r="Y153" s="133"/>
      <c r="Z153" s="133"/>
      <c r="AJ153" s="286"/>
      <c r="AK153" s="286"/>
      <c r="AL153" s="286"/>
      <c r="AM153" s="286"/>
      <c r="AN153" s="286"/>
    </row>
    <row r="154" spans="1:40" x14ac:dyDescent="0.25">
      <c r="A154" s="291"/>
      <c r="B154" s="252" t="s">
        <v>1024</v>
      </c>
      <c r="C154" s="167"/>
      <c r="D154" s="128">
        <f>('Unit costs'!$C64*'Financial impact (cash)'!D$14)+('Unit costs'!$D64*'Financial impact (cash)'!D$15)+('Unit costs'!$E64*'Financial impact (cash)'!D$16)+('Unit costs'!$F64*'Financial impact (cash)'!D$17)</f>
        <v>16.178178310243904</v>
      </c>
      <c r="E154" s="128">
        <f>('Unit costs'!$C64*'Financial impact (cash)'!E$14)+('Unit costs'!$D64*'Financial impact (cash)'!E$15)+('Unit costs'!$E64*'Financial impact (cash)'!E$16)+('Unit costs'!$F64*'Financial impact (cash)'!E$17)</f>
        <v>28.061258148002608</v>
      </c>
      <c r="F154" s="128">
        <f>('Unit costs'!$C64*'Financial impact (cash)'!F$14)+('Unit costs'!$D64*'Financial impact (cash)'!F$15)+('Unit costs'!$E64*'Financial impact (cash)'!F$16)+('Unit costs'!$F64*'Financial impact (cash)'!F$17)</f>
        <v>49.474968199441307</v>
      </c>
      <c r="G154" s="128">
        <f>('Unit costs'!$C64*'Financial impact (cash)'!G$14)+('Unit costs'!$D64*'Financial impact (cash)'!G$15)+('Unit costs'!$E64*'Financial impact (cash)'!G$16)+('Unit costs'!$F64*'Financial impact (cash)'!G$17)</f>
        <v>49.951996317104324</v>
      </c>
      <c r="H154" s="128">
        <f>('Unit costs'!$C64*'Financial impact (cash)'!H$14)+('Unit costs'!$D64*'Financial impact (cash)'!H$15)+('Unit costs'!$E64*'Financial impact (cash)'!H$16)+('Unit costs'!$F64*'Financial impact (cash)'!H$17)</f>
        <v>50.433623848032724</v>
      </c>
      <c r="I154" s="128">
        <f>('Unit costs'!$C64*'Financial impact (cash)'!I$14)+('Unit costs'!$D64*'Financial impact (cash)'!I$15)+('Unit costs'!$E64*'Financial impact (cash)'!I$16)+('Unit costs'!$F64*'Financial impact (cash)'!I$17)</f>
        <v>50.919895138883668</v>
      </c>
      <c r="J154" s="291"/>
      <c r="K154" s="291"/>
      <c r="L154" s="292">
        <f>(D154*'Unit costs'!$H64)/1000</f>
        <v>35.823691580540334</v>
      </c>
      <c r="M154" s="292">
        <f>(E154*'Unit costs'!$H64)/1000</f>
        <v>62.136653335032648</v>
      </c>
      <c r="N154" s="292">
        <f>(F154*'Unit costs'!$H64)/1000</f>
        <v>109.5534965523016</v>
      </c>
      <c r="O154" s="292">
        <f>(G154*'Unit costs'!$H64)/1000</f>
        <v>110.60979027305909</v>
      </c>
      <c r="P154" s="292">
        <f>(H154*'Unit costs'!$H64)/1000</f>
        <v>111.67626857449747</v>
      </c>
      <c r="Q154" s="292">
        <f>(I154*'Unit costs'!$H64)/1000</f>
        <v>112.75302965438279</v>
      </c>
      <c r="R154" s="638"/>
      <c r="S154" s="133"/>
      <c r="T154" s="133"/>
      <c r="U154" s="133"/>
      <c r="V154" s="133"/>
      <c r="W154" s="133"/>
      <c r="X154" s="133"/>
      <c r="Y154" s="133"/>
      <c r="Z154" s="133"/>
      <c r="AJ154" s="286"/>
      <c r="AK154" s="286"/>
      <c r="AL154" s="286"/>
      <c r="AM154" s="286"/>
      <c r="AN154" s="286"/>
    </row>
    <row r="155" spans="1:40" x14ac:dyDescent="0.25">
      <c r="A155" s="291"/>
      <c r="B155" s="252" t="s">
        <v>1025</v>
      </c>
      <c r="C155" s="167"/>
      <c r="D155" s="128">
        <f>('Unit costs'!$C65*'Financial impact (cash)'!D$14)+('Unit costs'!$D65*'Financial impact (cash)'!D$15)+('Unit costs'!$E65*'Financial impact (cash)'!D$16)+('Unit costs'!$F65*'Financial impact (cash)'!D$17)</f>
        <v>53.927261034146348</v>
      </c>
      <c r="E155" s="128">
        <f>('Unit costs'!$C65*'Financial impact (cash)'!E$14)+('Unit costs'!$D65*'Financial impact (cash)'!E$15)+('Unit costs'!$E65*'Financial impact (cash)'!E$16)+('Unit costs'!$F65*'Financial impact (cash)'!E$17)</f>
        <v>65.615877261498639</v>
      </c>
      <c r="F155" s="128">
        <f>('Unit costs'!$C65*'Financial impact (cash)'!F$14)+('Unit costs'!$D65*'Financial impact (cash)'!F$15)+('Unit costs'!$E65*'Financial impact (cash)'!F$16)+('Unit costs'!$F65*'Financial impact (cash)'!F$17)</f>
        <v>87.391681719810848</v>
      </c>
      <c r="G155" s="128">
        <f>('Unit costs'!$C65*'Financial impact (cash)'!G$14)+('Unit costs'!$D65*'Financial impact (cash)'!G$15)+('Unit costs'!$E65*'Financial impact (cash)'!G$16)+('Unit costs'!$F65*'Financial impact (cash)'!G$17)</f>
        <v>88.234295488902234</v>
      </c>
      <c r="H155" s="128">
        <f>('Unit costs'!$C65*'Financial impact (cash)'!H$14)+('Unit costs'!$D65*'Financial impact (cash)'!H$15)+('Unit costs'!$E65*'Financial impact (cash)'!H$16)+('Unit costs'!$F65*'Financial impact (cash)'!H$17)</f>
        <v>89.085033577721617</v>
      </c>
      <c r="I155" s="128">
        <f>('Unit costs'!$C65*'Financial impact (cash)'!I$14)+('Unit costs'!$D65*'Financial impact (cash)'!I$15)+('Unit costs'!$E65*'Financial impact (cash)'!I$16)+('Unit costs'!$F65*'Financial impact (cash)'!I$17)</f>
        <v>89.94397431939565</v>
      </c>
      <c r="J155" s="291"/>
      <c r="K155" s="291"/>
      <c r="L155" s="292">
        <f>(D155*'Unit costs'!$H65)/1000</f>
        <v>37.936645930694162</v>
      </c>
      <c r="M155" s="292">
        <f>(E155*'Unit costs'!$H65)/1000</f>
        <v>46.159331205884669</v>
      </c>
      <c r="N155" s="292">
        <f>(F155*'Unit costs'!$H65)/1000</f>
        <v>61.478132267706457</v>
      </c>
      <c r="O155" s="292">
        <f>(G155*'Unit costs'!$H65)/1000</f>
        <v>62.07089258227365</v>
      </c>
      <c r="P155" s="292">
        <f>(H155*'Unit costs'!$H65)/1000</f>
        <v>62.669368177666122</v>
      </c>
      <c r="Q155" s="292">
        <f>(I155*'Unit costs'!$H65)/1000</f>
        <v>63.273614159521252</v>
      </c>
      <c r="R155" s="638"/>
      <c r="S155" s="133"/>
      <c r="T155" s="133"/>
      <c r="U155" s="133"/>
      <c r="V155" s="133"/>
      <c r="W155" s="133"/>
      <c r="X155" s="133"/>
      <c r="Y155" s="133"/>
      <c r="Z155" s="133"/>
      <c r="AJ155" s="286"/>
      <c r="AK155" s="286"/>
      <c r="AL155" s="286"/>
      <c r="AM155" s="286"/>
      <c r="AN155" s="286"/>
    </row>
    <row r="156" spans="1:40" x14ac:dyDescent="0.25">
      <c r="A156" s="291"/>
      <c r="B156" s="252" t="s">
        <v>1026</v>
      </c>
      <c r="C156" s="167"/>
      <c r="D156" s="128">
        <f>('Unit costs'!$C66*'Financial impact (cash)'!D$14)+('Unit costs'!$D66*'Financial impact (cash)'!D$15)+('Unit costs'!$E66*'Financial impact (cash)'!D$16)+('Unit costs'!$F66*'Financial impact (cash)'!D$17)</f>
        <v>93.380445206727813</v>
      </c>
      <c r="E156" s="128">
        <f>('Unit costs'!$C66*'Financial impact (cash)'!E$14)+('Unit costs'!$D66*'Financial impact (cash)'!E$15)+('Unit costs'!$E66*'Financial impact (cash)'!E$16)+('Unit costs'!$F66*'Financial impact (cash)'!E$17)</f>
        <v>74.152642501469103</v>
      </c>
      <c r="F156" s="128">
        <f>('Unit costs'!$C66*'Financial impact (cash)'!F$14)+('Unit costs'!$D66*'Financial impact (cash)'!F$15)+('Unit costs'!$E66*'Financial impact (cash)'!F$16)+('Unit costs'!$F66*'Financial impact (cash)'!F$17)</f>
        <v>38.172968483864089</v>
      </c>
      <c r="G156" s="128">
        <f>('Unit costs'!$C66*'Financial impact (cash)'!G$14)+('Unit costs'!$D66*'Financial impact (cash)'!G$15)+('Unit costs'!$E66*'Financial impact (cash)'!G$16)+('Unit costs'!$F66*'Financial impact (cash)'!G$17)</f>
        <v>38.541024896312138</v>
      </c>
      <c r="H156" s="128">
        <f>('Unit costs'!$C66*'Financial impact (cash)'!H$14)+('Unit costs'!$D66*'Financial impact (cash)'!H$15)+('Unit costs'!$E66*'Financial impact (cash)'!H$16)+('Unit costs'!$F66*'Financial impact (cash)'!H$17)</f>
        <v>38.912630037824869</v>
      </c>
      <c r="I156" s="128">
        <f>('Unit costs'!$C66*'Financial impact (cash)'!I$14)+('Unit costs'!$D66*'Financial impact (cash)'!I$15)+('Unit costs'!$E66*'Financial impact (cash)'!I$16)+('Unit costs'!$F66*'Financial impact (cash)'!I$17)</f>
        <v>39.287818124564666</v>
      </c>
      <c r="J156" s="291"/>
      <c r="K156" s="291"/>
      <c r="L156" s="292">
        <f>(D156*'Unit costs'!$H66)/1000</f>
        <v>163.11866456626336</v>
      </c>
      <c r="M156" s="292">
        <f>(E156*'Unit costs'!$H66)/1000</f>
        <v>129.5311881638761</v>
      </c>
      <c r="N156" s="292">
        <f>(F156*'Unit costs'!$H66)/1000</f>
        <v>66.6812374671496</v>
      </c>
      <c r="O156" s="292">
        <f>(G156*'Unit costs'!$H66)/1000</f>
        <v>67.324165120264382</v>
      </c>
      <c r="P156" s="292">
        <f>(H156*'Unit costs'!$H66)/1000</f>
        <v>67.97329175802372</v>
      </c>
      <c r="Q156" s="292">
        <f>(I156*'Unit costs'!$H66)/1000</f>
        <v>68.628677149844052</v>
      </c>
      <c r="R156" s="638"/>
      <c r="S156" s="133"/>
      <c r="T156" s="133"/>
      <c r="U156" s="133"/>
      <c r="V156" s="133"/>
      <c r="W156" s="133"/>
      <c r="X156" s="133"/>
      <c r="Y156" s="133"/>
      <c r="Z156" s="133"/>
      <c r="AJ156" s="286"/>
      <c r="AK156" s="286"/>
      <c r="AL156" s="286"/>
      <c r="AM156" s="286"/>
      <c r="AN156" s="286"/>
    </row>
    <row r="157" spans="1:40" x14ac:dyDescent="0.25">
      <c r="A157" s="291"/>
      <c r="B157" s="252" t="s">
        <v>1027</v>
      </c>
      <c r="C157" s="167"/>
      <c r="D157" s="128">
        <f>('Unit costs'!$C67*'Financial impact (cash)'!D$14)+('Unit costs'!$D67*'Financial impact (cash)'!D$15)+('Unit costs'!$E67*'Financial impact (cash)'!D$16)+('Unit costs'!$F67*'Financial impact (cash)'!D$17)</f>
        <v>176.02521721681171</v>
      </c>
      <c r="E157" s="128">
        <f>('Unit costs'!$C67*'Financial impact (cash)'!E$14)+('Unit costs'!$D67*'Financial impact (cash)'!E$15)+('Unit costs'!$E67*'Financial impact (cash)'!E$16)+('Unit costs'!$F67*'Financial impact (cash)'!E$17)</f>
        <v>148.49180162426023</v>
      </c>
      <c r="F157" s="128">
        <f>('Unit costs'!$C67*'Financial impact (cash)'!F$14)+('Unit costs'!$D67*'Financial impact (cash)'!F$15)+('Unit costs'!$E67*'Financial impact (cash)'!F$16)+('Unit costs'!$F67*'Financial impact (cash)'!F$17)</f>
        <v>96.701996818128492</v>
      </c>
      <c r="G157" s="128">
        <f>('Unit costs'!$C67*'Financial impact (cash)'!G$14)+('Unit costs'!$D67*'Financial impact (cash)'!G$15)+('Unit costs'!$E67*'Financial impact (cash)'!G$16)+('Unit costs'!$F67*'Financial impact (cash)'!G$17)</f>
        <v>97.634378852826359</v>
      </c>
      <c r="H157" s="128">
        <f>('Unit costs'!$C67*'Financial impact (cash)'!H$14)+('Unit costs'!$D67*'Financial impact (cash)'!H$15)+('Unit costs'!$E67*'Financial impact (cash)'!H$16)+('Unit costs'!$F67*'Financial impact (cash)'!H$17)</f>
        <v>98.575750735585615</v>
      </c>
      <c r="I157" s="128">
        <f>('Unit costs'!$C67*'Financial impact (cash)'!I$14)+('Unit costs'!$D67*'Financial impact (cash)'!I$15)+('Unit costs'!$E67*'Financial impact (cash)'!I$16)+('Unit costs'!$F67*'Financial impact (cash)'!I$17)</f>
        <v>99.526199144790354</v>
      </c>
      <c r="J157" s="291"/>
      <c r="K157" s="291"/>
      <c r="L157" s="292">
        <f>(D157*'Unit costs'!$H67)/1000</f>
        <v>123.82988144343875</v>
      </c>
      <c r="M157" s="292">
        <f>(E157*'Unit costs'!$H67)/1000</f>
        <v>104.46072716846281</v>
      </c>
      <c r="N157" s="292">
        <f>(F157*'Unit costs'!$H67)/1000</f>
        <v>68.027734836329913</v>
      </c>
      <c r="O157" s="292">
        <f>(G157*'Unit costs'!$H67)/1000</f>
        <v>68.683645157829019</v>
      </c>
      <c r="P157" s="292">
        <f>(H157*'Unit costs'!$H67)/1000</f>
        <v>69.34587964036163</v>
      </c>
      <c r="Q157" s="292">
        <f>(I157*'Unit costs'!$H67)/1000</f>
        <v>70.014499260270767</v>
      </c>
      <c r="R157" s="638"/>
      <c r="S157" s="133"/>
      <c r="T157" s="133"/>
      <c r="U157" s="133"/>
      <c r="V157" s="133"/>
      <c r="W157" s="133"/>
      <c r="X157" s="133"/>
      <c r="Y157" s="133"/>
      <c r="Z157" s="133"/>
      <c r="AJ157" s="286"/>
      <c r="AK157" s="286"/>
      <c r="AL157" s="286"/>
      <c r="AM157" s="286"/>
      <c r="AN157" s="286"/>
    </row>
    <row r="158" spans="1:40" x14ac:dyDescent="0.25">
      <c r="A158" s="291"/>
      <c r="B158" s="252" t="s">
        <v>1028</v>
      </c>
      <c r="C158" s="167"/>
      <c r="D158" s="128">
        <f>('Unit costs'!$C68*'Financial impact (cash)'!D$14)+('Unit costs'!$D68*'Financial impact (cash)'!D$15)+('Unit costs'!$E68*'Financial impact (cash)'!D$16)+('Unit costs'!$F68*'Financial impact (cash)'!D$17)</f>
        <v>26.963630517073174</v>
      </c>
      <c r="E158" s="128">
        <f>('Unit costs'!$C68*'Financial impact (cash)'!E$14)+('Unit costs'!$D68*'Financial impact (cash)'!E$15)+('Unit costs'!$E68*'Financial impact (cash)'!E$16)+('Unit costs'!$F68*'Financial impact (cash)'!E$17)</f>
        <v>21.639278671345295</v>
      </c>
      <c r="F158" s="128">
        <f>('Unit costs'!$C68*'Financial impact (cash)'!F$14)+('Unit costs'!$D68*'Financial impact (cash)'!F$15)+('Unit costs'!$E68*'Financial impact (cash)'!F$16)+('Unit costs'!$F68*'Financial impact (cash)'!F$17)</f>
        <v>12.685889281908027</v>
      </c>
      <c r="G158" s="128">
        <f>('Unit costs'!$C68*'Financial impact (cash)'!G$14)+('Unit costs'!$D68*'Financial impact (cash)'!G$15)+('Unit costs'!$E68*'Financial impact (cash)'!G$16)+('Unit costs'!$F68*'Financial impact (cash)'!G$17)</f>
        <v>12.808204183872906</v>
      </c>
      <c r="H158" s="128">
        <f>('Unit costs'!$C68*'Financial impact (cash)'!H$14)+('Unit costs'!$D68*'Financial impact (cash)'!H$15)+('Unit costs'!$E68*'Financial impact (cash)'!H$16)+('Unit costs'!$F68*'Financial impact (cash)'!H$17)</f>
        <v>12.931698422572495</v>
      </c>
      <c r="I158" s="128">
        <f>('Unit costs'!$C68*'Financial impact (cash)'!I$14)+('Unit costs'!$D68*'Financial impact (cash)'!I$15)+('Unit costs'!$E68*'Financial impact (cash)'!I$16)+('Unit costs'!$F68*'Financial impact (cash)'!I$17)</f>
        <v>13.05638336894453</v>
      </c>
      <c r="J158" s="291"/>
      <c r="K158" s="291"/>
      <c r="L158" s="292">
        <f>(D158*'Unit costs'!$H68)/1000</f>
        <v>99.133060171681649</v>
      </c>
      <c r="M158" s="292">
        <f>(E158*'Unit costs'!$H68)/1000</f>
        <v>79.55782932272254</v>
      </c>
      <c r="N158" s="292">
        <f>(F158*'Unit costs'!$H68)/1000</f>
        <v>46.640270668238919</v>
      </c>
      <c r="O158" s="292">
        <f>(G158*'Unit costs'!$H68)/1000</f>
        <v>47.089967178087619</v>
      </c>
      <c r="P158" s="292">
        <f>(H158*'Unit costs'!$H68)/1000</f>
        <v>47.543999575101459</v>
      </c>
      <c r="Q158" s="292">
        <f>(I158*'Unit costs'!$H68)/1000</f>
        <v>48.002409665069706</v>
      </c>
      <c r="R158" s="638"/>
      <c r="S158" s="133"/>
      <c r="T158" s="133"/>
      <c r="U158" s="133"/>
      <c r="V158" s="133"/>
      <c r="W158" s="133"/>
      <c r="X158" s="133"/>
      <c r="Y158" s="133"/>
      <c r="Z158" s="133"/>
      <c r="AJ158" s="286"/>
      <c r="AK158" s="286"/>
      <c r="AL158" s="286"/>
      <c r="AM158" s="286"/>
      <c r="AN158" s="286"/>
    </row>
    <row r="159" spans="1:40" x14ac:dyDescent="0.25">
      <c r="A159" s="291"/>
      <c r="B159" s="252" t="s">
        <v>1029</v>
      </c>
      <c r="C159" s="167"/>
      <c r="D159" s="128">
        <f>('Unit costs'!$C69*'Financial impact (cash)'!D$14)+('Unit costs'!$D69*'Financial impact (cash)'!D$15)+('Unit costs'!$E69*'Financial impact (cash)'!D$16)+('Unit costs'!$F69*'Financial impact (cash)'!D$17)</f>
        <v>160.51988519424003</v>
      </c>
      <c r="E159" s="128">
        <f>('Unit costs'!$C69*'Financial impact (cash)'!E$14)+('Unit costs'!$D69*'Financial impact (cash)'!E$15)+('Unit costs'!$E69*'Financial impact (cash)'!E$16)+('Unit costs'!$F69*'Financial impact (cash)'!E$17)</f>
        <v>116.7339962461939</v>
      </c>
      <c r="F159" s="128">
        <f>('Unit costs'!$C69*'Financial impact (cash)'!F$14)+('Unit costs'!$D69*'Financial impact (cash)'!F$15)+('Unit costs'!$E69*'Financial impact (cash)'!F$16)+('Unit costs'!$F69*'Financial impact (cash)'!F$17)</f>
        <v>32.039481970386916</v>
      </c>
      <c r="G159" s="128">
        <f>('Unit costs'!$C69*'Financial impact (cash)'!G$14)+('Unit costs'!$D69*'Financial impact (cash)'!G$15)+('Unit costs'!$E69*'Financial impact (cash)'!G$16)+('Unit costs'!$F69*'Financial impact (cash)'!G$17)</f>
        <v>32.348400486789409</v>
      </c>
      <c r="H159" s="128">
        <f>('Unit costs'!$C69*'Financial impact (cash)'!H$14)+('Unit costs'!$D69*'Financial impact (cash)'!H$15)+('Unit costs'!$E69*'Financial impact (cash)'!H$16)+('Unit costs'!$F69*'Financial impact (cash)'!H$17)</f>
        <v>32.660297536049093</v>
      </c>
      <c r="I159" s="128">
        <f>('Unit costs'!$C69*'Financial impact (cash)'!I$14)+('Unit costs'!$D69*'Financial impact (cash)'!I$15)+('Unit costs'!$E69*'Financial impact (cash)'!I$16)+('Unit costs'!$F69*'Financial impact (cash)'!I$17)</f>
        <v>32.975201836606303</v>
      </c>
      <c r="J159" s="291"/>
      <c r="K159" s="291"/>
      <c r="L159" s="292">
        <f>(D159*'Unit costs'!$H69)/1000</f>
        <v>253.91131769410882</v>
      </c>
      <c r="M159" s="292">
        <f>(E159*'Unit costs'!$H69)/1000</f>
        <v>184.65053579314312</v>
      </c>
      <c r="N159" s="292">
        <f>(F159*'Unit costs'!$H69)/1000</f>
        <v>50.680244852489466</v>
      </c>
      <c r="O159" s="292">
        <f>(G159*'Unit costs'!$H69)/1000</f>
        <v>51.168894015581941</v>
      </c>
      <c r="P159" s="292">
        <f>(H159*'Unit costs'!$H69)/1000</f>
        <v>51.662254639822365</v>
      </c>
      <c r="Q159" s="292">
        <f>(I159*'Unit costs'!$H69)/1000</f>
        <v>52.160372152211991</v>
      </c>
      <c r="R159" s="638"/>
      <c r="S159" s="133"/>
      <c r="T159" s="133"/>
      <c r="U159" s="133"/>
      <c r="V159" s="133"/>
      <c r="W159" s="133"/>
      <c r="X159" s="133"/>
      <c r="Y159" s="133"/>
      <c r="Z159" s="133"/>
      <c r="AJ159" s="286"/>
      <c r="AK159" s="286"/>
      <c r="AL159" s="286"/>
      <c r="AM159" s="286"/>
      <c r="AN159" s="286"/>
    </row>
    <row r="160" spans="1:40" x14ac:dyDescent="0.25">
      <c r="A160" s="291"/>
      <c r="B160" s="252" t="s">
        <v>1030</v>
      </c>
      <c r="C160" s="167"/>
      <c r="D160" s="128">
        <f>('Unit costs'!$C70*'Financial impact (cash)'!D$14)+('Unit costs'!$D70*'Financial impact (cash)'!D$15)+('Unit costs'!$E70*'Financial impact (cash)'!D$16)+('Unit costs'!$F70*'Financial impact (cash)'!D$17)</f>
        <v>32.356356620487809</v>
      </c>
      <c r="E160" s="128">
        <f>('Unit costs'!$C70*'Financial impact (cash)'!E$14)+('Unit costs'!$D70*'Financial impact (cash)'!E$15)+('Unit costs'!$E70*'Financial impact (cash)'!E$16)+('Unit costs'!$F70*'Financial impact (cash)'!E$17)</f>
        <v>22.616536417793146</v>
      </c>
      <c r="F160" s="128">
        <f>('Unit costs'!$C70*'Financial impact (cash)'!F$14)+('Unit costs'!$D70*'Financial impact (cash)'!F$15)+('Unit costs'!$E70*'Financial impact (cash)'!F$16)+('Unit costs'!$F70*'Financial impact (cash)'!F$17)</f>
        <v>5.9200816648904127</v>
      </c>
      <c r="G160" s="128">
        <f>('Unit costs'!$C70*'Financial impact (cash)'!G$14)+('Unit costs'!$D70*'Financial impact (cash)'!G$15)+('Unit costs'!$E70*'Financial impact (cash)'!G$16)+('Unit costs'!$F70*'Financial impact (cash)'!G$17)</f>
        <v>5.977161952474022</v>
      </c>
      <c r="H160" s="128">
        <f>('Unit costs'!$C70*'Financial impact (cash)'!H$14)+('Unit costs'!$D70*'Financial impact (cash)'!H$15)+('Unit costs'!$E70*'Financial impact (cash)'!H$16)+('Unit costs'!$F70*'Financial impact (cash)'!H$17)</f>
        <v>6.0347925972004974</v>
      </c>
      <c r="I160" s="128">
        <f>('Unit costs'!$C70*'Financial impact (cash)'!I$14)+('Unit costs'!$D70*'Financial impact (cash)'!I$15)+('Unit costs'!$E70*'Financial impact (cash)'!I$16)+('Unit costs'!$F70*'Financial impact (cash)'!I$17)</f>
        <v>6.0929789055074473</v>
      </c>
      <c r="J160" s="291"/>
      <c r="K160" s="291"/>
      <c r="L160" s="292">
        <f>(D160*'Unit costs'!$H70)/1000</f>
        <v>73.199771951163754</v>
      </c>
      <c r="M160" s="292">
        <f>(E160*'Unit costs'!$H70)/1000</f>
        <v>51.165380809883331</v>
      </c>
      <c r="N160" s="292">
        <f>(F160*'Unit costs'!$H70)/1000</f>
        <v>13.392998256418364</v>
      </c>
      <c r="O160" s="292">
        <f>(G160*'Unit costs'!$H70)/1000</f>
        <v>13.522130966971488</v>
      </c>
      <c r="P160" s="292">
        <f>(H160*'Unit costs'!$H70)/1000</f>
        <v>13.652508750257057</v>
      </c>
      <c r="Q160" s="292">
        <f>(I160*'Unit costs'!$H70)/1000</f>
        <v>13.784143611026639</v>
      </c>
      <c r="R160" s="638"/>
      <c r="S160" s="133"/>
      <c r="T160" s="133"/>
      <c r="U160" s="133"/>
      <c r="V160" s="133"/>
      <c r="W160" s="133"/>
      <c r="X160" s="133"/>
      <c r="Y160" s="133"/>
      <c r="Z160" s="133"/>
      <c r="AJ160" s="286"/>
      <c r="AK160" s="286"/>
      <c r="AL160" s="286"/>
      <c r="AM160" s="286"/>
      <c r="AN160" s="286"/>
    </row>
    <row r="161" spans="1:40" x14ac:dyDescent="0.25">
      <c r="A161" s="291"/>
      <c r="B161" s="252" t="s">
        <v>1031</v>
      </c>
      <c r="C161" s="167"/>
      <c r="D161" s="128">
        <f>('Unit costs'!$C71*'Financial impact (cash)'!D$14)+('Unit costs'!$D71*'Financial impact (cash)'!D$15)+('Unit costs'!$E71*'Financial impact (cash)'!D$16)+('Unit costs'!$F71*'Financial impact (cash)'!D$17)</f>
        <v>54.853980273763902</v>
      </c>
      <c r="E161" s="128">
        <f>('Unit costs'!$C71*'Financial impact (cash)'!E$14)+('Unit costs'!$D71*'Financial impact (cash)'!E$15)+('Unit costs'!$E71*'Financial impact (cash)'!E$16)+('Unit costs'!$F71*'Financial impact (cash)'!E$17)</f>
        <v>53.28316371782573</v>
      </c>
      <c r="F161" s="128">
        <f>('Unit costs'!$C71*'Financial impact (cash)'!F$14)+('Unit costs'!$D71*'Financial impact (cash)'!F$15)+('Unit costs'!$E71*'Financial impact (cash)'!F$16)+('Unit costs'!$F71*'Financial impact (cash)'!F$17)</f>
        <v>49.469611935077829</v>
      </c>
      <c r="G161" s="128">
        <f>('Unit costs'!$C71*'Financial impact (cash)'!G$14)+('Unit costs'!$D71*'Financial impact (cash)'!G$15)+('Unit costs'!$E71*'Financial impact (cash)'!G$16)+('Unit costs'!$F71*'Financial impact (cash)'!G$17)</f>
        <v>49.946588408671133</v>
      </c>
      <c r="H161" s="128">
        <f>('Unit costs'!$C71*'Financial impact (cash)'!H$14)+('Unit costs'!$D71*'Financial impact (cash)'!H$15)+('Unit costs'!$E71*'Financial impact (cash)'!H$16)+('Unit costs'!$F71*'Financial impact (cash)'!H$17)</f>
        <v>50.428163797587644</v>
      </c>
      <c r="I161" s="128">
        <f>('Unit costs'!$C71*'Financial impact (cash)'!I$14)+('Unit costs'!$D71*'Financial impact (cash)'!I$15)+('Unit costs'!$E71*'Financial impact (cash)'!I$16)+('Unit costs'!$F71*'Financial impact (cash)'!I$17)</f>
        <v>50.914382443683444</v>
      </c>
      <c r="J161" s="291"/>
      <c r="K161" s="291"/>
      <c r="L161" s="292">
        <f>(D161*'Unit costs'!$H71)/1000</f>
        <v>8.3904423409923297</v>
      </c>
      <c r="M161" s="292">
        <f>(E161*'Unit costs'!$H71)/1000</f>
        <v>8.1501708843888565</v>
      </c>
      <c r="N161" s="292">
        <f>(F161*'Unit costs'!$H71)/1000</f>
        <v>7.5668515666685563</v>
      </c>
      <c r="O161" s="292">
        <f>(G161*'Unit costs'!$H71)/1000</f>
        <v>7.6398096925825039</v>
      </c>
      <c r="P161" s="292">
        <f>(H161*'Unit costs'!$H71)/1000</f>
        <v>7.7134712666994423</v>
      </c>
      <c r="Q161" s="292">
        <f>(I161*'Unit costs'!$H71)/1000</f>
        <v>7.7878430715315048</v>
      </c>
      <c r="R161" s="638"/>
      <c r="S161" s="133"/>
      <c r="T161" s="133"/>
      <c r="U161" s="133"/>
      <c r="V161" s="133"/>
      <c r="W161" s="133"/>
      <c r="X161" s="133"/>
      <c r="Y161" s="133"/>
      <c r="Z161" s="133"/>
      <c r="AJ161" s="286"/>
      <c r="AK161" s="286"/>
      <c r="AL161" s="286"/>
      <c r="AM161" s="286"/>
      <c r="AN161" s="286"/>
    </row>
    <row r="162" spans="1:40" x14ac:dyDescent="0.25">
      <c r="A162" s="291"/>
      <c r="B162" s="252" t="s">
        <v>1032</v>
      </c>
      <c r="C162" s="167"/>
      <c r="D162" s="128">
        <f>('Unit costs'!$C72*'Financial impact (cash)'!D$14)+('Unit costs'!$D72*'Financial impact (cash)'!D$15)+('Unit costs'!$E72*'Financial impact (cash)'!D$16)+('Unit costs'!$F72*'Financial impact (cash)'!D$17)</f>
        <v>105.84345005680393</v>
      </c>
      <c r="E162" s="128">
        <f>('Unit costs'!$C72*'Financial impact (cash)'!E$14)+('Unit costs'!$D72*'Financial impact (cash)'!E$15)+('Unit costs'!$E72*'Financial impact (cash)'!E$16)+('Unit costs'!$F72*'Financial impact (cash)'!E$17)</f>
        <v>118.94846229964473</v>
      </c>
      <c r="F162" s="128">
        <f>('Unit costs'!$C72*'Financial impact (cash)'!F$14)+('Unit costs'!$D72*'Financial impact (cash)'!F$15)+('Unit costs'!$E72*'Financial impact (cash)'!F$16)+('Unit costs'!$F72*'Financial impact (cash)'!F$17)</f>
        <v>139.09598352905945</v>
      </c>
      <c r="G162" s="128">
        <f>('Unit costs'!$C72*'Financial impact (cash)'!G$14)+('Unit costs'!$D72*'Financial impact (cash)'!G$15)+('Unit costs'!$E72*'Financial impact (cash)'!G$16)+('Unit costs'!$F72*'Financial impact (cash)'!G$17)</f>
        <v>140.43712022125248</v>
      </c>
      <c r="H162" s="128">
        <f>('Unit costs'!$C72*'Financial impact (cash)'!H$14)+('Unit costs'!$D72*'Financial impact (cash)'!H$15)+('Unit costs'!$E72*'Financial impact (cash)'!H$16)+('Unit costs'!$F72*'Financial impact (cash)'!H$17)</f>
        <v>141.79118789521442</v>
      </c>
      <c r="I162" s="128">
        <f>('Unit costs'!$C72*'Financial impact (cash)'!I$14)+('Unit costs'!$D72*'Financial impact (cash)'!I$15)+('Unit costs'!$E72*'Financial impact (cash)'!I$16)+('Unit costs'!$F72*'Financial impact (cash)'!I$17)</f>
        <v>143.1583112289818</v>
      </c>
      <c r="J162" s="291"/>
      <c r="K162" s="291"/>
      <c r="L162" s="292">
        <f>(D162*'Unit costs'!$H72)/1000</f>
        <v>81.509810628651437</v>
      </c>
      <c r="M162" s="292">
        <f>(E162*'Unit costs'!$H72)/1000</f>
        <v>91.601952047197784</v>
      </c>
      <c r="N162" s="292">
        <f>(F162*'Unit costs'!$H72)/1000</f>
        <v>107.11751431548159</v>
      </c>
      <c r="O162" s="292">
        <f>(G162*'Unit costs'!$H72)/1000</f>
        <v>108.15032076452613</v>
      </c>
      <c r="P162" s="292">
        <f>(H162*'Unit costs'!$H72)/1000</f>
        <v>109.19308533449983</v>
      </c>
      <c r="Q162" s="292">
        <f>(I162*'Unit costs'!$H72)/1000</f>
        <v>110.2459040396874</v>
      </c>
      <c r="R162" s="638"/>
      <c r="S162" s="133"/>
      <c r="T162" s="133"/>
      <c r="U162" s="133"/>
      <c r="V162" s="133"/>
      <c r="W162" s="133"/>
      <c r="X162" s="133"/>
      <c r="Y162" s="133"/>
      <c r="Z162" s="133"/>
      <c r="AJ162" s="286"/>
      <c r="AK162" s="286"/>
      <c r="AL162" s="286"/>
      <c r="AM162" s="286"/>
      <c r="AN162" s="286"/>
    </row>
    <row r="163" spans="1:40" x14ac:dyDescent="0.25">
      <c r="A163" s="291"/>
      <c r="B163" s="252" t="s">
        <v>1033</v>
      </c>
      <c r="C163" s="167"/>
      <c r="D163" s="128">
        <f>('Unit costs'!$C73*'Financial impact (cash)'!D$14)+('Unit costs'!$D73*'Financial impact (cash)'!D$15)+('Unit costs'!$E73*'Financial impact (cash)'!D$16)+('Unit costs'!$F73*'Financial impact (cash)'!D$17)</f>
        <v>45.274839413759999</v>
      </c>
      <c r="E163" s="128">
        <f>('Unit costs'!$C73*'Financial impact (cash)'!E$14)+('Unit costs'!$D73*'Financial impact (cash)'!E$15)+('Unit costs'!$E73*'Financial impact (cash)'!E$16)+('Unit costs'!$F73*'Financial impact (cash)'!E$17)</f>
        <v>33.62241315828885</v>
      </c>
      <c r="F163" s="128">
        <f>('Unit costs'!$C73*'Financial impact (cash)'!F$14)+('Unit costs'!$D73*'Financial impact (cash)'!F$15)+('Unit costs'!$E73*'Financial impact (cash)'!F$16)+('Unit costs'!$F73*'Financial impact (cash)'!F$17)</f>
        <v>11.061249727871671</v>
      </c>
      <c r="G163" s="128">
        <f>('Unit costs'!$C73*'Financial impact (cash)'!G$14)+('Unit costs'!$D73*'Financial impact (cash)'!G$15)+('Unit costs'!$E73*'Financial impact (cash)'!G$16)+('Unit costs'!$F73*'Financial impact (cash)'!G$17)</f>
        <v>11.167900168058246</v>
      </c>
      <c r="H163" s="128">
        <f>('Unit costs'!$C73*'Financial impact (cash)'!H$14)+('Unit costs'!$D73*'Financial impact (cash)'!H$15)+('Unit costs'!$E73*'Financial impact (cash)'!H$16)+('Unit costs'!$F73*'Financial impact (cash)'!H$17)</f>
        <v>11.275578911255042</v>
      </c>
      <c r="I163" s="128">
        <f>('Unit costs'!$C73*'Financial impact (cash)'!I$14)+('Unit costs'!$D73*'Financial impact (cash)'!I$15)+('Unit costs'!$E73*'Financial impact (cash)'!I$16)+('Unit costs'!$F73*'Financial impact (cash)'!I$17)</f>
        <v>11.384295872161701</v>
      </c>
      <c r="J163" s="291"/>
      <c r="K163" s="291"/>
      <c r="L163" s="292">
        <f>(D163*'Unit costs'!$H73)/1000</f>
        <v>6.9252208810183822</v>
      </c>
      <c r="M163" s="292">
        <f>(E163*'Unit costs'!$H73)/1000</f>
        <v>5.142870536681424</v>
      </c>
      <c r="N163" s="292">
        <f>(F163*'Unit costs'!$H73)/1000</f>
        <v>1.691924224966658</v>
      </c>
      <c r="O163" s="292">
        <f>(G163*'Unit costs'!$H73)/1000</f>
        <v>1.708237432587344</v>
      </c>
      <c r="P163" s="292">
        <f>(H163*'Unit costs'!$H73)/1000</f>
        <v>1.7247079290150271</v>
      </c>
      <c r="Q163" s="292">
        <f>(I163*'Unit costs'!$H73)/1000</f>
        <v>1.7413372307981017</v>
      </c>
      <c r="R163" s="638"/>
      <c r="S163" s="133"/>
      <c r="T163" s="133"/>
      <c r="U163" s="133"/>
      <c r="V163" s="133"/>
      <c r="W163" s="133"/>
      <c r="X163" s="133"/>
      <c r="Y163" s="133"/>
      <c r="Z163" s="133"/>
      <c r="AJ163" s="286"/>
      <c r="AK163" s="286"/>
      <c r="AL163" s="286"/>
      <c r="AM163" s="286"/>
      <c r="AN163" s="286"/>
    </row>
    <row r="164" spans="1:40" x14ac:dyDescent="0.25">
      <c r="A164" s="291"/>
      <c r="B164" s="252" t="s">
        <v>1034</v>
      </c>
      <c r="C164" s="167"/>
      <c r="D164" s="128">
        <f>('Unit costs'!$C74*'Financial impact (cash)'!D$14)+('Unit costs'!$D74*'Financial impact (cash)'!D$15)+('Unit costs'!$E74*'Financial impact (cash)'!D$16)+('Unit costs'!$F74*'Financial impact (cash)'!D$17)</f>
        <v>21.570904413658543</v>
      </c>
      <c r="E164" s="128">
        <f>('Unit costs'!$C74*'Financial impact (cash)'!E$14)+('Unit costs'!$D74*'Financial impact (cash)'!E$15)+('Unit costs'!$E74*'Financial impact (cash)'!E$16)+('Unit costs'!$F74*'Financial impact (cash)'!E$17)</f>
        <v>34.622845874152475</v>
      </c>
      <c r="F164" s="128">
        <f>('Unit costs'!$C74*'Financial impact (cash)'!F$14)+('Unit costs'!$D74*'Financial impact (cash)'!F$15)+('Unit costs'!$E74*'Financial impact (cash)'!F$16)+('Unit costs'!$F74*'Financial impact (cash)'!F$17)</f>
        <v>58.214136371422384</v>
      </c>
      <c r="G164" s="128">
        <f>('Unit costs'!$C74*'Financial impact (cash)'!G$14)+('Unit costs'!$D74*'Financial impact (cash)'!G$15)+('Unit costs'!$E74*'Financial impact (cash)'!G$16)+('Unit costs'!$F74*'Financial impact (cash)'!G$17)</f>
        <v>58.775425865994549</v>
      </c>
      <c r="H164" s="128">
        <f>('Unit costs'!$C74*'Financial impact (cash)'!H$14)+('Unit costs'!$D74*'Financial impact (cash)'!H$15)+('Unit costs'!$E74*'Financial impact (cash)'!H$16)+('Unit costs'!$F74*'Financial impact (cash)'!H$17)</f>
        <v>59.342127205804886</v>
      </c>
      <c r="I164" s="128">
        <f>('Unit costs'!$C74*'Financial impact (cash)'!I$14)+('Unit costs'!$D74*'Financial impact (cash)'!I$15)+('Unit costs'!$E74*'Financial impact (cash)'!I$16)+('Unit costs'!$F74*'Financial impact (cash)'!I$17)</f>
        <v>59.914292570823228</v>
      </c>
      <c r="J164" s="291"/>
      <c r="K164" s="291"/>
      <c r="L164" s="292">
        <f>(D164*'Unit costs'!$H74)/1000</f>
        <v>3.6621671069517561</v>
      </c>
      <c r="M164" s="292">
        <f>(E164*'Unit costs'!$H74)/1000</f>
        <v>5.8780403861553463</v>
      </c>
      <c r="N164" s="292">
        <f>(F164*'Unit costs'!$H74)/1000</f>
        <v>9.8832154318034338</v>
      </c>
      <c r="O164" s="292">
        <f>(G164*'Unit costs'!$H74)/1000</f>
        <v>9.9785074921214143</v>
      </c>
      <c r="P164" s="292">
        <f>(H164*'Unit costs'!$H74)/1000</f>
        <v>10.074718340137821</v>
      </c>
      <c r="Q164" s="292">
        <f>(I164*'Unit costs'!$H74)/1000</f>
        <v>10.171856834626743</v>
      </c>
      <c r="R164" s="638"/>
      <c r="S164" s="133"/>
      <c r="T164" s="133"/>
      <c r="U164" s="133"/>
      <c r="V164" s="133"/>
      <c r="W164" s="133"/>
      <c r="X164" s="133"/>
      <c r="Y164" s="133"/>
      <c r="Z164" s="133"/>
      <c r="AJ164" s="286"/>
      <c r="AK164" s="286"/>
      <c r="AL164" s="286"/>
      <c r="AM164" s="286"/>
      <c r="AN164" s="286"/>
    </row>
    <row r="165" spans="1:40" x14ac:dyDescent="0.25">
      <c r="A165" s="291"/>
      <c r="B165" s="252" t="s">
        <v>1035</v>
      </c>
      <c r="C165" s="167"/>
      <c r="D165" s="128">
        <f>('Unit costs'!$C75*'Financial impact (cash)'!D$14)+('Unit costs'!$D75*'Financial impact (cash)'!D$15)+('Unit costs'!$E75*'Financial impact (cash)'!D$16)+('Unit costs'!$F75*'Financial impact (cash)'!D$17)</f>
        <v>26.963630517073145</v>
      </c>
      <c r="E165" s="128">
        <f>('Unit costs'!$C75*'Financial impact (cash)'!E$14)+('Unit costs'!$D75*'Financial impact (cash)'!E$15)+('Unit costs'!$E75*'Financial impact (cash)'!E$16)+('Unit costs'!$F75*'Financial impact (cash)'!E$17)</f>
        <v>30.015773640898296</v>
      </c>
      <c r="F165" s="128">
        <f>('Unit costs'!$C75*'Financial impact (cash)'!F$14)+('Unit costs'!$D75*'Financial impact (cash)'!F$15)+('Unit costs'!$E75*'Financial impact (cash)'!F$16)+('Unit costs'!$F75*'Financial impact (cash)'!F$17)</f>
        <v>35.943352965406071</v>
      </c>
      <c r="G165" s="128">
        <f>('Unit costs'!$C75*'Financial impact (cash)'!G$14)+('Unit costs'!$D75*'Financial impact (cash)'!G$15)+('Unit costs'!$E75*'Financial impact (cash)'!G$16)+('Unit costs'!$F75*'Financial impact (cash)'!G$17)</f>
        <v>36.28991185430656</v>
      </c>
      <c r="H165" s="128">
        <f>('Unit costs'!$C75*'Financial impact (cash)'!H$14)+('Unit costs'!$D75*'Financial impact (cash)'!H$15)+('Unit costs'!$E75*'Financial impact (cash)'!H$16)+('Unit costs'!$F75*'Financial impact (cash)'!H$17)</f>
        <v>36.639812197288727</v>
      </c>
      <c r="I165" s="128">
        <f>('Unit costs'!$C75*'Financial impact (cash)'!I$14)+('Unit costs'!$D75*'Financial impact (cash)'!I$15)+('Unit costs'!$E75*'Financial impact (cash)'!I$16)+('Unit costs'!$F75*'Financial impact (cash)'!I$17)</f>
        <v>36.993086212009501</v>
      </c>
      <c r="J165" s="291"/>
      <c r="K165" s="291"/>
      <c r="L165" s="292">
        <f>(D165*'Unit costs'!$H75)/1000</f>
        <v>18.968322965347063</v>
      </c>
      <c r="M165" s="292">
        <f>(E165*'Unit costs'!$H75)/1000</f>
        <v>21.115438743117444</v>
      </c>
      <c r="N165" s="292">
        <f>(F165*'Unit costs'!$H75)/1000</f>
        <v>25.285360852040558</v>
      </c>
      <c r="O165" s="292">
        <f>(G165*'Unit costs'!$H75)/1000</f>
        <v>25.529157433031902</v>
      </c>
      <c r="P165" s="292">
        <f>(H165*'Unit costs'!$H75)/1000</f>
        <v>25.775304653717519</v>
      </c>
      <c r="Q165" s="292">
        <f>(I165*'Unit costs'!$H75)/1000</f>
        <v>26.023825178512777</v>
      </c>
      <c r="R165" s="638"/>
      <c r="S165" s="133"/>
      <c r="T165" s="133"/>
      <c r="U165" s="133"/>
      <c r="V165" s="133"/>
      <c r="W165" s="133"/>
      <c r="X165" s="133"/>
      <c r="Y165" s="133"/>
      <c r="Z165" s="133"/>
      <c r="AJ165" s="286"/>
      <c r="AK165" s="286"/>
      <c r="AL165" s="286"/>
      <c r="AM165" s="286"/>
      <c r="AN165" s="286"/>
    </row>
    <row r="166" spans="1:40" x14ac:dyDescent="0.25">
      <c r="A166" s="291"/>
      <c r="B166" s="252" t="s">
        <v>1036</v>
      </c>
      <c r="C166" s="167"/>
      <c r="D166" s="128">
        <f>('Unit costs'!$C76*'Financial impact (cash)'!D$14)+('Unit costs'!$D76*'Financial impact (cash)'!D$15)+('Unit costs'!$E76*'Financial impact (cash)'!D$16)+('Unit costs'!$F76*'Financial impact (cash)'!D$17)</f>
        <v>37.74908272390244</v>
      </c>
      <c r="E166" s="128">
        <f>('Unit costs'!$C76*'Financial impact (cash)'!E$14)+('Unit costs'!$D76*'Financial impact (cash)'!E$15)+('Unit costs'!$E76*'Financial impact (cash)'!E$16)+('Unit costs'!$F76*'Financial impact (cash)'!E$17)</f>
        <v>37.554619113496031</v>
      </c>
      <c r="F166" s="128">
        <f>('Unit costs'!$C76*'Financial impact (cash)'!F$14)+('Unit costs'!$D76*'Financial impact (cash)'!F$15)+('Unit costs'!$E76*'Financial impact (cash)'!F$16)+('Unit costs'!$F76*'Financial impact (cash)'!F$17)</f>
        <v>37.916713520369548</v>
      </c>
      <c r="G166" s="128">
        <f>('Unit costs'!$C76*'Financial impact (cash)'!G$14)+('Unit costs'!$D76*'Financial impact (cash)'!G$15)+('Unit costs'!$E76*'Financial impact (cash)'!G$16)+('Unit costs'!$F76*'Financial impact (cash)'!G$17)</f>
        <v>38.282299171797909</v>
      </c>
      <c r="H166" s="128">
        <f>('Unit costs'!$C76*'Financial impact (cash)'!H$14)+('Unit costs'!$D76*'Financial impact (cash)'!H$15)+('Unit costs'!$E76*'Financial impact (cash)'!H$16)+('Unit costs'!$F76*'Financial impact (cash)'!H$17)</f>
        <v>38.651409729688901</v>
      </c>
      <c r="I166" s="128">
        <f>('Unit costs'!$C76*'Financial impact (cash)'!I$14)+('Unit costs'!$D76*'Financial impact (cash)'!I$15)+('Unit costs'!$E76*'Financial impact (cash)'!I$16)+('Unit costs'!$F76*'Financial impact (cash)'!I$17)</f>
        <v>39.02407918051199</v>
      </c>
      <c r="J166" s="291"/>
      <c r="K166" s="291"/>
      <c r="L166" s="292">
        <f>(D166*'Unit costs'!$H76)/1000</f>
        <v>23.705329938249758</v>
      </c>
      <c r="M166" s="292">
        <f>(E166*'Unit costs'!$H76)/1000</f>
        <v>23.583212426696335</v>
      </c>
      <c r="N166" s="292">
        <f>(F166*'Unit costs'!$H76)/1000</f>
        <v>23.810597220295481</v>
      </c>
      <c r="O166" s="292">
        <f>(G166*'Unit costs'!$H76)/1000</f>
        <v>24.040174414294736</v>
      </c>
      <c r="P166" s="292">
        <f>(H166*'Unit costs'!$H76)/1000</f>
        <v>24.271965147396628</v>
      </c>
      <c r="Q166" s="292">
        <f>(I166*'Unit costs'!$H76)/1000</f>
        <v>24.505990762119023</v>
      </c>
      <c r="R166" s="638"/>
      <c r="S166" s="133"/>
      <c r="T166" s="133"/>
      <c r="U166" s="133"/>
      <c r="V166" s="133"/>
      <c r="W166" s="133"/>
      <c r="X166" s="133"/>
      <c r="Y166" s="133"/>
      <c r="Z166" s="133"/>
      <c r="AJ166" s="286"/>
      <c r="AK166" s="286"/>
      <c r="AL166" s="286"/>
      <c r="AM166" s="286"/>
      <c r="AN166" s="286"/>
    </row>
    <row r="167" spans="1:40" x14ac:dyDescent="0.25">
      <c r="A167" s="291"/>
      <c r="B167" s="252" t="s">
        <v>1037</v>
      </c>
      <c r="C167" s="167"/>
      <c r="D167" s="128">
        <f>('Unit costs'!$C77*'Financial impact (cash)'!D$14)+('Unit costs'!$D77*'Financial impact (cash)'!D$15)+('Unit costs'!$E77*'Financial impact (cash)'!D$16)+('Unit costs'!$F77*'Financial impact (cash)'!D$17)</f>
        <v>40.070443898880008</v>
      </c>
      <c r="E167" s="128">
        <f>('Unit costs'!$C77*'Financial impact (cash)'!E$14)+('Unit costs'!$D77*'Financial impact (cash)'!E$15)+('Unit costs'!$E77*'Financial impact (cash)'!E$16)+('Unit costs'!$F77*'Financial impact (cash)'!E$17)</f>
        <v>30.840579178900299</v>
      </c>
      <c r="F167" s="128">
        <f>('Unit costs'!$C77*'Financial impact (cash)'!F$14)+('Unit costs'!$D77*'Financial impact (cash)'!F$15)+('Unit costs'!$E77*'Financial impact (cash)'!F$16)+('Unit costs'!$F77*'Financial impact (cash)'!F$17)</f>
        <v>12.933686985881296</v>
      </c>
      <c r="G167" s="128">
        <f>('Unit costs'!$C77*'Financial impact (cash)'!G$14)+('Unit costs'!$D77*'Financial impact (cash)'!G$15)+('Unit costs'!$E77*'Financial impact (cash)'!G$16)+('Unit costs'!$F77*'Financial impact (cash)'!G$17)</f>
        <v>13.058391105597888</v>
      </c>
      <c r="H167" s="128">
        <f>('Unit costs'!$C77*'Financial impact (cash)'!H$14)+('Unit costs'!$D77*'Financial impact (cash)'!H$15)+('Unit costs'!$E77*'Financial impact (cash)'!H$16)+('Unit costs'!$F77*'Financial impact (cash)'!H$17)</f>
        <v>13.184297598426745</v>
      </c>
      <c r="I167" s="128">
        <f>('Unit costs'!$C77*'Financial impact (cash)'!I$14)+('Unit costs'!$D77*'Financial impact (cash)'!I$15)+('Unit costs'!$E77*'Financial impact (cash)'!I$16)+('Unit costs'!$F77*'Financial impact (cash)'!I$17)</f>
        <v>13.311418057417914</v>
      </c>
      <c r="J167" s="291"/>
      <c r="K167" s="291"/>
      <c r="L167" s="292">
        <f>(D167*'Unit costs'!$H77)/1000</f>
        <v>8.2456462344898949</v>
      </c>
      <c r="M167" s="292">
        <f>(E167*'Unit costs'!$H77)/1000</f>
        <v>6.3463361228971706</v>
      </c>
      <c r="N167" s="292">
        <f>(F167*'Unit costs'!$H77)/1000</f>
        <v>2.6614780625423498</v>
      </c>
      <c r="O167" s="292">
        <f>(G167*'Unit costs'!$H77)/1000</f>
        <v>2.6871395215908538</v>
      </c>
      <c r="P167" s="292">
        <f>(H167*'Unit costs'!$H77)/1000</f>
        <v>2.7130484034867468</v>
      </c>
      <c r="Q167" s="292">
        <f>(I167*'Unit costs'!$H77)/1000</f>
        <v>2.7392070938334854</v>
      </c>
      <c r="R167" s="638"/>
      <c r="S167" s="133"/>
      <c r="T167" s="133"/>
      <c r="U167" s="133"/>
      <c r="V167" s="133"/>
      <c r="W167" s="133"/>
      <c r="X167" s="133"/>
      <c r="Y167" s="133"/>
      <c r="Z167" s="133"/>
      <c r="AJ167" s="286"/>
      <c r="AK167" s="286"/>
      <c r="AL167" s="286"/>
      <c r="AM167" s="286"/>
      <c r="AN167" s="286"/>
    </row>
    <row r="168" spans="1:40" x14ac:dyDescent="0.25">
      <c r="A168" s="291"/>
      <c r="B168" s="252" t="s">
        <v>1038</v>
      </c>
      <c r="C168" s="167"/>
      <c r="D168" s="128">
        <f>('Unit costs'!$C78*'Financial impact (cash)'!D$14)+('Unit costs'!$D78*'Financial impact (cash)'!D$15)+('Unit costs'!$E78*'Financial impact (cash)'!D$16)+('Unit costs'!$F78*'Financial impact (cash)'!D$17)</f>
        <v>53.927261034146348</v>
      </c>
      <c r="E168" s="128">
        <f>('Unit costs'!$C78*'Financial impact (cash)'!E$14)+('Unit costs'!$D78*'Financial impact (cash)'!E$15)+('Unit costs'!$E78*'Financial impact (cash)'!E$16)+('Unit costs'!$F78*'Financial impact (cash)'!E$17)</f>
        <v>54.447217302094614</v>
      </c>
      <c r="F168" s="128">
        <f>('Unit costs'!$C78*'Financial impact (cash)'!F$14)+('Unit costs'!$D78*'Financial impact (cash)'!F$15)+('Unit costs'!$E78*'Financial impact (cash)'!F$16)+('Unit costs'!$F78*'Financial impact (cash)'!F$17)</f>
        <v>56.381730141813449</v>
      </c>
      <c r="G168" s="128">
        <f>('Unit costs'!$C78*'Financial impact (cash)'!G$14)+('Unit costs'!$D78*'Financial impact (cash)'!G$15)+('Unit costs'!$E78*'Financial impact (cash)'!G$16)+('Unit costs'!$F78*'Financial impact (cash)'!G$17)</f>
        <v>56.925351928324019</v>
      </c>
      <c r="H168" s="128">
        <f>('Unit costs'!$C78*'Financial impact (cash)'!H$14)+('Unit costs'!$D78*'Financial impact (cash)'!H$15)+('Unit costs'!$E78*'Financial impact (cash)'!H$16)+('Unit costs'!$F78*'Financial impact (cash)'!H$17)</f>
        <v>57.474215211433304</v>
      </c>
      <c r="I168" s="128">
        <f>('Unit costs'!$C78*'Financial impact (cash)'!I$14)+('Unit costs'!$D78*'Financial impact (cash)'!I$15)+('Unit costs'!$E78*'Financial impact (cash)'!I$16)+('Unit costs'!$F78*'Financial impact (cash)'!I$17)</f>
        <v>58.028370528642355</v>
      </c>
      <c r="J168" s="291"/>
      <c r="K168" s="291"/>
      <c r="L168" s="292">
        <f>(D168*'Unit costs'!$H78)/1000</f>
        <v>11.910670954404013</v>
      </c>
      <c r="M168" s="292">
        <f>(E168*'Unit costs'!$H78)/1000</f>
        <v>12.025511350512584</v>
      </c>
      <c r="N168" s="292">
        <f>(F168*'Unit costs'!$H78)/1000</f>
        <v>12.452778477548225</v>
      </c>
      <c r="O168" s="292">
        <f>(G168*'Unit costs'!$H78)/1000</f>
        <v>12.572845770019706</v>
      </c>
      <c r="P168" s="292">
        <f>(H168*'Unit costs'!$H78)/1000</f>
        <v>12.694070728207906</v>
      </c>
      <c r="Q168" s="292">
        <f>(I168*'Unit costs'!$H78)/1000</f>
        <v>12.816464514102782</v>
      </c>
      <c r="R168" s="638"/>
      <c r="S168" s="133"/>
      <c r="T168" s="133"/>
      <c r="U168" s="133"/>
      <c r="V168" s="133"/>
      <c r="W168" s="133"/>
      <c r="X168" s="133"/>
      <c r="Y168" s="133"/>
      <c r="Z168" s="133"/>
      <c r="AJ168" s="286"/>
      <c r="AK168" s="286"/>
      <c r="AL168" s="286"/>
      <c r="AM168" s="286"/>
      <c r="AN168" s="286"/>
    </row>
    <row r="169" spans="1:40" x14ac:dyDescent="0.25">
      <c r="A169" s="291"/>
      <c r="B169" s="252" t="s">
        <v>1039</v>
      </c>
      <c r="C169" s="167"/>
      <c r="D169" s="128">
        <f>('Unit costs'!$C79*'Financial impact (cash)'!D$14)+('Unit costs'!$D79*'Financial impact (cash)'!D$15)+('Unit costs'!$E79*'Financial impact (cash)'!D$16)+('Unit costs'!$F79*'Financial impact (cash)'!D$17)</f>
        <v>24.991303168512005</v>
      </c>
      <c r="E169" s="128">
        <f>('Unit costs'!$C79*'Financial impact (cash)'!E$14)+('Unit costs'!$D79*'Financial impact (cash)'!E$15)+('Unit costs'!$E79*'Financial impact (cash)'!E$16)+('Unit costs'!$F79*'Financial impact (cash)'!E$17)</f>
        <v>18.638287661903334</v>
      </c>
      <c r="F169" s="128">
        <f>('Unit costs'!$C79*'Financial impact (cash)'!F$14)+('Unit costs'!$D79*'Financial impact (cash)'!F$15)+('Unit costs'!$E79*'Financial impact (cash)'!F$16)+('Unit costs'!$F79*'Financial impact (cash)'!F$17)</f>
        <v>6.3350793895992297</v>
      </c>
      <c r="G169" s="128">
        <f>('Unit costs'!$C79*'Financial impact (cash)'!G$14)+('Unit costs'!$D79*'Financial impact (cash)'!G$15)+('Unit costs'!$E79*'Financial impact (cash)'!G$16)+('Unit costs'!$F79*'Financial impact (cash)'!G$17)</f>
        <v>6.3961610053424511</v>
      </c>
      <c r="H169" s="128">
        <f>('Unit costs'!$C79*'Financial impact (cash)'!H$14)+('Unit costs'!$D79*'Financial impact (cash)'!H$15)+('Unit costs'!$E79*'Financial impact (cash)'!H$16)+('Unit costs'!$F79*'Financial impact (cash)'!H$17)</f>
        <v>6.4578315582642531</v>
      </c>
      <c r="I169" s="128">
        <f>('Unit costs'!$C79*'Financial impact (cash)'!I$14)+('Unit costs'!$D79*'Financial impact (cash)'!I$15)+('Unit costs'!$E79*'Financial impact (cash)'!I$16)+('Unit costs'!$F79*'Financial impact (cash)'!I$17)</f>
        <v>6.5200967267835193</v>
      </c>
      <c r="J169" s="291"/>
      <c r="K169" s="291"/>
      <c r="L169" s="292">
        <f>(D169*'Unit costs'!$H79)/1000</f>
        <v>3.8226594900707789</v>
      </c>
      <c r="M169" s="292">
        <f>(E169*'Unit costs'!$H79)/1000</f>
        <v>2.8509048419377008</v>
      </c>
      <c r="N169" s="292">
        <f>(F169*'Unit costs'!$H79)/1000</f>
        <v>0.96901114702635871</v>
      </c>
      <c r="O169" s="292">
        <f>(G169*'Unit costs'!$H79)/1000</f>
        <v>0.97835416593638802</v>
      </c>
      <c r="P169" s="292">
        <f>(H169*'Unit costs'!$H79)/1000</f>
        <v>0.98778726843587938</v>
      </c>
      <c r="Q169" s="292">
        <f>(I169*'Unit costs'!$H79)/1000</f>
        <v>0.99731132309345805</v>
      </c>
      <c r="R169" s="638"/>
      <c r="S169" s="133"/>
      <c r="T169" s="133"/>
      <c r="U169" s="133"/>
      <c r="V169" s="133"/>
      <c r="W169" s="133"/>
      <c r="X169" s="133"/>
      <c r="Y169" s="133"/>
      <c r="Z169" s="133"/>
      <c r="AJ169" s="286"/>
      <c r="AK169" s="286"/>
      <c r="AL169" s="286"/>
      <c r="AM169" s="286"/>
      <c r="AN169" s="286"/>
    </row>
    <row r="170" spans="1:40" x14ac:dyDescent="0.25">
      <c r="A170" s="291"/>
      <c r="B170" s="252" t="s">
        <v>1040</v>
      </c>
      <c r="C170" s="167"/>
      <c r="D170" s="128">
        <f>('Unit costs'!$C80*'Financial impact (cash)'!D$14)+('Unit costs'!$D80*'Financial impact (cash)'!D$15)+('Unit costs'!$E80*'Financial impact (cash)'!D$16)+('Unit costs'!$F80*'Financial impact (cash)'!D$17)</f>
        <v>426.02536216975619</v>
      </c>
      <c r="E170" s="128">
        <f>('Unit costs'!$C80*'Financial impact (cash)'!E$14)+('Unit costs'!$D80*'Financial impact (cash)'!E$15)+('Unit costs'!$E80*'Financial impact (cash)'!E$16)+('Unit costs'!$F80*'Financial impact (cash)'!E$17)</f>
        <v>593.75388509181607</v>
      </c>
      <c r="F170" s="128">
        <f>('Unit costs'!$C80*'Financial impact (cash)'!F$14)+('Unit costs'!$D80*'Financial impact (cash)'!F$15)+('Unit costs'!$E80*'Financial impact (cash)'!F$16)+('Unit costs'!$F80*'Financial impact (cash)'!F$17)</f>
        <v>899.7114587379873</v>
      </c>
      <c r="G170" s="128">
        <f>('Unit costs'!$C80*'Financial impact (cash)'!G$14)+('Unit costs'!$D80*'Financial impact (cash)'!G$15)+('Unit costs'!$E80*'Financial impact (cash)'!G$16)+('Unit costs'!$F80*'Financial impact (cash)'!G$17)</f>
        <v>908.38630339622966</v>
      </c>
      <c r="H170" s="128">
        <f>('Unit costs'!$C80*'Financial impact (cash)'!H$14)+('Unit costs'!$D80*'Financial impact (cash)'!H$15)+('Unit costs'!$E80*'Financial impact (cash)'!H$16)+('Unit costs'!$F80*'Financial impact (cash)'!H$17)</f>
        <v>917.14478923644617</v>
      </c>
      <c r="I170" s="128">
        <f>('Unit costs'!$C80*'Financial impact (cash)'!I$14)+('Unit costs'!$D80*'Financial impact (cash)'!I$15)+('Unit costs'!$E80*'Financial impact (cash)'!I$16)+('Unit costs'!$F80*'Financial impact (cash)'!I$17)</f>
        <v>925.98772271080952</v>
      </c>
      <c r="J170" s="291"/>
      <c r="K170" s="291"/>
      <c r="L170" s="292">
        <f>(D170*'Unit costs'!$H80)/1000</f>
        <v>267.53158073167589</v>
      </c>
      <c r="M170" s="292">
        <f>(E170*'Unit costs'!$H80)/1000</f>
        <v>372.86023215888275</v>
      </c>
      <c r="N170" s="292">
        <f>(F170*'Unit costs'!$H80)/1000</f>
        <v>564.99272140202936</v>
      </c>
      <c r="O170" s="292">
        <f>(G170*'Unit costs'!$H80)/1000</f>
        <v>570.44027244030906</v>
      </c>
      <c r="P170" s="292">
        <f>(H170*'Unit costs'!$H80)/1000</f>
        <v>575.9403477168496</v>
      </c>
      <c r="Q170" s="292">
        <f>(I170*'Unit costs'!$H80)/1000</f>
        <v>581.49345366024363</v>
      </c>
      <c r="R170" s="638"/>
      <c r="S170" s="133"/>
      <c r="T170" s="133"/>
      <c r="U170" s="133"/>
      <c r="V170" s="133"/>
      <c r="W170" s="133"/>
      <c r="X170" s="133"/>
      <c r="Y170" s="133"/>
      <c r="Z170" s="133"/>
      <c r="AJ170" s="286"/>
      <c r="AK170" s="286"/>
      <c r="AL170" s="286"/>
      <c r="AM170" s="286"/>
      <c r="AN170" s="286"/>
    </row>
    <row r="171" spans="1:40" x14ac:dyDescent="0.25">
      <c r="A171" s="291"/>
      <c r="B171" s="252" t="s">
        <v>1041</v>
      </c>
      <c r="C171" s="167"/>
      <c r="D171" s="128">
        <f>('Unit costs'!$C81*'Financial impact (cash)'!D$14)+('Unit costs'!$D81*'Financial impact (cash)'!D$15)+('Unit costs'!$E81*'Financial impact (cash)'!D$16)+('Unit costs'!$F81*'Financial impact (cash)'!D$17)</f>
        <v>70.105439344390263</v>
      </c>
      <c r="E171" s="128">
        <f>('Unit costs'!$C81*'Financial impact (cash)'!E$14)+('Unit costs'!$D81*'Financial impact (cash)'!E$15)+('Unit costs'!$E81*'Financial impact (cash)'!E$16)+('Unit costs'!$F81*'Financial impact (cash)'!E$17)</f>
        <v>110.43012534860728</v>
      </c>
      <c r="F171" s="128">
        <f>('Unit costs'!$C81*'Financial impact (cash)'!F$14)+('Unit costs'!$D81*'Financial impact (cash)'!F$15)+('Unit costs'!$E81*'Financial impact (cash)'!F$16)+('Unit costs'!$F81*'Financial impact (cash)'!F$17)</f>
        <v>183.38157728624824</v>
      </c>
      <c r="G171" s="128">
        <f>('Unit costs'!$C81*'Financial impact (cash)'!G$14)+('Unit costs'!$D81*'Financial impact (cash)'!G$15)+('Unit costs'!$E81*'Financial impact (cash)'!G$16)+('Unit costs'!$F81*'Financial impact (cash)'!G$17)</f>
        <v>185.14970714687388</v>
      </c>
      <c r="H171" s="128">
        <f>('Unit costs'!$C81*'Financial impact (cash)'!H$14)+('Unit costs'!$D81*'Financial impact (cash)'!H$15)+('Unit costs'!$E81*'Financial impact (cash)'!H$16)+('Unit costs'!$F81*'Financial impact (cash)'!H$17)</f>
        <v>186.93488497518683</v>
      </c>
      <c r="I171" s="128">
        <f>('Unit costs'!$C81*'Financial impact (cash)'!I$14)+('Unit costs'!$D81*'Financial impact (cash)'!I$15)+('Unit costs'!$E81*'Financial impact (cash)'!I$16)+('Unit costs'!$F81*'Financial impact (cash)'!I$17)</f>
        <v>188.73727514440927</v>
      </c>
      <c r="J171" s="291"/>
      <c r="K171" s="291"/>
      <c r="L171" s="292">
        <f>(D171*'Unit costs'!$H81)/1000</f>
        <v>44.024184171035273</v>
      </c>
      <c r="M171" s="292">
        <f>(E171*'Unit costs'!$H81)/1000</f>
        <v>69.346918325341264</v>
      </c>
      <c r="N171" s="292">
        <f>(F171*'Unit costs'!$H81)/1000</f>
        <v>115.15831592417999</v>
      </c>
      <c r="O171" s="292">
        <f>(G171*'Unit costs'!$H81)/1000</f>
        <v>116.26865023419126</v>
      </c>
      <c r="P171" s="292">
        <f>(H171*'Unit costs'!$H81)/1000</f>
        <v>117.38969017384019</v>
      </c>
      <c r="Q171" s="292">
        <f>(I171*'Unit costs'!$H81)/1000</f>
        <v>118.52153896474663</v>
      </c>
      <c r="R171" s="638"/>
      <c r="S171" s="133"/>
      <c r="T171" s="133"/>
      <c r="U171" s="133"/>
      <c r="V171" s="133"/>
      <c r="W171" s="133"/>
      <c r="X171" s="133"/>
      <c r="Y171" s="133"/>
      <c r="Z171" s="133"/>
      <c r="AJ171" s="286"/>
      <c r="AK171" s="286"/>
      <c r="AL171" s="286"/>
      <c r="AM171" s="286"/>
      <c r="AN171" s="286"/>
    </row>
    <row r="172" spans="1:40" x14ac:dyDescent="0.25">
      <c r="A172" s="291"/>
      <c r="B172" s="252" t="s">
        <v>1042</v>
      </c>
      <c r="C172" s="167"/>
      <c r="D172" s="128">
        <f>('Unit costs'!$C82*'Financial impact (cash)'!D$14)+('Unit costs'!$D82*'Financial impact (cash)'!D$15)+('Unit costs'!$E82*'Financial impact (cash)'!D$16)+('Unit costs'!$F82*'Financial impact (cash)'!D$17)</f>
        <v>26.963630517073174</v>
      </c>
      <c r="E172" s="128">
        <f>('Unit costs'!$C82*'Financial impact (cash)'!E$14)+('Unit costs'!$D82*'Financial impact (cash)'!E$15)+('Unit costs'!$E82*'Financial impact (cash)'!E$16)+('Unit costs'!$F82*'Financial impact (cash)'!E$17)</f>
        <v>24.431443661196301</v>
      </c>
      <c r="F172" s="128">
        <f>('Unit costs'!$C82*'Financial impact (cash)'!F$14)+('Unit costs'!$D82*'Financial impact (cash)'!F$15)+('Unit costs'!$E82*'Financial impact (cash)'!F$16)+('Unit costs'!$F82*'Financial impact (cash)'!F$17)</f>
        <v>20.438377176407378</v>
      </c>
      <c r="G172" s="128">
        <f>('Unit costs'!$C82*'Financial impact (cash)'!G$14)+('Unit costs'!$D82*'Financial impact (cash)'!G$15)+('Unit costs'!$E82*'Financial impact (cash)'!G$16)+('Unit costs'!$F82*'Financial impact (cash)'!G$17)</f>
        <v>20.63544007401746</v>
      </c>
      <c r="H172" s="128">
        <f>('Unit costs'!$C82*'Financial impact (cash)'!H$14)+('Unit costs'!$D82*'Financial impact (cash)'!H$15)+('Unit costs'!$E82*'Financial impact (cash)'!H$16)+('Unit costs'!$F82*'Financial impact (cash)'!H$17)</f>
        <v>20.834403014144574</v>
      </c>
      <c r="I172" s="128">
        <f>('Unit costs'!$C82*'Financial impact (cash)'!I$14)+('Unit costs'!$D82*'Financial impact (cash)'!I$15)+('Unit costs'!$E82*'Financial impact (cash)'!I$16)+('Unit costs'!$F82*'Financial impact (cash)'!I$17)</f>
        <v>21.035284316632854</v>
      </c>
      <c r="J172" s="291"/>
      <c r="K172" s="291"/>
      <c r="L172" s="292">
        <f>(D172*'Unit costs'!$H82)/1000</f>
        <v>51.390500504421389</v>
      </c>
      <c r="M172" s="292">
        <f>(E172*'Unit costs'!$H82)/1000</f>
        <v>46.564357014143546</v>
      </c>
      <c r="N172" s="292">
        <f>(F172*'Unit costs'!$H82)/1000</f>
        <v>38.953895022728908</v>
      </c>
      <c r="O172" s="292">
        <f>(G172*'Unit costs'!$H82)/1000</f>
        <v>39.329480978508165</v>
      </c>
      <c r="P172" s="292">
        <f>(H172*'Unit costs'!$H82)/1000</f>
        <v>39.708688261759185</v>
      </c>
      <c r="Q172" s="292">
        <f>(I172*'Unit costs'!$H82)/1000</f>
        <v>40.091551788624237</v>
      </c>
      <c r="R172" s="638"/>
      <c r="S172" s="133"/>
      <c r="T172" s="133"/>
      <c r="U172" s="133"/>
      <c r="V172" s="133"/>
      <c r="W172" s="133"/>
      <c r="X172" s="133"/>
      <c r="Y172" s="133"/>
      <c r="Z172" s="133"/>
      <c r="AJ172" s="286"/>
      <c r="AK172" s="286"/>
      <c r="AL172" s="286"/>
      <c r="AM172" s="286"/>
      <c r="AN172" s="286"/>
    </row>
    <row r="173" spans="1:40" x14ac:dyDescent="0.25">
      <c r="A173" s="291"/>
      <c r="B173" s="252" t="s">
        <v>1043</v>
      </c>
      <c r="C173" s="167"/>
      <c r="D173" s="128">
        <f>('Unit costs'!$C83*'Financial impact (cash)'!D$14)+('Unit costs'!$D83*'Financial impact (cash)'!D$15)+('Unit costs'!$E83*'Financial impact (cash)'!D$16)+('Unit costs'!$F83*'Financial impact (cash)'!D$17)</f>
        <v>52.384111718400007</v>
      </c>
      <c r="E173" s="128">
        <f>('Unit costs'!$C83*'Financial impact (cash)'!E$14)+('Unit costs'!$D83*'Financial impact (cash)'!E$15)+('Unit costs'!$E83*'Financial impact (cash)'!E$16)+('Unit costs'!$F83*'Financial impact (cash)'!E$17)</f>
        <v>37.777992312684106</v>
      </c>
      <c r="F173" s="128">
        <f>('Unit costs'!$C83*'Financial impact (cash)'!F$14)+('Unit costs'!$D83*'Financial impact (cash)'!F$15)+('Unit costs'!$E83*'Financial impact (cash)'!F$16)+('Unit costs'!$F83*'Financial impact (cash)'!F$17)</f>
        <v>9.5355601102341989</v>
      </c>
      <c r="G173" s="128">
        <f>('Unit costs'!$C83*'Financial impact (cash)'!G$14)+('Unit costs'!$D83*'Financial impact (cash)'!G$15)+('Unit costs'!$E83*'Financial impact (cash)'!G$16)+('Unit costs'!$F83*'Financial impact (cash)'!G$17)</f>
        <v>9.6275001448777999</v>
      </c>
      <c r="H173" s="128">
        <f>('Unit costs'!$C83*'Financial impact (cash)'!H$14)+('Unit costs'!$D83*'Financial impact (cash)'!H$15)+('Unit costs'!$E83*'Financial impact (cash)'!H$16)+('Unit costs'!$F83*'Financial impact (cash)'!H$17)</f>
        <v>9.7203266476336587</v>
      </c>
      <c r="I173" s="128">
        <f>('Unit costs'!$C83*'Financial impact (cash)'!I$14)+('Unit costs'!$D83*'Financial impact (cash)'!I$15)+('Unit costs'!$E83*'Financial impact (cash)'!I$16)+('Unit costs'!$F83*'Financial impact (cash)'!I$17)</f>
        <v>9.8140481656566383</v>
      </c>
      <c r="J173" s="291"/>
      <c r="K173" s="291"/>
      <c r="L173" s="292">
        <f>(D173*'Unit costs'!$H83)/1000</f>
        <v>82.86150227779774</v>
      </c>
      <c r="M173" s="292">
        <f>(E173*'Unit costs'!$H83)/1000</f>
        <v>59.757454949237243</v>
      </c>
      <c r="N173" s="292">
        <f>(F173*'Unit costs'!$H83)/1000</f>
        <v>15.083406206098052</v>
      </c>
      <c r="O173" s="292">
        <f>(G173*'Unit costs'!$H83)/1000</f>
        <v>15.228837504637482</v>
      </c>
      <c r="P173" s="292">
        <f>(H173*'Unit costs'!$H83)/1000</f>
        <v>15.375671023756656</v>
      </c>
      <c r="Q173" s="292">
        <f>(I173*'Unit costs'!$H83)/1000</f>
        <v>15.523920283396427</v>
      </c>
      <c r="R173" s="638"/>
      <c r="S173" s="133"/>
      <c r="T173" s="133"/>
      <c r="U173" s="133"/>
      <c r="V173" s="133"/>
      <c r="W173" s="133"/>
      <c r="X173" s="133"/>
      <c r="Y173" s="133"/>
      <c r="Z173" s="133"/>
      <c r="AJ173" s="286"/>
      <c r="AK173" s="286"/>
      <c r="AL173" s="286"/>
      <c r="AM173" s="286"/>
      <c r="AN173" s="286"/>
    </row>
    <row r="174" spans="1:40" x14ac:dyDescent="0.25">
      <c r="A174" s="291"/>
      <c r="B174" s="252" t="s">
        <v>1044</v>
      </c>
      <c r="C174" s="167"/>
      <c r="D174" s="128">
        <f>('Unit costs'!$C84*'Financial impact (cash)'!D$14)+('Unit costs'!$D84*'Financial impact (cash)'!D$15)+('Unit costs'!$E84*'Financial impact (cash)'!D$16)+('Unit costs'!$F84*'Financial impact (cash)'!D$17)</f>
        <v>46.214003405923904</v>
      </c>
      <c r="E174" s="128">
        <f>('Unit costs'!$C84*'Financial impact (cash)'!E$14)+('Unit costs'!$D84*'Financial impact (cash)'!E$15)+('Unit costs'!$E84*'Financial impact (cash)'!E$16)+('Unit costs'!$F84*'Financial impact (cash)'!E$17)</f>
        <v>53.485874896088902</v>
      </c>
      <c r="F174" s="128">
        <f>('Unit costs'!$C84*'Financial impact (cash)'!F$14)+('Unit costs'!$D84*'Financial impact (cash)'!F$15)+('Unit costs'!$E84*'Financial impact (cash)'!F$16)+('Unit costs'!$F84*'Financial impact (cash)'!F$17)</f>
        <v>65.514724698835096</v>
      </c>
      <c r="G174" s="128">
        <f>('Unit costs'!$C84*'Financial impact (cash)'!G$14)+('Unit costs'!$D84*'Financial impact (cash)'!G$15)+('Unit costs'!$E84*'Financial impact (cash)'!G$16)+('Unit costs'!$F84*'Financial impact (cash)'!G$17)</f>
        <v>66.14640506043358</v>
      </c>
      <c r="H174" s="128">
        <f>('Unit costs'!$C84*'Financial impact (cash)'!H$14)+('Unit costs'!$D84*'Financial impact (cash)'!H$15)+('Unit costs'!$E84*'Financial impact (cash)'!H$16)+('Unit costs'!$F84*'Financial impact (cash)'!H$17)</f>
        <v>66.784175962457326</v>
      </c>
      <c r="I174" s="128">
        <f>('Unit costs'!$C84*'Financial impact (cash)'!I$14)+('Unit costs'!$D84*'Financial impact (cash)'!I$15)+('Unit costs'!$E84*'Financial impact (cash)'!I$16)+('Unit costs'!$F84*'Financial impact (cash)'!I$17)</f>
        <v>67.428096128724491</v>
      </c>
      <c r="J174" s="291"/>
      <c r="K174" s="291"/>
      <c r="L174" s="292">
        <f>(D174*'Unit costs'!$H84)/1000</f>
        <v>29.021054803303873</v>
      </c>
      <c r="M174" s="292">
        <f>(E174*'Unit costs'!$H84)/1000</f>
        <v>33.587579351826534</v>
      </c>
      <c r="N174" s="292">
        <f>(F174*'Unit costs'!$H84)/1000</f>
        <v>41.141348417881098</v>
      </c>
      <c r="O174" s="292">
        <f>(G174*'Unit costs'!$H84)/1000</f>
        <v>41.538025378132737</v>
      </c>
      <c r="P174" s="292">
        <f>(H174*'Unit costs'!$H84)/1000</f>
        <v>41.938527021260477</v>
      </c>
      <c r="Q174" s="292">
        <f>(I174*'Unit costs'!$H84)/1000</f>
        <v>42.342890224120254</v>
      </c>
      <c r="R174" s="638"/>
      <c r="S174" s="133"/>
      <c r="T174" s="133"/>
      <c r="U174" s="133"/>
      <c r="V174" s="133"/>
      <c r="W174" s="133"/>
      <c r="X174" s="133"/>
      <c r="Y174" s="133"/>
      <c r="Z174" s="133"/>
      <c r="AJ174" s="286"/>
      <c r="AK174" s="286"/>
      <c r="AL174" s="286"/>
      <c r="AM174" s="286"/>
      <c r="AN174" s="286"/>
    </row>
    <row r="175" spans="1:40" ht="14.1" customHeight="1" x14ac:dyDescent="0.25">
      <c r="A175" s="291"/>
      <c r="B175" s="280"/>
      <c r="C175" s="210"/>
      <c r="D175" s="186">
        <f>SUM(D150:D174)</f>
        <v>1828.9228974739483</v>
      </c>
      <c r="E175" s="186">
        <f t="shared" ref="E175:I175" si="50">SUM(E150:E174)</f>
        <v>1958.6211202184306</v>
      </c>
      <c r="F175" s="186">
        <f t="shared" si="50"/>
        <v>2181.5470207078229</v>
      </c>
      <c r="G175" s="186">
        <f t="shared" si="50"/>
        <v>2202.5810770549965</v>
      </c>
      <c r="H175" s="186">
        <f t="shared" si="50"/>
        <v>2223.8179397236536</v>
      </c>
      <c r="I175" s="186">
        <f t="shared" si="50"/>
        <v>2245.2595641332996</v>
      </c>
      <c r="J175" s="291"/>
      <c r="K175" s="291"/>
      <c r="L175" s="293">
        <f>SUM(L150:L174)</f>
        <v>1557.9193136463903</v>
      </c>
      <c r="M175" s="293">
        <f t="shared" ref="M175:Q175" si="51">SUM(M150:M174)</f>
        <v>1583.8165745061453</v>
      </c>
      <c r="N175" s="293">
        <f t="shared" si="51"/>
        <v>1619.859525858104</v>
      </c>
      <c r="O175" s="293">
        <f t="shared" si="51"/>
        <v>1635.4778995250394</v>
      </c>
      <c r="P175" s="293">
        <f t="shared" si="51"/>
        <v>1651.2468625437705</v>
      </c>
      <c r="Q175" s="293">
        <f t="shared" si="51"/>
        <v>1667.1678668678339</v>
      </c>
      <c r="R175" s="638"/>
      <c r="S175" s="133"/>
      <c r="T175" s="133"/>
      <c r="U175" s="133"/>
      <c r="V175" s="133"/>
      <c r="W175" s="133"/>
      <c r="X175" s="133"/>
      <c r="Y175" s="133"/>
      <c r="Z175" s="133"/>
      <c r="AJ175" s="286"/>
      <c r="AK175" s="286"/>
      <c r="AL175" s="286"/>
      <c r="AM175" s="286"/>
      <c r="AN175" s="286"/>
    </row>
    <row r="176" spans="1:40" x14ac:dyDescent="0.25">
      <c r="A176" s="291"/>
      <c r="B176" s="305"/>
      <c r="C176" s="210"/>
      <c r="D176" s="285" t="s">
        <v>766</v>
      </c>
      <c r="E176" s="186">
        <f>E175-$D$175</f>
        <v>129.69822274448234</v>
      </c>
      <c r="F176" s="186">
        <f>F175-$D$175</f>
        <v>352.62412323387457</v>
      </c>
      <c r="G176" s="186">
        <f>G175-$D$175</f>
        <v>373.65817958104822</v>
      </c>
      <c r="H176" s="186">
        <f>H175-$D$175</f>
        <v>394.89504224970528</v>
      </c>
      <c r="I176" s="186">
        <f>I175-$D$175</f>
        <v>416.33666665935129</v>
      </c>
      <c r="J176" s="291"/>
      <c r="K176" s="291"/>
      <c r="L176" s="537"/>
      <c r="M176" s="293">
        <f>M175-$L$175</f>
        <v>25.897260859755079</v>
      </c>
      <c r="N176" s="293">
        <f>N175-$L$175</f>
        <v>61.940212211713742</v>
      </c>
      <c r="O176" s="293">
        <f>O175-$L$175</f>
        <v>77.558585878649183</v>
      </c>
      <c r="P176" s="293">
        <f>P175-$L$175</f>
        <v>93.327548897380211</v>
      </c>
      <c r="Q176" s="293">
        <f>Q175-$L$175</f>
        <v>109.24855322144367</v>
      </c>
    </row>
    <row r="177" spans="1:17" x14ac:dyDescent="0.25">
      <c r="A177" s="291"/>
      <c r="B177" s="291"/>
      <c r="C177" s="291"/>
      <c r="D177" s="291"/>
      <c r="E177" s="291"/>
      <c r="F177" s="291"/>
      <c r="G177" s="291"/>
      <c r="H177" s="291"/>
      <c r="I177" s="291"/>
      <c r="J177" s="291"/>
      <c r="K177" s="291"/>
      <c r="L177" s="291"/>
      <c r="M177" s="291"/>
      <c r="N177" s="291"/>
      <c r="O177" s="291"/>
      <c r="P177" s="291"/>
      <c r="Q177" s="291"/>
    </row>
    <row r="178" spans="1:17" x14ac:dyDescent="0.25">
      <c r="B178"/>
    </row>
    <row r="179" spans="1:17" x14ac:dyDescent="0.25">
      <c r="B179"/>
    </row>
    <row r="180" spans="1:17" x14ac:dyDescent="0.25">
      <c r="B180"/>
    </row>
    <row r="181" spans="1:17" x14ac:dyDescent="0.25">
      <c r="B181"/>
    </row>
    <row r="182" spans="1:17" x14ac:dyDescent="0.25">
      <c r="B182"/>
    </row>
  </sheetData>
  <sheetProtection algorithmName="SHA-512" hashValue="dz6Dxz5zXhd5sVP5FYbhxS/hvbzjuRGPn4Vu332175cNID1aPcva9Jz5fr4eYQydhBKNRublh9aGfY1knbLq0w==" saltValue="qJeBONh8RDNl94B3JlEKag==" spinCount="100000" sheet="1" objects="1" scenarios="1"/>
  <protectedRanges>
    <protectedRange sqref="B150:B174" name="Range1_1_1"/>
  </protectedRanges>
  <pageMargins left="0.70866141732283472" right="0.70866141732283472" top="0.74803149606299213" bottom="0.74803149606299213" header="0.31496062992125984" footer="0.31496062992125984"/>
  <pageSetup paperSize="9" scale="32" fitToHeight="0" orientation="portrait" horizontalDpi="4294967293" r:id="rId1"/>
  <rowBreaks count="1" manualBreakCount="1">
    <brk id="127"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purl.org/dc/dcmitype/"/>
    <ds:schemaRef ds:uri="http://schemas.openxmlformats.org/package/2006/metadata/core-properties"/>
    <ds:schemaRef ds:uri="acaf4567-dc07-471f-892c-2bcb86ef35ae"/>
    <ds:schemaRef ds:uri="http://purl.org/dc/elements/1.1/"/>
    <ds:schemaRef ds:uri="http://www.w3.org/XML/1998/namespace"/>
    <ds:schemaRef ds:uri="0eb656aa-4e79-4e95-9076-bc119a23e0cc"/>
    <ds:schemaRef ds:uri="http://schemas.microsoft.com/office/2006/documentManagement/types"/>
    <ds:schemaRef ds:uri="c1f338ac-e338-414f-952c-f74dcc6d59e1"/>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1E150E4-69A4-44CE-A0CA-1E8E4D872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Financial impact (cash)</vt:lpstr>
      <vt:lpstr>Summary</vt:lpstr>
      <vt:lpstr>Capacity (local prices)</vt:lpstr>
      <vt:lpstr>Capacity (national prices)</vt:lpstr>
      <vt:lpstr>payscales</vt:lpstr>
      <vt:lpstr>BAND</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TA1008 Trifluridine–tipiracil with bevacizumab for treating metastatic colorectal cancer after 2 systemic treatments: resource impact template 25/09/2024</dc:title>
  <dc:subject/>
  <dc:creator/>
  <cp:keywords/>
  <dc:description/>
  <cp:lastModifiedBy/>
  <cp:revision/>
  <dcterms:created xsi:type="dcterms:W3CDTF">2022-07-27T12:38:28Z</dcterms:created>
  <dcterms:modified xsi:type="dcterms:W3CDTF">2024-09-24T13:47:01Z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