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BA356A3D-0822-4F25-8B49-AB30B5F15FF5}" xr6:coauthVersionLast="47" xr6:coauthVersionMax="47" xr10:uidLastSave="{00000000-0000-0000-0000-000000000000}"/>
  <bookViews>
    <workbookView xWindow="-19310" yWindow="-110" windowWidth="19420" windowHeight="1042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prices)'!$B$1:$S$139</definedName>
    <definedName name="_xlnm.Print_Area" localSheetId="8">'Capacity (national prices)'!$B$1:$S$62</definedName>
    <definedName name="_xlnm.Print_Area" localSheetId="1">Contents!$A$1:$P$29</definedName>
    <definedName name="_xlnm.Print_Area" localSheetId="0">Cover!$A$1:$P$43</definedName>
    <definedName name="_xlnm.Print_Area" localSheetId="6">'Financial impact (cash)'!$B$1:$J$32</definedName>
    <definedName name="_xlnm.Print_Area" localSheetId="3">'Inputs and eligible population'!$A$2:$S$141</definedName>
    <definedName name="_xlnm.Print_Area" localSheetId="2">'Population selection'!$B$11:$J$17</definedName>
    <definedName name="_xlnm.Print_Area" localSheetId="5">Summary!$B$1:$K$72</definedName>
    <definedName name="_xlnm.Print_Area" localSheetId="4">'Unit costs'!$B$1:$U$75</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21" l="1"/>
  <c r="T30" i="21"/>
  <c r="G30" i="50"/>
  <c r="G31" i="50" s="1"/>
  <c r="F30" i="50"/>
  <c r="F31" i="50" s="1"/>
  <c r="Q9" i="21"/>
  <c r="Q18" i="21"/>
  <c r="Q23" i="21"/>
  <c r="Q27" i="21" l="1"/>
  <c r="Q29" i="21"/>
  <c r="Q28" i="21"/>
  <c r="Q26" i="21"/>
  <c r="Q25" i="21"/>
  <c r="Q24" i="21"/>
  <c r="Q13" i="21"/>
  <c r="Q12" i="21"/>
  <c r="Q11" i="21"/>
  <c r="Q10" i="21"/>
  <c r="C59" i="56" l="1"/>
  <c r="C71" i="46"/>
  <c r="C70" i="46"/>
  <c r="C58" i="56"/>
  <c r="K57" i="50"/>
  <c r="M18" i="21" s="1"/>
  <c r="I18" i="21"/>
  <c r="J90" i="50"/>
  <c r="I90" i="50"/>
  <c r="H90" i="50"/>
  <c r="G90" i="50"/>
  <c r="F90" i="50"/>
  <c r="E90" i="50"/>
  <c r="I84" i="50"/>
  <c r="J84" i="50"/>
  <c r="I86" i="50"/>
  <c r="I88" i="50" s="1"/>
  <c r="J86" i="50"/>
  <c r="J88" i="50" s="1"/>
  <c r="J89" i="50" l="1"/>
  <c r="J91" i="50" s="1"/>
  <c r="I89" i="50"/>
  <c r="I91" i="50" s="1"/>
  <c r="H84" i="50"/>
  <c r="G84" i="50"/>
  <c r="F84" i="50"/>
  <c r="E84" i="50"/>
  <c r="H86" i="50" l="1"/>
  <c r="H89" i="50" s="1"/>
  <c r="G86" i="50"/>
  <c r="G89" i="50" s="1"/>
  <c r="F86" i="50"/>
  <c r="F89" i="50" s="1"/>
  <c r="E86" i="50"/>
  <c r="E89" i="50" s="1"/>
  <c r="C55" i="46"/>
  <c r="S18" i="21"/>
  <c r="S9" i="21"/>
  <c r="S13" i="21"/>
  <c r="S12" i="21"/>
  <c r="S11" i="21"/>
  <c r="S10" i="21"/>
  <c r="E28" i="50"/>
  <c r="F88" i="50" l="1"/>
  <c r="G88" i="50"/>
  <c r="H88" i="50"/>
  <c r="E88" i="50"/>
  <c r="M110" i="50"/>
  <c r="M109" i="50"/>
  <c r="M108" i="50"/>
  <c r="M107" i="50"/>
  <c r="M106" i="50"/>
  <c r="M104" i="50"/>
  <c r="H47" i="57"/>
  <c r="G47" i="57"/>
  <c r="E47" i="57"/>
  <c r="F47" i="57" s="1"/>
  <c r="D47" i="57"/>
  <c r="C46" i="57"/>
  <c r="E46" i="57" s="1"/>
  <c r="F46" i="57" s="1"/>
  <c r="H45" i="57"/>
  <c r="G45" i="57"/>
  <c r="F45" i="57"/>
  <c r="E45" i="57"/>
  <c r="I45" i="57" s="1"/>
  <c r="K45" i="57" s="1"/>
  <c r="D45" i="57"/>
  <c r="H44" i="57"/>
  <c r="G44" i="57"/>
  <c r="F44" i="57"/>
  <c r="E44" i="57"/>
  <c r="I44" i="57" s="1"/>
  <c r="D44" i="57"/>
  <c r="J43" i="57"/>
  <c r="C43" i="57"/>
  <c r="E43" i="57" s="1"/>
  <c r="H42" i="57"/>
  <c r="G42" i="57"/>
  <c r="E42" i="57"/>
  <c r="F42" i="57" s="1"/>
  <c r="D42" i="57"/>
  <c r="C41" i="57"/>
  <c r="E41" i="57" s="1"/>
  <c r="F40" i="57"/>
  <c r="C40" i="57"/>
  <c r="E40" i="57" s="1"/>
  <c r="C39" i="57"/>
  <c r="E39" i="57" s="1"/>
  <c r="F39" i="57" s="1"/>
  <c r="C38" i="57"/>
  <c r="E38" i="57" s="1"/>
  <c r="C37" i="57"/>
  <c r="E37" i="57" s="1"/>
  <c r="W36" i="57"/>
  <c r="J42" i="57" s="1"/>
  <c r="C36" i="57"/>
  <c r="C35" i="57"/>
  <c r="C34" i="57"/>
  <c r="C33" i="57"/>
  <c r="C32" i="57"/>
  <c r="C31" i="57"/>
  <c r="C30" i="57"/>
  <c r="C29" i="57"/>
  <c r="W28" i="57"/>
  <c r="H28" i="57"/>
  <c r="E28" i="57"/>
  <c r="G28" i="57" s="1"/>
  <c r="D28" i="57"/>
  <c r="C28" i="57"/>
  <c r="H27" i="57"/>
  <c r="E27" i="57"/>
  <c r="G27" i="57" s="1"/>
  <c r="D27" i="57"/>
  <c r="C27" i="57"/>
  <c r="H26" i="57"/>
  <c r="E26" i="57"/>
  <c r="G26" i="57" s="1"/>
  <c r="D26" i="57"/>
  <c r="C26" i="57"/>
  <c r="H25" i="57"/>
  <c r="E25" i="57"/>
  <c r="G25" i="57" s="1"/>
  <c r="D25" i="57"/>
  <c r="C25" i="57"/>
  <c r="H24" i="57"/>
  <c r="E24" i="57"/>
  <c r="G24" i="57" s="1"/>
  <c r="D24" i="57"/>
  <c r="C24" i="57"/>
  <c r="H23" i="57"/>
  <c r="E23" i="57"/>
  <c r="G23" i="57" s="1"/>
  <c r="D23" i="57"/>
  <c r="C23" i="57"/>
  <c r="H22" i="57"/>
  <c r="E22" i="57"/>
  <c r="G22" i="57" s="1"/>
  <c r="D22" i="57"/>
  <c r="C22" i="57"/>
  <c r="H21" i="57"/>
  <c r="E21" i="57"/>
  <c r="G21" i="57" s="1"/>
  <c r="D21" i="57"/>
  <c r="C21" i="57"/>
  <c r="H20" i="57"/>
  <c r="E20" i="57"/>
  <c r="G20" i="57" s="1"/>
  <c r="D20" i="57"/>
  <c r="C20" i="57"/>
  <c r="W19" i="57"/>
  <c r="E19" i="57"/>
  <c r="D19" i="57"/>
  <c r="C19" i="57"/>
  <c r="E18" i="57"/>
  <c r="D18" i="57"/>
  <c r="C18" i="57"/>
  <c r="E17" i="57"/>
  <c r="D17" i="57"/>
  <c r="C17" i="57"/>
  <c r="E16" i="57"/>
  <c r="D16" i="57"/>
  <c r="C16" i="57"/>
  <c r="E15" i="57"/>
  <c r="D15" i="57"/>
  <c r="C15" i="57"/>
  <c r="E14" i="57"/>
  <c r="D14" i="57"/>
  <c r="C14" i="57"/>
  <c r="E13" i="57"/>
  <c r="D13" i="57"/>
  <c r="C13" i="57"/>
  <c r="E12" i="57"/>
  <c r="D12" i="57"/>
  <c r="C12" i="57"/>
  <c r="K59" i="56"/>
  <c r="B59" i="56"/>
  <c r="B58" i="56"/>
  <c r="C136" i="46"/>
  <c r="C119" i="46"/>
  <c r="C111" i="46"/>
  <c r="C103" i="46"/>
  <c r="B103" i="46"/>
  <c r="B111" i="46" s="1"/>
  <c r="B119" i="46" s="1"/>
  <c r="B136" i="46" s="1"/>
  <c r="G56" i="50"/>
  <c r="F56" i="50"/>
  <c r="E91" i="50" l="1"/>
  <c r="H91" i="50"/>
  <c r="G91" i="50"/>
  <c r="F91" i="50"/>
  <c r="H13" i="57"/>
  <c r="G13" i="57"/>
  <c r="F13" i="57"/>
  <c r="I13" i="57" s="1"/>
  <c r="K13" i="57" s="1"/>
  <c r="H15" i="57"/>
  <c r="I15" i="57" s="1"/>
  <c r="K15" i="57" s="1"/>
  <c r="G15" i="57"/>
  <c r="F15" i="57"/>
  <c r="H17" i="57"/>
  <c r="F17" i="57"/>
  <c r="G17" i="57"/>
  <c r="H19" i="57"/>
  <c r="F19" i="57"/>
  <c r="I19" i="57" s="1"/>
  <c r="K19" i="57" s="1"/>
  <c r="G19" i="57"/>
  <c r="E29" i="57"/>
  <c r="D29" i="57"/>
  <c r="E33" i="57"/>
  <c r="D33" i="57"/>
  <c r="E35" i="57"/>
  <c r="D35" i="57"/>
  <c r="G38" i="57"/>
  <c r="I38" i="57" s="1"/>
  <c r="K38" i="57" s="1"/>
  <c r="H38" i="57"/>
  <c r="I17" i="57"/>
  <c r="K17" i="57" s="1"/>
  <c r="H37" i="57"/>
  <c r="G37" i="57"/>
  <c r="F38" i="57"/>
  <c r="H41" i="57"/>
  <c r="G41" i="57"/>
  <c r="G43" i="57"/>
  <c r="J44" i="57"/>
  <c r="K44" i="57" s="1"/>
  <c r="H39" i="57"/>
  <c r="G39" i="57"/>
  <c r="I39" i="57" s="1"/>
  <c r="K39" i="57" s="1"/>
  <c r="H12" i="57"/>
  <c r="G12" i="57"/>
  <c r="F12" i="57"/>
  <c r="I12" i="57" s="1"/>
  <c r="K12" i="57" s="1"/>
  <c r="H14" i="57"/>
  <c r="G14" i="57"/>
  <c r="I14" i="57" s="1"/>
  <c r="K14" i="57" s="1"/>
  <c r="F14" i="57"/>
  <c r="H16" i="57"/>
  <c r="F16" i="57"/>
  <c r="I16" i="57" s="1"/>
  <c r="K16" i="57" s="1"/>
  <c r="G16" i="57"/>
  <c r="H18" i="57"/>
  <c r="F18" i="57"/>
  <c r="I18" i="57" s="1"/>
  <c r="K18" i="57" s="1"/>
  <c r="G18" i="57"/>
  <c r="E31" i="57"/>
  <c r="D31" i="57"/>
  <c r="G46" i="57"/>
  <c r="I46" i="57" s="1"/>
  <c r="K46" i="57" s="1"/>
  <c r="H46" i="57"/>
  <c r="E30" i="57"/>
  <c r="D30" i="57"/>
  <c r="E32" i="57"/>
  <c r="D32" i="57"/>
  <c r="E34" i="57"/>
  <c r="D34" i="57"/>
  <c r="D36" i="57"/>
  <c r="E36" i="57"/>
  <c r="F37" i="57"/>
  <c r="I37" i="57" s="1"/>
  <c r="K37" i="57" s="1"/>
  <c r="G40" i="57"/>
  <c r="I40" i="57" s="1"/>
  <c r="K40" i="57" s="1"/>
  <c r="H40" i="57"/>
  <c r="F41" i="57"/>
  <c r="I41" i="57" s="1"/>
  <c r="K41" i="57" s="1"/>
  <c r="F43" i="57"/>
  <c r="I43" i="57" s="1"/>
  <c r="K43" i="57" s="1"/>
  <c r="I20" i="57"/>
  <c r="K20" i="57" s="1"/>
  <c r="I21" i="57"/>
  <c r="K21" i="57" s="1"/>
  <c r="F20" i="57"/>
  <c r="F21" i="57"/>
  <c r="F22" i="57"/>
  <c r="I22" i="57" s="1"/>
  <c r="K22" i="57" s="1"/>
  <c r="F23" i="57"/>
  <c r="F24" i="57"/>
  <c r="F25" i="57"/>
  <c r="I25" i="57" s="1"/>
  <c r="K25" i="57" s="1"/>
  <c r="F26" i="57"/>
  <c r="F27" i="57"/>
  <c r="F28" i="57"/>
  <c r="D37" i="57"/>
  <c r="D38" i="57"/>
  <c r="D39" i="57"/>
  <c r="D40" i="57"/>
  <c r="D41" i="57"/>
  <c r="I42" i="57"/>
  <c r="K42" i="57" s="1"/>
  <c r="D43" i="57"/>
  <c r="H43" i="57"/>
  <c r="D46" i="57"/>
  <c r="I47" i="57"/>
  <c r="K47" i="57" s="1"/>
  <c r="I23" i="57"/>
  <c r="K23" i="57" s="1"/>
  <c r="I24" i="57"/>
  <c r="K24" i="57" s="1"/>
  <c r="I26" i="57"/>
  <c r="K26" i="57" s="1"/>
  <c r="I27" i="57"/>
  <c r="K27" i="57" s="1"/>
  <c r="I28" i="57"/>
  <c r="K28" i="57" s="1"/>
  <c r="F36" i="57" l="1"/>
  <c r="H36" i="57"/>
  <c r="I36" i="57"/>
  <c r="K36" i="57" s="1"/>
  <c r="G36" i="57"/>
  <c r="F31" i="57"/>
  <c r="H31" i="57"/>
  <c r="I31" i="57"/>
  <c r="K31" i="57" s="1"/>
  <c r="G31" i="57"/>
  <c r="F32" i="57"/>
  <c r="I32" i="57" s="1"/>
  <c r="K32" i="57" s="1"/>
  <c r="H32" i="57"/>
  <c r="G32" i="57"/>
  <c r="F33" i="57"/>
  <c r="I33" i="57" s="1"/>
  <c r="K33" i="57" s="1"/>
  <c r="H33" i="57"/>
  <c r="G33" i="57"/>
  <c r="F34" i="57"/>
  <c r="I34" i="57" s="1"/>
  <c r="K34" i="57" s="1"/>
  <c r="H34" i="57"/>
  <c r="G34" i="57"/>
  <c r="F30" i="57"/>
  <c r="I30" i="57" s="1"/>
  <c r="K30" i="57" s="1"/>
  <c r="H30" i="57"/>
  <c r="G30" i="57"/>
  <c r="F35" i="57"/>
  <c r="I35" i="57" s="1"/>
  <c r="K35" i="57" s="1"/>
  <c r="H35" i="57"/>
  <c r="G35" i="57"/>
  <c r="F29" i="57"/>
  <c r="I29" i="57" s="1"/>
  <c r="K29" i="57" s="1"/>
  <c r="H29" i="57"/>
  <c r="G29" i="57"/>
  <c r="B15" i="56" l="1"/>
  <c r="B12" i="56"/>
  <c r="B11" i="56"/>
  <c r="K58" i="56"/>
  <c r="C52" i="56"/>
  <c r="B52" i="56"/>
  <c r="C51" i="56"/>
  <c r="B51" i="56"/>
  <c r="B102" i="46"/>
  <c r="B110" i="46" s="1"/>
  <c r="B118" i="46" s="1"/>
  <c r="B64" i="46"/>
  <c r="B80" i="46" s="1"/>
  <c r="B87" i="46" s="1"/>
  <c r="B94" i="46" s="1"/>
  <c r="B63" i="46"/>
  <c r="B79" i="46" s="1"/>
  <c r="B86" i="46" s="1"/>
  <c r="B93" i="46" s="1"/>
  <c r="C64" i="46"/>
  <c r="C63" i="46"/>
  <c r="K43" i="56"/>
  <c r="C43" i="56"/>
  <c r="B43" i="56"/>
  <c r="B36" i="56"/>
  <c r="K36" i="56"/>
  <c r="C36" i="56"/>
  <c r="C30" i="56"/>
  <c r="C29" i="56"/>
  <c r="B30" i="56"/>
  <c r="B29" i="56"/>
  <c r="C23" i="56"/>
  <c r="C22" i="56"/>
  <c r="B23" i="56"/>
  <c r="B22" i="56"/>
  <c r="B25" i="46"/>
  <c r="B22" i="46"/>
  <c r="B23" i="46"/>
  <c r="B21" i="46"/>
  <c r="B17" i="46"/>
  <c r="B16" i="46"/>
  <c r="B15" i="46"/>
  <c r="B13" i="46"/>
  <c r="C135" i="46"/>
  <c r="C128" i="46"/>
  <c r="C118" i="46"/>
  <c r="C110" i="46"/>
  <c r="C102" i="46"/>
  <c r="C94" i="46"/>
  <c r="C87" i="46"/>
  <c r="C80" i="46"/>
  <c r="B128" i="46" l="1"/>
  <c r="B127" i="46"/>
  <c r="B135" i="46"/>
  <c r="B55" i="46" l="1"/>
  <c r="C48" i="46"/>
  <c r="C47" i="46"/>
  <c r="B48" i="46"/>
  <c r="B47" i="46"/>
  <c r="C40" i="46"/>
  <c r="B40" i="46"/>
  <c r="C33" i="46"/>
  <c r="C32" i="46"/>
  <c r="B33" i="46"/>
  <c r="B32" i="46"/>
  <c r="H8" i="47"/>
  <c r="G8" i="47"/>
  <c r="F8" i="47"/>
  <c r="E8" i="47"/>
  <c r="D8" i="47"/>
  <c r="C8" i="47"/>
  <c r="H7" i="47"/>
  <c r="G7" i="47"/>
  <c r="F7" i="47"/>
  <c r="E7" i="47"/>
  <c r="D7" i="47"/>
  <c r="C7" i="47"/>
  <c r="B27" i="42" l="1"/>
  <c r="B24" i="42"/>
  <c r="O63" i="21" l="1"/>
  <c r="O62" i="21"/>
  <c r="O61" i="21"/>
  <c r="O60" i="21"/>
  <c r="P63" i="21"/>
  <c r="P61" i="21"/>
  <c r="P60" i="21"/>
  <c r="O56" i="21"/>
  <c r="Q56" i="21" s="1"/>
  <c r="O55" i="21"/>
  <c r="O54" i="21"/>
  <c r="P56" i="21"/>
  <c r="P54" i="21"/>
  <c r="Q61" i="21" l="1"/>
  <c r="Q60" i="21"/>
  <c r="Q54" i="21"/>
  <c r="Q57" i="21" s="1"/>
  <c r="K51" i="56" s="1"/>
  <c r="Q63" i="21"/>
  <c r="Q64" i="21" l="1"/>
  <c r="K52" i="56" s="1"/>
  <c r="K59" i="50" l="1"/>
  <c r="K58" i="50" l="1"/>
  <c r="R29" i="21"/>
  <c r="R26" i="21"/>
  <c r="R24" i="21"/>
  <c r="N29" i="21"/>
  <c r="O29" i="21" s="1"/>
  <c r="N24" i="21"/>
  <c r="O24" i="21" s="1"/>
  <c r="L27" i="21"/>
  <c r="N27" i="21" s="1"/>
  <c r="O27" i="21" s="1"/>
  <c r="L29" i="21"/>
  <c r="L26" i="21"/>
  <c r="L25" i="21"/>
  <c r="N25" i="21" s="1"/>
  <c r="O25" i="21" s="1"/>
  <c r="L24" i="21"/>
  <c r="H29" i="21"/>
  <c r="H27" i="21"/>
  <c r="H26" i="21"/>
  <c r="H25" i="21"/>
  <c r="H24" i="21"/>
  <c r="F28" i="21"/>
  <c r="H28" i="21" s="1"/>
  <c r="I28" i="21"/>
  <c r="L28" i="21" s="1"/>
  <c r="N28" i="21" s="1"/>
  <c r="O28" i="21" s="1"/>
  <c r="M23" i="21"/>
  <c r="L18" i="21"/>
  <c r="R13" i="21"/>
  <c r="R12" i="21"/>
  <c r="R10" i="21"/>
  <c r="N12" i="21"/>
  <c r="O12" i="21" s="1"/>
  <c r="N10" i="21"/>
  <c r="O10" i="21" s="1"/>
  <c r="H13" i="21"/>
  <c r="I13" i="21" s="1"/>
  <c r="L13" i="21" s="1"/>
  <c r="N13" i="21" s="1"/>
  <c r="O13" i="21" s="1"/>
  <c r="H12" i="21"/>
  <c r="I12" i="21" s="1"/>
  <c r="L12" i="21" s="1"/>
  <c r="H11" i="21"/>
  <c r="I11" i="21" s="1"/>
  <c r="L11" i="21" s="1"/>
  <c r="N11" i="21" s="1"/>
  <c r="O11" i="21" s="1"/>
  <c r="H10" i="21"/>
  <c r="I10" i="21" s="1"/>
  <c r="L10" i="21" s="1"/>
  <c r="M9" i="21"/>
  <c r="C49" i="50"/>
  <c r="G43" i="50"/>
  <c r="R25" i="21" l="1"/>
  <c r="T25" i="21" s="1"/>
  <c r="R28" i="21"/>
  <c r="T29" i="21" s="1"/>
  <c r="R27" i="21"/>
  <c r="T27" i="21" s="1"/>
  <c r="N26" i="21"/>
  <c r="O26" i="21" s="1"/>
  <c r="R11" i="21"/>
  <c r="T11" i="21" s="1"/>
  <c r="T13" i="21"/>
  <c r="K136" i="46" l="1"/>
  <c r="K119" i="46"/>
  <c r="K111" i="46"/>
  <c r="K103" i="46"/>
  <c r="L9" i="21"/>
  <c r="N9" i="21" s="1"/>
  <c r="O9" i="21" s="1"/>
  <c r="K55" i="46" l="1"/>
  <c r="K102" i="46"/>
  <c r="K110" i="46"/>
  <c r="K40" i="46"/>
  <c r="K118" i="46"/>
  <c r="K135" i="46"/>
  <c r="T9" i="21"/>
  <c r="L23" i="21" l="1"/>
  <c r="H23" i="21"/>
  <c r="H18" i="21"/>
  <c r="F19" i="50"/>
  <c r="B14" i="46"/>
  <c r="G13" i="50"/>
  <c r="G46" i="50"/>
  <c r="N23" i="21" l="1"/>
  <c r="O23" i="21" s="1"/>
  <c r="T23" i="21" s="1"/>
  <c r="N18" i="21"/>
  <c r="G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30" i="56"/>
  <c r="K29" i="56"/>
  <c r="K23" i="56"/>
  <c r="K22" i="56"/>
  <c r="B1" i="56"/>
  <c r="B1" i="46"/>
  <c r="B1" i="42"/>
  <c r="B1" i="47"/>
  <c r="B1" i="21"/>
  <c r="F16" i="50" l="1"/>
  <c r="F18" i="50"/>
  <c r="B13"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B14" i="56" l="1"/>
  <c r="C127" i="46" l="1"/>
  <c r="C93" i="46"/>
  <c r="C86" i="46"/>
  <c r="C79" i="46"/>
  <c r="B10" i="56" l="1"/>
  <c r="B10" i="46" s="1"/>
  <c r="B24" i="46"/>
  <c r="B20" i="46"/>
  <c r="B19" i="46"/>
  <c r="B18" i="46"/>
  <c r="K128" i="46" l="1"/>
  <c r="K127" i="46"/>
  <c r="K48" i="46"/>
  <c r="K47" i="46"/>
  <c r="K93" i="46"/>
  <c r="K94" i="46"/>
  <c r="K79" i="46"/>
  <c r="K80" i="46"/>
  <c r="K87" i="46"/>
  <c r="K86" i="46"/>
  <c r="K33" i="46"/>
  <c r="K32" i="46"/>
  <c r="C48" i="50"/>
  <c r="C42" i="50" l="1"/>
  <c r="F17" i="50"/>
  <c r="C17" i="50"/>
  <c r="F15" i="50"/>
  <c r="F20" i="50" l="1"/>
  <c r="H46" i="50" l="1"/>
  <c r="I46" i="50" l="1"/>
  <c r="J46" i="50" s="1"/>
  <c r="K46" i="50" s="1"/>
  <c r="G47" i="50"/>
  <c r="H47" i="50" l="1"/>
  <c r="I47" i="50" l="1"/>
  <c r="J47" i="50" s="1"/>
  <c r="K47" i="50" s="1"/>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K56" i="50"/>
  <c r="K60" i="50"/>
  <c r="K55"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O18" i="21" l="1"/>
  <c r="T18" i="21" s="1"/>
  <c r="T19" i="21" s="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C26" i="42" l="1"/>
  <c r="C25" i="42"/>
  <c r="C24" i="42"/>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C27" i="42" l="1"/>
  <c r="E16" i="32"/>
  <c r="D16" i="32"/>
  <c r="F14" i="32" l="1"/>
  <c r="G12" i="50" s="1"/>
  <c r="G14" i="50" s="1"/>
  <c r="F25" i="50" l="1"/>
  <c r="F27" i="50" s="1"/>
  <c r="F28" i="50" s="1"/>
  <c r="F29" i="50" s="1"/>
  <c r="F32" i="50" s="1"/>
  <c r="F48" i="50"/>
  <c r="F15" i="32"/>
  <c r="F16" i="32" s="1"/>
  <c r="F33" i="50" l="1"/>
  <c r="I48" i="50"/>
  <c r="J48" i="50"/>
  <c r="G48" i="50"/>
  <c r="F49" i="50" l="1"/>
  <c r="K48" i="50"/>
  <c r="G26" i="50" s="1"/>
  <c r="G27" i="50" s="1"/>
  <c r="G28" i="50" s="1"/>
  <c r="G29" i="50" s="1"/>
  <c r="G32" i="50" s="1"/>
  <c r="H48" i="50"/>
  <c r="D8" i="42" l="1"/>
  <c r="D7" i="56"/>
  <c r="D7" i="46"/>
  <c r="L83" i="50"/>
  <c r="I49" i="50"/>
  <c r="K49" i="50"/>
  <c r="J49" i="50"/>
  <c r="L82" i="50"/>
  <c r="D51" i="56" s="1"/>
  <c r="G49" i="50"/>
  <c r="M82" i="50" s="1"/>
  <c r="C6" i="47"/>
  <c r="G33" i="50"/>
  <c r="H49" i="50"/>
  <c r="D9" i="42"/>
  <c r="E6" i="47" l="1"/>
  <c r="F7" i="46"/>
  <c r="F7" i="56"/>
  <c r="I8" i="42"/>
  <c r="I9" i="42" s="1"/>
  <c r="I7" i="56"/>
  <c r="I7" i="46"/>
  <c r="H8" i="42"/>
  <c r="H9" i="42" s="1"/>
  <c r="H7" i="46"/>
  <c r="H7" i="56"/>
  <c r="D63" i="46"/>
  <c r="D86" i="46" s="1"/>
  <c r="E8" i="42"/>
  <c r="E7" i="56"/>
  <c r="E7" i="46"/>
  <c r="O82" i="50"/>
  <c r="O86" i="50" s="1"/>
  <c r="G7" i="46"/>
  <c r="G7" i="56"/>
  <c r="D15" i="42"/>
  <c r="L51" i="56" s="1"/>
  <c r="L86" i="50"/>
  <c r="G8" i="42"/>
  <c r="O83" i="50"/>
  <c r="G64" i="46" s="1"/>
  <c r="F8" i="42"/>
  <c r="D64" i="46"/>
  <c r="D128" i="46" s="1"/>
  <c r="F6" i="47"/>
  <c r="M86" i="50"/>
  <c r="N82" i="50"/>
  <c r="F15" i="42" s="1"/>
  <c r="N51" i="56" s="1"/>
  <c r="N83" i="50"/>
  <c r="F16" i="42" s="1"/>
  <c r="N52" i="56" s="1"/>
  <c r="D6" i="47"/>
  <c r="L84" i="50"/>
  <c r="D52" i="56"/>
  <c r="D53" i="56" s="1"/>
  <c r="D16" i="42"/>
  <c r="L52" i="56" s="1"/>
  <c r="C15" i="47"/>
  <c r="C18" i="47" s="1"/>
  <c r="M83" i="50"/>
  <c r="Q82" i="50"/>
  <c r="Q83" i="50"/>
  <c r="H15" i="47" s="1"/>
  <c r="H18" i="47" s="1"/>
  <c r="H6" i="47"/>
  <c r="P83" i="50"/>
  <c r="G6" i="47"/>
  <c r="P82" i="50"/>
  <c r="E9" i="42"/>
  <c r="G51" i="56"/>
  <c r="F51" i="56"/>
  <c r="D22" i="56"/>
  <c r="D127" i="46"/>
  <c r="C9" i="47"/>
  <c r="D32" i="46"/>
  <c r="L32" i="46" s="1"/>
  <c r="D24" i="42" l="1"/>
  <c r="D47" i="46"/>
  <c r="L47" i="46" s="1"/>
  <c r="D29" i="56"/>
  <c r="L53" i="56"/>
  <c r="L14" i="56" s="1"/>
  <c r="G15" i="42"/>
  <c r="O51" i="56" s="1"/>
  <c r="D93" i="46"/>
  <c r="L93" i="46" s="1"/>
  <c r="G63" i="46"/>
  <c r="G86" i="46" s="1"/>
  <c r="D79" i="46"/>
  <c r="G52" i="56"/>
  <c r="G15" i="47"/>
  <c r="G18" i="47" s="1"/>
  <c r="E64" i="46"/>
  <c r="E128" i="46" s="1"/>
  <c r="E15" i="42"/>
  <c r="M51" i="56" s="1"/>
  <c r="E52" i="56"/>
  <c r="L90" i="50"/>
  <c r="C17" i="47" s="1"/>
  <c r="L89" i="50"/>
  <c r="L88" i="50"/>
  <c r="G16" i="42"/>
  <c r="O52" i="56" s="1"/>
  <c r="O53" i="56" s="1"/>
  <c r="O14" i="56" s="1"/>
  <c r="M84" i="50"/>
  <c r="E16" i="42"/>
  <c r="M52" i="56" s="1"/>
  <c r="D15" i="47"/>
  <c r="D18" i="47" s="1"/>
  <c r="F15" i="47"/>
  <c r="F18" i="47" s="1"/>
  <c r="E63" i="46"/>
  <c r="E127" i="46" s="1"/>
  <c r="O84" i="50"/>
  <c r="F63" i="46"/>
  <c r="F79" i="46" s="1"/>
  <c r="N79" i="46" s="1"/>
  <c r="N86" i="50"/>
  <c r="G9" i="42"/>
  <c r="I15" i="42"/>
  <c r="Q51" i="56" s="1"/>
  <c r="Q86" i="50"/>
  <c r="H63" i="46"/>
  <c r="H127" i="46" s="1"/>
  <c r="P86" i="50"/>
  <c r="D87" i="46"/>
  <c r="D94" i="46"/>
  <c r="D80" i="46"/>
  <c r="L80" i="46" s="1"/>
  <c r="E51" i="56"/>
  <c r="E15" i="47"/>
  <c r="E18" i="47" s="1"/>
  <c r="F64" i="46"/>
  <c r="F80" i="46" s="1"/>
  <c r="N80" i="46" s="1"/>
  <c r="F9" i="42"/>
  <c r="I52" i="56"/>
  <c r="I16" i="42"/>
  <c r="Q52" i="56" s="1"/>
  <c r="F52" i="56"/>
  <c r="I64" i="46"/>
  <c r="I128" i="46" s="1"/>
  <c r="C19" i="47"/>
  <c r="D48" i="46"/>
  <c r="D23" i="56"/>
  <c r="D27" i="42"/>
  <c r="D33" i="46"/>
  <c r="D30" i="56"/>
  <c r="N84" i="50"/>
  <c r="I63" i="46"/>
  <c r="I79" i="46" s="1"/>
  <c r="Q79" i="46" s="1"/>
  <c r="I51" i="56"/>
  <c r="Q84" i="50"/>
  <c r="D17" i="42"/>
  <c r="D21" i="42" s="1"/>
  <c r="H15" i="42"/>
  <c r="P51" i="56" s="1"/>
  <c r="H64" i="46"/>
  <c r="H80" i="46" s="1"/>
  <c r="P80" i="46" s="1"/>
  <c r="H16" i="42"/>
  <c r="P52" i="56" s="1"/>
  <c r="H52" i="56"/>
  <c r="H51" i="56"/>
  <c r="P84" i="50"/>
  <c r="G53" i="56"/>
  <c r="G54" i="56" s="1"/>
  <c r="F53" i="56"/>
  <c r="F54" i="56" s="1"/>
  <c r="N53" i="56"/>
  <c r="E30" i="56"/>
  <c r="G22" i="56"/>
  <c r="G29" i="56"/>
  <c r="F22" i="56"/>
  <c r="F29" i="56"/>
  <c r="F30" i="56"/>
  <c r="F23" i="56"/>
  <c r="H93" i="46"/>
  <c r="F48" i="46"/>
  <c r="F33" i="46"/>
  <c r="F27" i="42"/>
  <c r="E48" i="46"/>
  <c r="M48" i="46" s="1"/>
  <c r="E27" i="42"/>
  <c r="G94" i="46"/>
  <c r="G87" i="46"/>
  <c r="G128" i="46"/>
  <c r="E9" i="47"/>
  <c r="F32" i="46"/>
  <c r="F47" i="46"/>
  <c r="F17" i="42"/>
  <c r="F21" i="42" s="1"/>
  <c r="F24" i="42"/>
  <c r="E94" i="46"/>
  <c r="F9" i="47"/>
  <c r="F11" i="47" s="1"/>
  <c r="G47" i="46"/>
  <c r="O47" i="46" s="1"/>
  <c r="G32" i="46"/>
  <c r="O32" i="46" s="1"/>
  <c r="G24" i="42"/>
  <c r="G127" i="46"/>
  <c r="G93" i="46"/>
  <c r="I47" i="46"/>
  <c r="I24" i="42"/>
  <c r="L86" i="46"/>
  <c r="L22" i="56"/>
  <c r="L127" i="46"/>
  <c r="L29" i="56"/>
  <c r="L79" i="46"/>
  <c r="L48" i="46"/>
  <c r="G80" i="46"/>
  <c r="O80" i="46" s="1"/>
  <c r="D65" i="46"/>
  <c r="D16" i="46" s="1"/>
  <c r="E80" i="46"/>
  <c r="M80" i="46" s="1"/>
  <c r="N54" i="56" l="1"/>
  <c r="G79" i="46"/>
  <c r="O79" i="46" s="1"/>
  <c r="I32" i="46"/>
  <c r="Q32" i="46" s="1"/>
  <c r="H9" i="47"/>
  <c r="E87" i="46"/>
  <c r="M87" i="46" s="1"/>
  <c r="E33" i="46"/>
  <c r="I22" i="56"/>
  <c r="Q22" i="56" s="1"/>
  <c r="E23" i="56"/>
  <c r="Q53" i="56"/>
  <c r="Q14" i="56" s="1"/>
  <c r="E24" i="42"/>
  <c r="D9" i="47"/>
  <c r="D19" i="47" s="1"/>
  <c r="H94" i="46"/>
  <c r="P94" i="46" s="1"/>
  <c r="I29" i="56"/>
  <c r="Q29" i="56" s="1"/>
  <c r="M53" i="56"/>
  <c r="M14" i="56" s="1"/>
  <c r="I48" i="46"/>
  <c r="Q48" i="46" s="1"/>
  <c r="F86" i="46"/>
  <c r="N86" i="46" s="1"/>
  <c r="E17" i="42"/>
  <c r="E21" i="42" s="1"/>
  <c r="F94" i="46"/>
  <c r="E47" i="46"/>
  <c r="M47" i="46" s="1"/>
  <c r="M49" i="46" s="1"/>
  <c r="E29" i="56"/>
  <c r="M29" i="56" s="1"/>
  <c r="F128" i="46"/>
  <c r="N128" i="46" s="1"/>
  <c r="E32" i="46"/>
  <c r="M32" i="46" s="1"/>
  <c r="E22" i="56"/>
  <c r="M22" i="56" s="1"/>
  <c r="E19" i="47"/>
  <c r="E11" i="47"/>
  <c r="H19" i="47"/>
  <c r="H11" i="47"/>
  <c r="F19" i="47"/>
  <c r="G17" i="42"/>
  <c r="G21" i="42" s="1"/>
  <c r="H48" i="46"/>
  <c r="P48" i="46" s="1"/>
  <c r="E79" i="46"/>
  <c r="M79" i="46" s="1"/>
  <c r="I87" i="46"/>
  <c r="Q87" i="46" s="1"/>
  <c r="I17" i="42"/>
  <c r="I21" i="42" s="1"/>
  <c r="H33" i="46"/>
  <c r="P33" i="46" s="1"/>
  <c r="E93" i="46"/>
  <c r="M93" i="46" s="1"/>
  <c r="G33" i="46"/>
  <c r="O33" i="46" s="1"/>
  <c r="O34" i="46" s="1"/>
  <c r="O12" i="46" s="1"/>
  <c r="E86" i="46"/>
  <c r="M86" i="46" s="1"/>
  <c r="G23" i="56"/>
  <c r="O23" i="56" s="1"/>
  <c r="I80" i="46"/>
  <c r="Q80" i="46" s="1"/>
  <c r="G48" i="46"/>
  <c r="O48" i="46" s="1"/>
  <c r="O49" i="46" s="1"/>
  <c r="G27" i="42"/>
  <c r="G30" i="56"/>
  <c r="O30" i="56" s="1"/>
  <c r="I53" i="56"/>
  <c r="I54" i="56" s="1"/>
  <c r="E53" i="56"/>
  <c r="E54" i="56" s="1"/>
  <c r="I27" i="42"/>
  <c r="I33" i="46"/>
  <c r="Q33" i="46" s="1"/>
  <c r="I30" i="56"/>
  <c r="Q30" i="56" s="1"/>
  <c r="I23" i="56"/>
  <c r="Q23" i="56" s="1"/>
  <c r="P88" i="50"/>
  <c r="P90" i="50"/>
  <c r="G17" i="47" s="1"/>
  <c r="P89" i="50"/>
  <c r="H59" i="56" s="1"/>
  <c r="M90" i="50"/>
  <c r="D17" i="47" s="1"/>
  <c r="M89" i="50"/>
  <c r="M88" i="50"/>
  <c r="N90" i="50"/>
  <c r="E17" i="47" s="1"/>
  <c r="N89" i="50"/>
  <c r="F71" i="46" s="1"/>
  <c r="N88" i="50"/>
  <c r="L91" i="50"/>
  <c r="D58" i="56"/>
  <c r="D70" i="46"/>
  <c r="D19" i="42"/>
  <c r="O90" i="50"/>
  <c r="F17" i="47" s="1"/>
  <c r="O89" i="50"/>
  <c r="G59" i="56" s="1"/>
  <c r="O88" i="50"/>
  <c r="D71" i="46"/>
  <c r="D59" i="56"/>
  <c r="L59" i="56" s="1"/>
  <c r="P53" i="56"/>
  <c r="P14" i="56" s="1"/>
  <c r="Q90" i="50"/>
  <c r="H17" i="47" s="1"/>
  <c r="Q88" i="50"/>
  <c r="Q89" i="50"/>
  <c r="I59" i="56" s="1"/>
  <c r="H79" i="46"/>
  <c r="P79" i="46" s="1"/>
  <c r="F93" i="46"/>
  <c r="N93" i="46" s="1"/>
  <c r="F127" i="46"/>
  <c r="N127" i="46" s="1"/>
  <c r="H86" i="46"/>
  <c r="P86" i="46" s="1"/>
  <c r="F87" i="46"/>
  <c r="N87" i="46" s="1"/>
  <c r="H24" i="42"/>
  <c r="H29" i="56"/>
  <c r="P29" i="56" s="1"/>
  <c r="H32" i="46"/>
  <c r="P32" i="46" s="1"/>
  <c r="H22" i="56"/>
  <c r="P22" i="56" s="1"/>
  <c r="H53" i="56"/>
  <c r="H54" i="56" s="1"/>
  <c r="H17" i="42"/>
  <c r="H21" i="42" s="1"/>
  <c r="H47" i="46"/>
  <c r="P47" i="46" s="1"/>
  <c r="I94" i="46"/>
  <c r="Q94" i="46" s="1"/>
  <c r="G9" i="47"/>
  <c r="I93" i="46"/>
  <c r="Q93" i="46" s="1"/>
  <c r="I86" i="46"/>
  <c r="Q86" i="46" s="1"/>
  <c r="I127" i="46"/>
  <c r="Q127" i="46" s="1"/>
  <c r="H30" i="56"/>
  <c r="H27" i="42"/>
  <c r="H23" i="56"/>
  <c r="P23" i="56" s="1"/>
  <c r="H87" i="46"/>
  <c r="P87" i="46" s="1"/>
  <c r="H128" i="46"/>
  <c r="P128" i="46" s="1"/>
  <c r="O54" i="56"/>
  <c r="N14" i="56"/>
  <c r="I71" i="46"/>
  <c r="L49" i="46"/>
  <c r="L14" i="46" s="1"/>
  <c r="L94" i="46"/>
  <c r="L95" i="46" s="1"/>
  <c r="L20" i="46" s="1"/>
  <c r="L87" i="46"/>
  <c r="L88" i="46" s="1"/>
  <c r="L128" i="46"/>
  <c r="L129" i="46" s="1"/>
  <c r="L24" i="46" s="1"/>
  <c r="D49" i="46"/>
  <c r="D14" i="46" s="1"/>
  <c r="L33" i="46"/>
  <c r="L34" i="46" s="1"/>
  <c r="L12" i="46" s="1"/>
  <c r="L23" i="56"/>
  <c r="L24" i="56" s="1"/>
  <c r="L10" i="56" s="1"/>
  <c r="D14" i="56"/>
  <c r="L30" i="56"/>
  <c r="L31" i="56" s="1"/>
  <c r="L11" i="56" s="1"/>
  <c r="M33" i="46"/>
  <c r="N29" i="56"/>
  <c r="N22" i="56"/>
  <c r="N32" i="46"/>
  <c r="N47" i="46"/>
  <c r="Q47" i="46"/>
  <c r="N48" i="46"/>
  <c r="N33" i="46"/>
  <c r="N23" i="56"/>
  <c r="N30" i="56"/>
  <c r="O22" i="56"/>
  <c r="O29" i="56"/>
  <c r="M23" i="56"/>
  <c r="M30" i="56"/>
  <c r="P30" i="56"/>
  <c r="D81" i="46"/>
  <c r="D18" i="46" s="1"/>
  <c r="L81" i="46"/>
  <c r="L18" i="46" s="1"/>
  <c r="O128" i="46"/>
  <c r="M127" i="46"/>
  <c r="Q128" i="46"/>
  <c r="P127" i="46"/>
  <c r="O127" i="46"/>
  <c r="M128" i="46"/>
  <c r="E65" i="46"/>
  <c r="E16" i="46" s="1"/>
  <c r="F65" i="46"/>
  <c r="F16" i="46" s="1"/>
  <c r="G65" i="46"/>
  <c r="G16" i="46" s="1"/>
  <c r="I65" i="46"/>
  <c r="I16" i="46" s="1"/>
  <c r="H65" i="46"/>
  <c r="H16" i="46" s="1"/>
  <c r="N94" i="46"/>
  <c r="O94" i="46"/>
  <c r="P93" i="46"/>
  <c r="O93" i="46"/>
  <c r="O86" i="46"/>
  <c r="M94" i="46"/>
  <c r="O87" i="46"/>
  <c r="Q54" i="56" l="1"/>
  <c r="F59" i="56"/>
  <c r="D11" i="47"/>
  <c r="M54" i="56"/>
  <c r="G71" i="46"/>
  <c r="G136" i="46" s="1"/>
  <c r="O136" i="46" s="1"/>
  <c r="G19" i="47"/>
  <c r="G11" i="47"/>
  <c r="H71" i="46"/>
  <c r="H136" i="46" s="1"/>
  <c r="P136" i="46" s="1"/>
  <c r="P54" i="56"/>
  <c r="O91" i="50"/>
  <c r="G19" i="42"/>
  <c r="G20" i="42" s="1"/>
  <c r="G58" i="56"/>
  <c r="O58" i="56" s="1"/>
  <c r="G70" i="46"/>
  <c r="M91" i="50"/>
  <c r="E58" i="56"/>
  <c r="E19" i="42"/>
  <c r="E70" i="46"/>
  <c r="Q91" i="50"/>
  <c r="I58" i="56"/>
  <c r="Q58" i="56" s="1"/>
  <c r="I19" i="42"/>
  <c r="I36" i="56" s="1"/>
  <c r="Q36" i="56" s="1"/>
  <c r="Q38" i="56" s="1"/>
  <c r="I70" i="46"/>
  <c r="I72" i="46" s="1"/>
  <c r="D25" i="42"/>
  <c r="D28" i="42" s="1"/>
  <c r="C23" i="47" s="1"/>
  <c r="D20" i="42"/>
  <c r="D43" i="56"/>
  <c r="D36" i="56"/>
  <c r="C10" i="47"/>
  <c r="C11" i="47" s="1"/>
  <c r="D55" i="46"/>
  <c r="D40" i="46"/>
  <c r="E71" i="46"/>
  <c r="E59" i="56"/>
  <c r="M59" i="56" s="1"/>
  <c r="D135" i="46"/>
  <c r="D72" i="46"/>
  <c r="D17" i="46" s="1"/>
  <c r="D118" i="46"/>
  <c r="D110" i="46"/>
  <c r="D102" i="46"/>
  <c r="L58" i="56"/>
  <c r="L60" i="56" s="1"/>
  <c r="L15" i="56" s="1"/>
  <c r="D60" i="56"/>
  <c r="D15" i="56" s="1"/>
  <c r="D111" i="46"/>
  <c r="L111" i="46" s="1"/>
  <c r="D119" i="46"/>
  <c r="L119" i="46" s="1"/>
  <c r="D136" i="46"/>
  <c r="L136" i="46" s="1"/>
  <c r="D103" i="46"/>
  <c r="L103" i="46" s="1"/>
  <c r="N91" i="50"/>
  <c r="F58" i="56"/>
  <c r="N58" i="56" s="1"/>
  <c r="F19" i="42"/>
  <c r="F70" i="46"/>
  <c r="F72" i="46" s="1"/>
  <c r="P91" i="50"/>
  <c r="H58" i="56"/>
  <c r="P58" i="56" s="1"/>
  <c r="H19" i="42"/>
  <c r="H20" i="42" s="1"/>
  <c r="H70" i="46"/>
  <c r="O59" i="56"/>
  <c r="F119" i="46"/>
  <c r="N119" i="46" s="1"/>
  <c r="F136" i="46"/>
  <c r="N136" i="46" s="1"/>
  <c r="F103" i="46"/>
  <c r="N103" i="46" s="1"/>
  <c r="F111" i="46"/>
  <c r="N111" i="46" s="1"/>
  <c r="I119" i="46"/>
  <c r="Q119" i="46" s="1"/>
  <c r="I136" i="46"/>
  <c r="Q136" i="46" s="1"/>
  <c r="I103" i="46"/>
  <c r="Q103" i="46" s="1"/>
  <c r="I111" i="46"/>
  <c r="Q111" i="46" s="1"/>
  <c r="G103" i="46"/>
  <c r="O103" i="46" s="1"/>
  <c r="N59" i="56"/>
  <c r="P59" i="56"/>
  <c r="Q59" i="56"/>
  <c r="M50" i="46"/>
  <c r="M14" i="46"/>
  <c r="O50" i="46"/>
  <c r="O14" i="46"/>
  <c r="D129" i="46"/>
  <c r="D24" i="46" s="1"/>
  <c r="D88" i="46"/>
  <c r="D19" i="46" s="1"/>
  <c r="D95" i="46"/>
  <c r="D20" i="46" s="1"/>
  <c r="O35" i="46"/>
  <c r="D34" i="46"/>
  <c r="M34" i="46"/>
  <c r="D31" i="56"/>
  <c r="D11" i="56" s="1"/>
  <c r="D24" i="56"/>
  <c r="D10" i="56" s="1"/>
  <c r="Q49" i="46"/>
  <c r="N49" i="46"/>
  <c r="N34" i="46"/>
  <c r="Q34" i="46"/>
  <c r="P81" i="46"/>
  <c r="P49" i="46"/>
  <c r="P34" i="46"/>
  <c r="Q81" i="46"/>
  <c r="N24" i="56"/>
  <c r="O24" i="56"/>
  <c r="P31" i="56"/>
  <c r="P11" i="56" s="1"/>
  <c r="M31" i="56"/>
  <c r="M11" i="56" s="1"/>
  <c r="N31" i="56"/>
  <c r="N11" i="56" s="1"/>
  <c r="Q31" i="56"/>
  <c r="Q11" i="56" s="1"/>
  <c r="P24" i="56"/>
  <c r="O31" i="56"/>
  <c r="O11" i="56" s="1"/>
  <c r="M24" i="56"/>
  <c r="Q24" i="56"/>
  <c r="E14" i="56"/>
  <c r="F31" i="56"/>
  <c r="F11" i="56" s="1"/>
  <c r="F49" i="46"/>
  <c r="F14" i="46" s="1"/>
  <c r="H49" i="46"/>
  <c r="F24" i="56"/>
  <c r="I34" i="46"/>
  <c r="I49" i="46"/>
  <c r="E24" i="56"/>
  <c r="H31" i="56"/>
  <c r="H11" i="56" s="1"/>
  <c r="E49" i="46"/>
  <c r="H24" i="56"/>
  <c r="F34" i="46"/>
  <c r="G34" i="46"/>
  <c r="G49" i="46"/>
  <c r="G14" i="46" s="1"/>
  <c r="I31" i="56"/>
  <c r="I11" i="56" s="1"/>
  <c r="G31" i="56"/>
  <c r="G11" i="56" s="1"/>
  <c r="I24" i="56"/>
  <c r="G24" i="56"/>
  <c r="E34" i="46"/>
  <c r="E31" i="56"/>
  <c r="E11" i="56" s="1"/>
  <c r="H34" i="46"/>
  <c r="H81" i="46"/>
  <c r="H18" i="46" s="1"/>
  <c r="I81" i="46"/>
  <c r="I18" i="46" s="1"/>
  <c r="N81" i="46"/>
  <c r="F81" i="46"/>
  <c r="F18" i="46" s="1"/>
  <c r="O129" i="46"/>
  <c r="O24" i="46" s="1"/>
  <c r="P95" i="46"/>
  <c r="P96" i="46" s="1"/>
  <c r="M129" i="46"/>
  <c r="M24" i="46" s="1"/>
  <c r="N95" i="46"/>
  <c r="N96" i="46" s="1"/>
  <c r="O95" i="46"/>
  <c r="O96" i="46" s="1"/>
  <c r="Q95" i="46"/>
  <c r="N129" i="46"/>
  <c r="N24" i="46" s="1"/>
  <c r="Q129" i="46"/>
  <c r="Q24" i="46" s="1"/>
  <c r="P129" i="46"/>
  <c r="P24" i="46" s="1"/>
  <c r="N88" i="46"/>
  <c r="N89" i="46" s="1"/>
  <c r="O88" i="46"/>
  <c r="O89" i="46" s="1"/>
  <c r="P88" i="46"/>
  <c r="Q88" i="46"/>
  <c r="M88" i="46"/>
  <c r="M95" i="46"/>
  <c r="M96" i="46" s="1"/>
  <c r="L19" i="46"/>
  <c r="G81" i="46"/>
  <c r="G18" i="46" s="1"/>
  <c r="O81" i="46"/>
  <c r="E81" i="46"/>
  <c r="E18" i="46" s="1"/>
  <c r="M81" i="46"/>
  <c r="H66" i="46"/>
  <c r="G51" i="47" s="1"/>
  <c r="F66" i="46"/>
  <c r="E51" i="47" s="1"/>
  <c r="E66" i="46"/>
  <c r="D51" i="47" s="1"/>
  <c r="I66" i="46"/>
  <c r="H51" i="47" s="1"/>
  <c r="G66" i="46"/>
  <c r="F51" i="47" s="1"/>
  <c r="F95" i="46"/>
  <c r="F20" i="46" s="1"/>
  <c r="H95" i="46"/>
  <c r="H20" i="46" s="1"/>
  <c r="H129" i="46"/>
  <c r="H24" i="46" s="1"/>
  <c r="H88" i="46"/>
  <c r="H19" i="46" s="1"/>
  <c r="I95" i="46"/>
  <c r="I20" i="46" s="1"/>
  <c r="F129" i="46"/>
  <c r="F24" i="46" s="1"/>
  <c r="I129" i="46"/>
  <c r="I24" i="46" s="1"/>
  <c r="F88" i="46"/>
  <c r="F19" i="46" s="1"/>
  <c r="I88" i="46"/>
  <c r="I19" i="46" s="1"/>
  <c r="G129" i="46"/>
  <c r="G24" i="46" s="1"/>
  <c r="G95" i="46"/>
  <c r="G20" i="46" s="1"/>
  <c r="E129" i="46"/>
  <c r="E24" i="46" s="1"/>
  <c r="E88" i="46"/>
  <c r="E19" i="46" s="1"/>
  <c r="E95" i="46"/>
  <c r="E20" i="46" s="1"/>
  <c r="G88" i="46"/>
  <c r="G19" i="46" s="1"/>
  <c r="G111" i="46" l="1"/>
  <c r="O111" i="46" s="1"/>
  <c r="Q60" i="56"/>
  <c r="Q15" i="56" s="1"/>
  <c r="G119" i="46"/>
  <c r="O119" i="46" s="1"/>
  <c r="H60" i="56"/>
  <c r="H15" i="56" s="1"/>
  <c r="I20" i="42"/>
  <c r="H119" i="46"/>
  <c r="P119" i="46" s="1"/>
  <c r="H111" i="46"/>
  <c r="P111" i="46" s="1"/>
  <c r="H72" i="46"/>
  <c r="H17" i="46" s="1"/>
  <c r="H103" i="46"/>
  <c r="P103" i="46" s="1"/>
  <c r="O60" i="56"/>
  <c r="O15" i="56" s="1"/>
  <c r="P60" i="56"/>
  <c r="P15" i="56" s="1"/>
  <c r="G60" i="56"/>
  <c r="G61" i="56" s="1"/>
  <c r="I60" i="56"/>
  <c r="I15" i="56" s="1"/>
  <c r="N60" i="56"/>
  <c r="N15" i="56" s="1"/>
  <c r="F73" i="46"/>
  <c r="E57" i="47" s="1"/>
  <c r="H36" i="56"/>
  <c r="P36" i="56" s="1"/>
  <c r="P38" i="56" s="1"/>
  <c r="P12" i="56" s="1"/>
  <c r="I26" i="42"/>
  <c r="F36" i="56"/>
  <c r="G26" i="42"/>
  <c r="E36" i="56"/>
  <c r="F26" i="42"/>
  <c r="G36" i="56"/>
  <c r="O36" i="56" s="1"/>
  <c r="O38" i="56" s="1"/>
  <c r="O12" i="56" s="1"/>
  <c r="H26" i="42"/>
  <c r="F60" i="56"/>
  <c r="F15" i="56" s="1"/>
  <c r="I17" i="46"/>
  <c r="I73" i="46"/>
  <c r="H57" i="47" s="1"/>
  <c r="E10" i="47"/>
  <c r="F43" i="56"/>
  <c r="F55" i="46"/>
  <c r="F40" i="46"/>
  <c r="F25" i="42"/>
  <c r="E60" i="56"/>
  <c r="M58" i="56"/>
  <c r="M60" i="56" s="1"/>
  <c r="M15" i="56" s="1"/>
  <c r="E119" i="46"/>
  <c r="M119" i="46" s="1"/>
  <c r="E103" i="46"/>
  <c r="M103" i="46" s="1"/>
  <c r="E136" i="46"/>
  <c r="M136" i="46" s="1"/>
  <c r="E111" i="46"/>
  <c r="M111" i="46" s="1"/>
  <c r="F20" i="42"/>
  <c r="L102" i="46"/>
  <c r="L104" i="46" s="1"/>
  <c r="L21" i="46" s="1"/>
  <c r="D104" i="46"/>
  <c r="D21" i="46" s="1"/>
  <c r="I135" i="46"/>
  <c r="Q135" i="46" s="1"/>
  <c r="Q137" i="46" s="1"/>
  <c r="Q25" i="46" s="1"/>
  <c r="I102" i="46"/>
  <c r="Q102" i="46" s="1"/>
  <c r="Q104" i="46" s="1"/>
  <c r="Q21" i="46" s="1"/>
  <c r="I110" i="46"/>
  <c r="Q110" i="46" s="1"/>
  <c r="Q112" i="46" s="1"/>
  <c r="Q22" i="46" s="1"/>
  <c r="I118" i="46"/>
  <c r="Q118" i="46" s="1"/>
  <c r="Q120" i="46" s="1"/>
  <c r="Q23" i="46" s="1"/>
  <c r="H135" i="46"/>
  <c r="P135" i="46" s="1"/>
  <c r="P137" i="46" s="1"/>
  <c r="P25" i="46" s="1"/>
  <c r="H118" i="46"/>
  <c r="P118" i="46" s="1"/>
  <c r="P120" i="46" s="1"/>
  <c r="P23" i="46" s="1"/>
  <c r="H110" i="46"/>
  <c r="P110" i="46" s="1"/>
  <c r="P112" i="46" s="1"/>
  <c r="H102" i="46"/>
  <c r="P102" i="46" s="1"/>
  <c r="D112" i="46"/>
  <c r="D22" i="46" s="1"/>
  <c r="L110" i="46"/>
  <c r="L112" i="46" s="1"/>
  <c r="L22" i="46" s="1"/>
  <c r="D41" i="46"/>
  <c r="D13" i="46" s="1"/>
  <c r="L40" i="46"/>
  <c r="L41" i="46" s="1"/>
  <c r="L13" i="46" s="1"/>
  <c r="I43" i="56"/>
  <c r="I40" i="46"/>
  <c r="I25" i="42"/>
  <c r="H10" i="47"/>
  <c r="I55" i="46"/>
  <c r="G135" i="46"/>
  <c r="O135" i="46" s="1"/>
  <c r="O137" i="46" s="1"/>
  <c r="O25" i="46" s="1"/>
  <c r="G110" i="46"/>
  <c r="O110" i="46" s="1"/>
  <c r="O112" i="46" s="1"/>
  <c r="G102" i="46"/>
  <c r="O102" i="46" s="1"/>
  <c r="O104" i="46" s="1"/>
  <c r="O21" i="46" s="1"/>
  <c r="G118" i="46"/>
  <c r="O118" i="46" s="1"/>
  <c r="O120" i="46" s="1"/>
  <c r="H25" i="42"/>
  <c r="H43" i="56"/>
  <c r="G10" i="47"/>
  <c r="H55" i="46"/>
  <c r="H40" i="46"/>
  <c r="D120" i="46"/>
  <c r="D23" i="46" s="1"/>
  <c r="L118" i="46"/>
  <c r="L120" i="46" s="1"/>
  <c r="L23" i="46" s="1"/>
  <c r="L55" i="46"/>
  <c r="L56" i="46" s="1"/>
  <c r="L15" i="46" s="1"/>
  <c r="D56" i="46"/>
  <c r="D15" i="46" s="1"/>
  <c r="F10" i="47"/>
  <c r="G40" i="46"/>
  <c r="G55" i="46"/>
  <c r="G25" i="42"/>
  <c r="G43" i="56"/>
  <c r="L135" i="46"/>
  <c r="L137" i="46" s="1"/>
  <c r="L25" i="46" s="1"/>
  <c r="D137" i="46"/>
  <c r="D25" i="46" s="1"/>
  <c r="D38" i="56"/>
  <c r="D12" i="56" s="1"/>
  <c r="L36" i="56"/>
  <c r="L38" i="56" s="1"/>
  <c r="L12" i="56" s="1"/>
  <c r="E135" i="46"/>
  <c r="E102" i="46"/>
  <c r="E72" i="46"/>
  <c r="E110" i="46"/>
  <c r="E118" i="46"/>
  <c r="F110" i="46"/>
  <c r="N110" i="46" s="1"/>
  <c r="N112" i="46" s="1"/>
  <c r="N22" i="46" s="1"/>
  <c r="F102" i="46"/>
  <c r="N102" i="46" s="1"/>
  <c r="N104" i="46" s="1"/>
  <c r="N21" i="46" s="1"/>
  <c r="F135" i="46"/>
  <c r="N135" i="46" s="1"/>
  <c r="N137" i="46" s="1"/>
  <c r="N25" i="46" s="1"/>
  <c r="F118" i="46"/>
  <c r="N118" i="46" s="1"/>
  <c r="N120" i="46" s="1"/>
  <c r="G72" i="46"/>
  <c r="D44" i="56"/>
  <c r="D13" i="56" s="1"/>
  <c r="L43" i="56"/>
  <c r="L44" i="56" s="1"/>
  <c r="L13" i="56" s="1"/>
  <c r="E25" i="42"/>
  <c r="E28" i="42" s="1"/>
  <c r="E30" i="42" s="1"/>
  <c r="E31" i="42" s="1"/>
  <c r="E20" i="42"/>
  <c r="E43" i="56"/>
  <c r="D10" i="47"/>
  <c r="E55" i="46"/>
  <c r="E40" i="46"/>
  <c r="F38" i="56"/>
  <c r="F12" i="56" s="1"/>
  <c r="I38" i="56"/>
  <c r="I12" i="56" s="1"/>
  <c r="F17" i="46"/>
  <c r="Q12" i="56"/>
  <c r="H25" i="56"/>
  <c r="G47" i="47" s="1"/>
  <c r="F32" i="56"/>
  <c r="E48" i="47" s="1"/>
  <c r="P50" i="46"/>
  <c r="P14" i="46"/>
  <c r="I50" i="46"/>
  <c r="H50" i="47" s="1"/>
  <c r="I14" i="46"/>
  <c r="Q50" i="46"/>
  <c r="Q14" i="46"/>
  <c r="N50" i="46"/>
  <c r="N14" i="46"/>
  <c r="E50" i="46"/>
  <c r="D50" i="47" s="1"/>
  <c r="E14" i="46"/>
  <c r="H50" i="46"/>
  <c r="G50" i="47" s="1"/>
  <c r="H14" i="46"/>
  <c r="M35" i="46"/>
  <c r="M12" i="46"/>
  <c r="Q35" i="46"/>
  <c r="Q12" i="46"/>
  <c r="P35" i="46"/>
  <c r="P12" i="46"/>
  <c r="N35" i="46"/>
  <c r="N12" i="46"/>
  <c r="E25" i="56"/>
  <c r="D47" i="47" s="1"/>
  <c r="G25" i="56"/>
  <c r="F47" i="47" s="1"/>
  <c r="I25" i="56"/>
  <c r="H47" i="47" s="1"/>
  <c r="F25" i="56"/>
  <c r="E47" i="47" s="1"/>
  <c r="O32" i="56"/>
  <c r="P25" i="56"/>
  <c r="P10" i="56"/>
  <c r="N25" i="56"/>
  <c r="N10" i="56"/>
  <c r="Q32" i="56"/>
  <c r="N32" i="56"/>
  <c r="M32" i="56"/>
  <c r="P32" i="56"/>
  <c r="Q25" i="56"/>
  <c r="Q10" i="56"/>
  <c r="O25" i="56"/>
  <c r="O10" i="56"/>
  <c r="M25" i="56"/>
  <c r="M10" i="56"/>
  <c r="P18" i="46"/>
  <c r="P82" i="46"/>
  <c r="Q18" i="46"/>
  <c r="Q82" i="46"/>
  <c r="F10" i="56"/>
  <c r="I14" i="56"/>
  <c r="F14" i="56"/>
  <c r="H14" i="56"/>
  <c r="G14" i="56"/>
  <c r="F50" i="46"/>
  <c r="E50" i="47" s="1"/>
  <c r="H32" i="56"/>
  <c r="G48" i="47" s="1"/>
  <c r="E10" i="56"/>
  <c r="H10" i="56"/>
  <c r="G10" i="56"/>
  <c r="I10" i="56"/>
  <c r="I32" i="56"/>
  <c r="H48" i="47" s="1"/>
  <c r="G50" i="46"/>
  <c r="F50" i="47" s="1"/>
  <c r="E32" i="56"/>
  <c r="D48" i="47" s="1"/>
  <c r="H82" i="46"/>
  <c r="G61" i="47" s="1"/>
  <c r="G32" i="56"/>
  <c r="F48" i="47" s="1"/>
  <c r="F82" i="46"/>
  <c r="E61" i="47" s="1"/>
  <c r="I82" i="46"/>
  <c r="H61" i="47" s="1"/>
  <c r="N18" i="46"/>
  <c r="N82" i="46"/>
  <c r="N20" i="46"/>
  <c r="P130" i="46"/>
  <c r="O130" i="46"/>
  <c r="M130" i="46"/>
  <c r="Q130" i="46"/>
  <c r="N130" i="46"/>
  <c r="Q20" i="46"/>
  <c r="Q96" i="46"/>
  <c r="O20" i="46"/>
  <c r="P20" i="46"/>
  <c r="N19" i="46"/>
  <c r="E82" i="46"/>
  <c r="D61" i="47" s="1"/>
  <c r="O19" i="46"/>
  <c r="M20" i="46"/>
  <c r="M19" i="46"/>
  <c r="M89" i="46"/>
  <c r="G82" i="46"/>
  <c r="F61" i="47" s="1"/>
  <c r="Q89" i="46"/>
  <c r="Q19" i="46"/>
  <c r="P19" i="46"/>
  <c r="P89" i="46"/>
  <c r="M18" i="46"/>
  <c r="M82" i="46"/>
  <c r="O18" i="46"/>
  <c r="O82" i="46"/>
  <c r="I96" i="46"/>
  <c r="H63" i="47" s="1"/>
  <c r="H96" i="46"/>
  <c r="G63" i="47" s="1"/>
  <c r="F96" i="46"/>
  <c r="E63" i="47" s="1"/>
  <c r="E96" i="46"/>
  <c r="D63" i="47" s="1"/>
  <c r="G96" i="46"/>
  <c r="F63" i="47" s="1"/>
  <c r="H89" i="46"/>
  <c r="G62" i="47" s="1"/>
  <c r="F89" i="46"/>
  <c r="E62" i="47" s="1"/>
  <c r="I89" i="46"/>
  <c r="H62" i="47" s="1"/>
  <c r="G89" i="46"/>
  <c r="F62" i="47" s="1"/>
  <c r="E130" i="46"/>
  <c r="D71" i="47" s="1"/>
  <c r="I130" i="46"/>
  <c r="H71" i="47" s="1"/>
  <c r="G130" i="46"/>
  <c r="F71" i="47" s="1"/>
  <c r="H130" i="46"/>
  <c r="G71" i="47" s="1"/>
  <c r="F130" i="46"/>
  <c r="E71" i="47" s="1"/>
  <c r="E89" i="46"/>
  <c r="D62" i="47" s="1"/>
  <c r="Q61" i="56" l="1"/>
  <c r="O61" i="56"/>
  <c r="H61" i="56"/>
  <c r="N61" i="56"/>
  <c r="G38" i="56"/>
  <c r="G12" i="56" s="1"/>
  <c r="P104" i="46"/>
  <c r="P105" i="46" s="1"/>
  <c r="I104" i="46"/>
  <c r="I21" i="46" s="1"/>
  <c r="I137" i="46"/>
  <c r="I25" i="46" s="1"/>
  <c r="P61" i="56"/>
  <c r="G137" i="46"/>
  <c r="G25" i="46" s="1"/>
  <c r="H73" i="46"/>
  <c r="G57" i="47" s="1"/>
  <c r="I61" i="56"/>
  <c r="P113" i="46"/>
  <c r="H120" i="46"/>
  <c r="H23" i="46" s="1"/>
  <c r="O113" i="46"/>
  <c r="M61" i="56"/>
  <c r="G15" i="56"/>
  <c r="F61" i="56"/>
  <c r="I28" i="42"/>
  <c r="I30" i="42" s="1"/>
  <c r="F28" i="42"/>
  <c r="F30" i="42" s="1"/>
  <c r="F31" i="42" s="1"/>
  <c r="Q39" i="56"/>
  <c r="F104" i="46"/>
  <c r="F105" i="46" s="1"/>
  <c r="E65" i="47" s="1"/>
  <c r="O121" i="46"/>
  <c r="G28" i="42"/>
  <c r="G30" i="42" s="1"/>
  <c r="H28" i="42"/>
  <c r="G23" i="47" s="1"/>
  <c r="H104" i="46"/>
  <c r="H21" i="46" s="1"/>
  <c r="F120" i="46"/>
  <c r="F23" i="46" s="1"/>
  <c r="F137" i="46"/>
  <c r="F138" i="46" s="1"/>
  <c r="E72" i="47" s="1"/>
  <c r="G104" i="46"/>
  <c r="G21" i="46" s="1"/>
  <c r="G112" i="46"/>
  <c r="G22" i="46" s="1"/>
  <c r="I120" i="46"/>
  <c r="I23" i="46" s="1"/>
  <c r="H137" i="46"/>
  <c r="H25" i="46" s="1"/>
  <c r="I112" i="46"/>
  <c r="I113" i="46" s="1"/>
  <c r="H66" i="47" s="1"/>
  <c r="N138" i="46"/>
  <c r="L26" i="46"/>
  <c r="N121" i="46"/>
  <c r="H112" i="46"/>
  <c r="H22" i="46" s="1"/>
  <c r="G120" i="46"/>
  <c r="G23" i="46" s="1"/>
  <c r="D23" i="47"/>
  <c r="D24" i="47" s="1"/>
  <c r="F39" i="56"/>
  <c r="E53" i="47" s="1"/>
  <c r="N36" i="56"/>
  <c r="N38" i="56" s="1"/>
  <c r="N12" i="56" s="1"/>
  <c r="G39" i="56"/>
  <c r="F53" i="47" s="1"/>
  <c r="H38" i="56"/>
  <c r="H12" i="56" s="1"/>
  <c r="L16" i="56"/>
  <c r="C32" i="47" s="1"/>
  <c r="C38" i="47" s="1"/>
  <c r="M55" i="46"/>
  <c r="M56" i="46" s="1"/>
  <c r="E56" i="46"/>
  <c r="G17" i="46"/>
  <c r="G73" i="46"/>
  <c r="F57" i="47" s="1"/>
  <c r="E17" i="46"/>
  <c r="E73" i="46"/>
  <c r="D57" i="47" s="1"/>
  <c r="Q40" i="46"/>
  <c r="Q41" i="46" s="1"/>
  <c r="I41" i="46"/>
  <c r="E61" i="56"/>
  <c r="E15" i="56"/>
  <c r="M102" i="46"/>
  <c r="M104" i="46" s="1"/>
  <c r="E104" i="46"/>
  <c r="O55" i="46"/>
  <c r="O56" i="46" s="1"/>
  <c r="G56" i="46"/>
  <c r="I44" i="56"/>
  <c r="Q43" i="56"/>
  <c r="Q44" i="56" s="1"/>
  <c r="E44" i="56"/>
  <c r="M43" i="56"/>
  <c r="M44" i="56" s="1"/>
  <c r="M135" i="46"/>
  <c r="M137" i="46" s="1"/>
  <c r="E137" i="46"/>
  <c r="O40" i="46"/>
  <c r="O41" i="46" s="1"/>
  <c r="G41" i="46"/>
  <c r="P40" i="46"/>
  <c r="P41" i="46" s="1"/>
  <c r="H41" i="46"/>
  <c r="N40" i="46"/>
  <c r="N41" i="46" s="1"/>
  <c r="F41" i="46"/>
  <c r="H56" i="46"/>
  <c r="P55" i="46"/>
  <c r="P56" i="46" s="1"/>
  <c r="F56" i="46"/>
  <c r="N55" i="46"/>
  <c r="N56" i="46" s="1"/>
  <c r="E38" i="56"/>
  <c r="M36" i="56"/>
  <c r="M38" i="56" s="1"/>
  <c r="F44" i="56"/>
  <c r="N43" i="56"/>
  <c r="N44" i="56" s="1"/>
  <c r="P39" i="56"/>
  <c r="H44" i="56"/>
  <c r="P43" i="56"/>
  <c r="P44" i="56" s="1"/>
  <c r="Q55" i="46"/>
  <c r="Q56" i="46" s="1"/>
  <c r="I56" i="46"/>
  <c r="E120" i="46"/>
  <c r="M118" i="46"/>
  <c r="M120" i="46" s="1"/>
  <c r="O39" i="56"/>
  <c r="F112" i="46"/>
  <c r="F22" i="46" s="1"/>
  <c r="E41" i="46"/>
  <c r="M40" i="46"/>
  <c r="M41" i="46" s="1"/>
  <c r="M110" i="46"/>
  <c r="M112" i="46" s="1"/>
  <c r="E112" i="46"/>
  <c r="G44" i="56"/>
  <c r="O43" i="56"/>
  <c r="O44" i="56" s="1"/>
  <c r="I39" i="56"/>
  <c r="H53" i="47" s="1"/>
  <c r="Q113" i="46"/>
  <c r="I105" i="46"/>
  <c r="H65" i="47" s="1"/>
  <c r="Q105" i="46"/>
  <c r="O23" i="46"/>
  <c r="O22" i="46"/>
  <c r="P22" i="46"/>
  <c r="Q138" i="46"/>
  <c r="P21" i="46"/>
  <c r="N105" i="46"/>
  <c r="F121" i="46"/>
  <c r="E67" i="47" s="1"/>
  <c r="O105" i="46"/>
  <c r="N113" i="46"/>
  <c r="P121" i="46"/>
  <c r="P138" i="46"/>
  <c r="O138" i="46"/>
  <c r="N23" i="46"/>
  <c r="Q121" i="46"/>
  <c r="I138" i="46" l="1"/>
  <c r="H72" i="47" s="1"/>
  <c r="H121" i="46"/>
  <c r="G67" i="47" s="1"/>
  <c r="G138" i="46"/>
  <c r="F72" i="47" s="1"/>
  <c r="G105" i="46"/>
  <c r="F65" i="47" s="1"/>
  <c r="H138" i="46"/>
  <c r="G72" i="47" s="1"/>
  <c r="I22" i="46"/>
  <c r="N39" i="56"/>
  <c r="F21" i="46"/>
  <c r="H105" i="46"/>
  <c r="G65" i="47" s="1"/>
  <c r="I121" i="46"/>
  <c r="H67" i="47" s="1"/>
  <c r="G121" i="46"/>
  <c r="F67" i="47" s="1"/>
  <c r="F25" i="46"/>
  <c r="H23" i="47"/>
  <c r="H24" i="47" s="1"/>
  <c r="F23" i="47"/>
  <c r="F24" i="47" s="1"/>
  <c r="E23" i="47"/>
  <c r="E25" i="47" s="1"/>
  <c r="H30" i="42"/>
  <c r="I31" i="42" s="1"/>
  <c r="G113" i="46"/>
  <c r="F66" i="47" s="1"/>
  <c r="H113" i="46"/>
  <c r="G66" i="47" s="1"/>
  <c r="D25" i="47"/>
  <c r="H39" i="56"/>
  <c r="G53" i="47" s="1"/>
  <c r="G24" i="47"/>
  <c r="F113" i="46"/>
  <c r="E66" i="47" s="1"/>
  <c r="E13" i="46"/>
  <c r="E42" i="46"/>
  <c r="D55" i="47" s="1"/>
  <c r="P45" i="56"/>
  <c r="P13" i="56"/>
  <c r="P16" i="56" s="1"/>
  <c r="G32" i="47" s="1"/>
  <c r="G38" i="47" s="1"/>
  <c r="G39" i="47" s="1"/>
  <c r="F57" i="46"/>
  <c r="E56" i="47" s="1"/>
  <c r="F15" i="46"/>
  <c r="O13" i="46"/>
  <c r="O42" i="46"/>
  <c r="O57" i="46"/>
  <c r="O15" i="46"/>
  <c r="H13" i="56"/>
  <c r="H45" i="56"/>
  <c r="G54" i="47" s="1"/>
  <c r="P15" i="46"/>
  <c r="P57" i="46"/>
  <c r="E138" i="46"/>
  <c r="D72" i="47" s="1"/>
  <c r="E25" i="46"/>
  <c r="E21" i="46"/>
  <c r="E105" i="46"/>
  <c r="D65" i="47" s="1"/>
  <c r="H15" i="46"/>
  <c r="H57" i="46"/>
  <c r="G56" i="47" s="1"/>
  <c r="M25" i="46"/>
  <c r="M138" i="46"/>
  <c r="M21" i="46"/>
  <c r="M105" i="46"/>
  <c r="O13" i="56"/>
  <c r="O16" i="56" s="1"/>
  <c r="F32" i="47" s="1"/>
  <c r="O45" i="56"/>
  <c r="N13" i="56"/>
  <c r="N16" i="56" s="1"/>
  <c r="E32" i="47" s="1"/>
  <c r="N45" i="56"/>
  <c r="F13" i="46"/>
  <c r="F42" i="46"/>
  <c r="E55" i="47" s="1"/>
  <c r="M13" i="56"/>
  <c r="M45" i="56"/>
  <c r="M23" i="46"/>
  <c r="M121" i="46"/>
  <c r="F13" i="56"/>
  <c r="F45" i="56"/>
  <c r="E54" i="47" s="1"/>
  <c r="N13" i="46"/>
  <c r="N42" i="46"/>
  <c r="E13" i="56"/>
  <c r="E45" i="56"/>
  <c r="D54" i="47" s="1"/>
  <c r="E15" i="46"/>
  <c r="E57" i="46"/>
  <c r="D56" i="47" s="1"/>
  <c r="G13" i="56"/>
  <c r="G45" i="56"/>
  <c r="F54" i="47" s="1"/>
  <c r="E22" i="46"/>
  <c r="E113" i="46"/>
  <c r="D66" i="47" s="1"/>
  <c r="E23" i="46"/>
  <c r="E121" i="46"/>
  <c r="D67" i="47" s="1"/>
  <c r="M39" i="56"/>
  <c r="M12" i="56"/>
  <c r="H13" i="46"/>
  <c r="H42" i="46"/>
  <c r="G55" i="47" s="1"/>
  <c r="Q45" i="56"/>
  <c r="Q13" i="56"/>
  <c r="Q16" i="56" s="1"/>
  <c r="H32" i="47" s="1"/>
  <c r="M15" i="46"/>
  <c r="M57" i="46"/>
  <c r="I15" i="46"/>
  <c r="I57" i="46"/>
  <c r="H56" i="47" s="1"/>
  <c r="E39" i="56"/>
  <c r="D53" i="47" s="1"/>
  <c r="E12" i="56"/>
  <c r="P13" i="46"/>
  <c r="P26" i="46" s="1"/>
  <c r="P42" i="46"/>
  <c r="I45" i="56"/>
  <c r="H54" i="47" s="1"/>
  <c r="I13" i="56"/>
  <c r="I13" i="46"/>
  <c r="I42" i="46"/>
  <c r="H55" i="47" s="1"/>
  <c r="M22" i="46"/>
  <c r="M113" i="46"/>
  <c r="M13" i="46"/>
  <c r="M42" i="46"/>
  <c r="Q15" i="46"/>
  <c r="Q57" i="46"/>
  <c r="N15" i="46"/>
  <c r="N57" i="46"/>
  <c r="G13" i="46"/>
  <c r="G42" i="46"/>
  <c r="F55" i="47" s="1"/>
  <c r="G57" i="46"/>
  <c r="F56" i="47" s="1"/>
  <c r="G15" i="46"/>
  <c r="Q42" i="46"/>
  <c r="Q13" i="46"/>
  <c r="G31" i="42"/>
  <c r="E38" i="47" l="1"/>
  <c r="E39" i="47" s="1"/>
  <c r="H38" i="47"/>
  <c r="H39" i="47" s="1"/>
  <c r="H25" i="47"/>
  <c r="G25" i="47"/>
  <c r="H31" i="42"/>
  <c r="E24" i="47"/>
  <c r="F38" i="47"/>
  <c r="G40" i="47" s="1"/>
  <c r="F25" i="47"/>
  <c r="M16" i="56"/>
  <c r="D32" i="47" s="1"/>
  <c r="D38" i="47" s="1"/>
  <c r="D40" i="47" s="1"/>
  <c r="O26" i="46"/>
  <c r="Q26" i="46"/>
  <c r="N26" i="46"/>
  <c r="M26" i="46"/>
  <c r="H33" i="47"/>
  <c r="H34" i="47"/>
  <c r="F33" i="47"/>
  <c r="G34" i="47"/>
  <c r="G33" i="47"/>
  <c r="F34" i="47"/>
  <c r="E33" i="47"/>
  <c r="H40" i="47" l="1"/>
  <c r="E34" i="47"/>
  <c r="F39" i="47"/>
  <c r="F40" i="47"/>
  <c r="D34" i="47"/>
  <c r="D39" i="47"/>
  <c r="D33" i="47"/>
  <c r="E40" i="47"/>
  <c r="D12" i="46"/>
  <c r="F35" i="46"/>
  <c r="E49" i="47" s="1"/>
  <c r="I12" i="46"/>
  <c r="I35" i="46"/>
  <c r="H49" i="47" s="1"/>
  <c r="H12" i="46"/>
  <c r="E12" i="46"/>
  <c r="E35" i="46"/>
  <c r="D49" i="47" s="1"/>
  <c r="H35" i="46"/>
  <c r="G49" i="47" s="1"/>
  <c r="G12" i="46"/>
  <c r="G35" i="46"/>
  <c r="F49"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24A9836B-838A-407F-83F4-B9AA3843DD69}">
      <text>
        <r>
          <rPr>
            <b/>
            <sz val="9"/>
            <color indexed="81"/>
            <rFont val="Tahoma"/>
            <family val="2"/>
          </rPr>
          <t>Author:</t>
        </r>
        <r>
          <rPr>
            <sz val="9"/>
            <color indexed="81"/>
            <rFont val="Tahoma"/>
            <family val="2"/>
          </rPr>
          <t xml:space="preserve">
0,1 and 2 years completed as a consultant
</t>
        </r>
      </text>
    </comment>
    <comment ref="B46" authorId="0" shapeId="0" xr:uid="{F3D0A858-84A9-464D-9705-EF199F11D9C2}">
      <text>
        <r>
          <rPr>
            <b/>
            <sz val="9"/>
            <color indexed="81"/>
            <rFont val="Tahoma"/>
            <family val="2"/>
          </rPr>
          <t>Author:</t>
        </r>
        <r>
          <rPr>
            <sz val="9"/>
            <color indexed="81"/>
            <rFont val="Tahoma"/>
            <family val="2"/>
          </rPr>
          <t xml:space="preserve">
4 to 13 years completed as a consultant (average pay)
</t>
        </r>
      </text>
    </comment>
    <comment ref="B47" authorId="0" shapeId="0" xr:uid="{5BD555AF-6CC3-4984-B67E-6066EBE59C32}">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<sst xmlns="http://schemas.openxmlformats.org/spreadsheetml/2006/main" count="2385" uniqueCount="1106">
  <si>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</si>
  <si>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</si>
  <si>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</si>
  <si>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</si>
  <si>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</si>
  <si>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</si>
  <si>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</si>
  <si>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</si>
  <si>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</si>
  <si>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</si>
  <si>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</si>
  <si>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</si>
  <si>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</si>
  <si>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</si>
  <si>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</si>
  <si>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</si>
  <si>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</si>
  <si>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</si>
  <si>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</si>
  <si>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</si>
  <si>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</si>
  <si>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</si>
  <si>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</si>
  <si>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</si>
  <si>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</si>
  <si>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</si>
  <si>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</si>
  <si>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</si>
  <si>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</si>
  <si>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</si>
  <si>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</si>
  <si>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</si>
  <si>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</si>
  <si>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</si>
  <si>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</si>
  <si>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</si>
  <si>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</si>
  <si>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</si>
  <si>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</si>
  <si>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</si>
  <si>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</si>
  <si>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</si>
  <si>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</si>
  <si>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</si>
  <si>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</si>
  <si>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</si>
  <si>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</si>
  <si>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</si>
  <si>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</si>
  <si>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</si>
  <si>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</si>
  <si>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</si>
  <si>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</si>
  <si>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</si>
  <si>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</si>
  <si>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</si>
  <si>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</si>
  <si>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</si>
  <si>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</si>
  <si>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</si>
  <si>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</si>
  <si>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</si>
  <si>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</si>
  <si>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</si>
  <si>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</si>
  <si>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</si>
  <si>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</si>
  <si>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</si>
  <si>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</si>
  <si>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</si>
  <si>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</si>
  <si>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</si>
  <si>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</si>
  <si>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</si>
  <si>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</si>
  <si>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</si>
  <si>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</si>
  <si>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</si>
  <si>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</si>
  <si>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</si>
  <si>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</si>
  <si>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</si>
  <si>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</si>
  <si>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</si>
  <si>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</si>
  <si>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</si>
  <si>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</si>
  <si>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</si>
  <si>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</si>
  <si>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</si>
  <si>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</si>
  <si>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</si>
  <si>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</si>
  <si>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</si>
  <si>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</si>
  <si>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</si>
  <si>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</si>
  <si>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</si>
  <si>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</si>
  <si>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</si>
  <si>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</si>
  <si>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</si>
  <si>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</si>
  <si>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</si>
  <si>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</si>
  <si>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</si>
  <si>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</si>
  <si>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</si>
  <si>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</si>
  <si>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</si>
  <si>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</si>
  <si>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</si>
  <si>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</si>
  <si>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</si>
  <si>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</si>
  <si>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</si>
  <si>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</si>
  <si>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</si>
  <si>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</si>
  <si>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</si>
  <si>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</si>
  <si>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</si>
  <si>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</si>
  <si>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</si>
  <si>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</si>
  <si>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</si>
  <si>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</si>
  <si>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</si>
  <si>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</si>
  <si>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</si>
  <si>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</si>
  <si>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</si>
  <si>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</si>
  <si>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</si>
  <si>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</si>
  <si>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</si>
  <si>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</si>
  <si>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</si>
  <si>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</si>
  <si>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</si>
  <si>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</si>
  <si>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</si>
  <si>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</si>
  <si>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</si>
  <si>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</si>
  <si>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</si>
  <si>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</si>
  <si>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</si>
  <si>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</si>
  <si>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</si>
  <si>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</si>
  <si>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</si>
  <si>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</si>
  <si>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</si>
  <si>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</si>
  <si>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</si>
  <si>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</si>
  <si>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</si>
  <si>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</si>
  <si>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</si>
  <si>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</si>
  <si>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</si>
  <si>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</si>
  <si>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</si>
  <si>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</si>
  <si>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</si>
  <si>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</si>
  <si>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</si>
  <si>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</si>
  <si>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</si>
  <si>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</si>
  <si>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</si>
  <si>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</si>
  <si>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</si>
  <si>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</si>
  <si>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</si>
  <si>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</si>
  <si>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</si>
  <si>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</si>
  <si>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</si>
  <si>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</si>
  <si>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</si>
  <si>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</si>
  <si>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</si>
  <si>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</si>
  <si>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</si>
  <si>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</si>
  <si>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</si>
  <si>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</si>
  <si>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</si>
  <si>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</si>
  <si>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</si>
  <si>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</si>
  <si>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</si>
  <si>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</si>
  <si>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</si>
  <si>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</si>
  <si>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</si>
  <si>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</si>
  <si>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</si>
  <si>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</si>
  <si>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</si>
  <si>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</si>
  <si>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</si>
  <si>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</si>
  <si>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</si>
  <si>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</si>
  <si>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</si>
  <si>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</si>
  <si>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</si>
  <si>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</si>
  <si>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</si>
  <si>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</si>
  <si>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</si>
  <si>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</si>
  <si>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</si>
  <si>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</si>
  <si>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</si>
  <si>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</si>
  <si>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</si>
  <si>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</si>
  <si>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</si>
  <si>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</si>
  <si>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</si>
  <si>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</si>
  <si>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</si>
  <si>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</si>
  <si>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</si>
  <si>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</si>
  <si>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</si>
  <si>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</si>
  <si>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</si>
  <si>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</si>
  <si>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</si>
  <si>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</si>
  <si>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</si>
  <si>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</si>
  <si>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</si>
  <si>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</si>
  <si>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</si>
  <si>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</si>
  <si>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</si>
  <si>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</si>
  <si>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</si>
  <si>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</si>
  <si>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</si>
  <si>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</si>
  <si>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</si>
  <si>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</si>
  <si>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</si>
  <si>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</si>
  <si>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</si>
  <si>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</si>
  <si>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</si>
  <si>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</si>
  <si>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</si>
  <si>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</si>
  <si>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</si>
  <si>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</si>
  <si>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</si>
  <si>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</si>
  <si>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</si>
  <si>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</si>
  <si>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</si>
  <si>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</si>
  <si>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</si>
  <si>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</si>
  <si>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</si>
  <si>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</si>
  <si>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</si>
  <si>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</si>
  <si>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</si>
  <si>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</si>
  <si>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</si>
  <si>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</si>
  <si>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</si>
  <si>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</si>
  <si>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</si>
  <si>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</si>
  <si>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</si>
  <si>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</si>
  <si>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</si>
  <si>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</si>
  <si>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</si>
  <si>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</si>
  <si>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</si>
  <si>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</si>
  <si>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</si>
  <si>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</si>
  <si>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</si>
  <si>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</si>
  <si>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</si>
  <si>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</si>
  <si>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</si>
  <si>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</si>
  <si>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</si>
  <si>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</si>
  <si>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</si>
  <si>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</si>
  <si>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</si>
  <si>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</si>
  <si>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</si>
  <si>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</si>
  <si>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</si>
  <si>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</si>
  <si>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</si>
  <si>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</si>
  <si>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</si>
  <si>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</si>
  <si>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</si>
  <si>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</si>
  <si>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</si>
  <si>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</si>
  <si>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</si>
  <si>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</si>
  <si>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</si>
  <si>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</si>
  <si>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</si>
  <si>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</si>
  <si>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</si>
  <si>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</si>
  <si>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</si>
  <si>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</si>
  <si>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</si>
  <si>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</si>
  <si>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</si>
  <si>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</si>
  <si>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</si>
  <si>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</si>
  <si>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</si>
  <si>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</si>
  <si>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</si>
  <si>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</si>
  <si>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</si>
  <si>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</si>
  <si>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</si>
  <si>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</si>
  <si>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</si>
  <si>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</si>
  <si>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</si>
  <si>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</si>
  <si>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</si>
  <si>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</si>
  <si>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</si>
  <si>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</si>
  <si>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</si>
  <si>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</si>
  <si>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</si>
  <si>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</si>
  <si>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</si>
  <si>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</si>
  <si>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</si>
  <si>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</si>
  <si>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</si>
  <si>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</si>
  <si>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</si>
  <si>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</si>
  <si>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</si>
  <si>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</si>
  <si>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</si>
  <si>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</si>
  <si>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</si>
  <si>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</si>
  <si>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</si>
  <si>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</si>
  <si>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</si>
  <si>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</si>
  <si>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</si>
  <si>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</si>
  <si>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</si>
  <si>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</si>
  <si>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</si>
  <si>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</si>
  <si>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</si>
  <si>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</si>
  <si>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</si>
  <si>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</si>
  <si>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</si>
  <si>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</si>
  <si>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</si>
  <si>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</si>
  <si>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</si>
  <si>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</si>
  <si>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</si>
  <si>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</si>
  <si>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</si>
  <si>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</si>
  <si>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</si>
  <si>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</si>
  <si>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</si>
  <si>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</si>
  <si>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</si>
  <si>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</si>
  <si>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</si>
  <si>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</si>
  <si>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</si>
  <si>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</si>
  <si>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</si>
  <si>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</si>
  <si>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</si>
  <si>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</si>
  <si>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</si>
  <si>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</si>
  <si>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</si>
  <si>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</si>
  <si>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</si>
  <si>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</si>
  <si>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</si>
  <si>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</si>
  <si>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</si>
  <si>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</si>
  <si>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</si>
  <si>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</si>
  <si>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</si>
  <si>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</si>
  <si>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</si>
  <si>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</si>
  <si>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</si>
  <si>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</si>
  <si>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</si>
  <si>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</si>
  <si>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</si>
  <si>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</si>
  <si>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</si>
  <si>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</si>
  <si>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</si>
  <si>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</si>
  <si>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</si>
  <si>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</si>
  <si>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</si>
  <si>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</si>
  <si>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</si>
  <si>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</si>
  <si>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</si>
  <si>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</si>
  <si>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</si>
  <si>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</si>
  <si>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</si>
  <si>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</si>
  <si>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</si>
  <si>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</si>
  <si>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</si>
  <si>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</si>
  <si>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</si>
  <si>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</si>
  <si>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</si>
  <si>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</si>
  <si>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</si>
  <si>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</si>
  <si>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</si>
  <si>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</si>
  <si>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</si>
  <si>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</si>
  <si>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</si>
  <si>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</si>
  <si>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</si>
  <si>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</si>
  <si>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</si>
  <si>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</si>
  <si>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</si>
  <si>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</si>
  <si>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</si>
  <si>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</si>
  <si>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</si>
  <si>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</si>
  <si>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</si>
  <si>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</si>
  <si>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</si>
  <si>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</si>
  <si>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</si>
  <si>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</si>
  <si>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</si>
  <si>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</si>
  <si>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</si>
  <si>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</si>
  <si>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</si>
  <si>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</si>
  <si>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</si>
  <si>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</si>
  <si>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</si>
  <si>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</si>
  <si>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</si>
  <si>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</si>
  <si>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</si>
  <si>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</si>
  <si>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</si>
  <si>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</si>
  <si>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</si>
  <si>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</si>
  <si>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</si>
  <si>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</si>
  <si>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</si>
  <si>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</si>
  <si>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</si>
  <si>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</si>
  <si>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</si>
  <si>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</si>
  <si>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</si>
  <si>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</si>
  <si>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</si>
  <si>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</si>
  <si>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</si>
  <si>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</si>
  <si>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</si>
  <si>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</si>
  <si>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</si>
  <si>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</si>
  <si>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</si>
  <si>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</si>
  <si>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</si>
  <si>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</si>
  <si>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</si>
  <si>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</si>
  <si>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</si>
  <si>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</si>
  <si>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</si>
  <si>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</si>
  <si>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</si>
  <si>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</si>
  <si>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</si>
  <si>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</si>
  <si>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</si>
  <si>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</si>
  <si>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</si>
  <si>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</si>
  <si>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</si>
  <si>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</si>
  <si>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</si>
  <si>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</si>
  <si>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</si>
  <si>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</si>
  <si>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</si>
  <si>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</si>
  <si>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</si>
  <si>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</si>
  <si>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</si>
  <si>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</si>
  <si>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</si>
  <si>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</si>
  <si>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</si>
  <si>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</si>
  <si>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</si>
  <si>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</si>
  <si>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</si>
  <si>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</si>
  <si>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</si>
  <si>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</si>
  <si>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</si>
  <si>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</si>
  <si>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</si>
  <si>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</si>
  <si>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</si>
  <si>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</si>
  <si>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</si>
  <si>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</si>
  <si>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</si>
  <si>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</si>
  <si>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</si>
  <si>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</si>
  <si>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</si>
  <si>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</si>
  <si>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</si>
  <si>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</si>
  <si>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</si>
  <si>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</si>
  <si>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</si>
  <si>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</si>
  <si>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</si>
  <si>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</si>
  <si>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</si>
  <si>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</si>
  <si>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</si>
  <si>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</si>
  <si>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</si>
  <si>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</si>
  <si>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</si>
  <si>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</si>
  <si>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</si>
  <si>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</si>
  <si>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</si>
  <si>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</si>
  <si>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</si>
  <si>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</si>
  <si>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</si>
  <si>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</si>
  <si>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</si>
  <si>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</si>
  <si>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</si>
  <si>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</si>
  <si>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</si>
  <si>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</si>
  <si>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</si>
  <si>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</si>
  <si>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</si>
  <si>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</si>
  <si>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</si>
  <si>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</si>
  <si>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</si>
  <si>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</si>
  <si>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</si>
  <si>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</si>
  <si>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</si>
  <si>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</si>
  <si>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</si>
  <si>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</si>
  <si>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</si>
  <si>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</si>
  <si>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</si>
  <si>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</si>
  <si>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</si>
  <si>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</si>
  <si>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</si>
  <si>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</si>
  <si>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</si>
  <si>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</si>
  <si>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</si>
  <si>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</si>
  <si>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</si>
  <si>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</si>
  <si>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</si>
  <si>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</si>
  <si>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</si>
  <si>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</si>
  <si>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</si>
  <si>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</si>
  <si>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</si>
  <si>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</si>
  <si>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</si>
  <si>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</si>
  <si>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</si>
  <si>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</si>
  <si>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</si>
  <si>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</si>
  <si>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</si>
  <si>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</si>
  <si>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</si>
  <si>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</si>
  <si>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</si>
  <si>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</si>
  <si>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</si>
  <si>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</si>
  <si>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</si>
  <si>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</si>
  <si>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</si>
  <si>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</si>
  <si>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</si>
  <si>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</si>
  <si>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</si>
  <si>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</si>
  <si>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</si>
  <si>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</si>
  <si>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</si>
  <si>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</si>
  <si>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</si>
  <si>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</si>
  <si>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</si>
  <si>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</si>
  <si>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</si>
  <si>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</si>
  <si>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</si>
  <si>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</si>
  <si>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</si>
  <si>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</si>
  <si>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</si>
  <si>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</si>
  <si>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</si>
  <si>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</si>
  <si>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</si>
  <si>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</si>
  <si>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</si>
  <si>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</si>
  <si>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</si>
  <si>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</si>
  <si>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</si>
  <si>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</si>
  <si>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</si>
  <si>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</si>
  <si>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</si>
  <si>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</si>
  <si>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</si>
  <si>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</si>
  <si>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</si>
  <si>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</si>
  <si>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</si>
  <si>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</si>
  <si>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</si>
  <si>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</si>
  <si>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2</t>
  </si>
  <si>
    <t>cycles year 3</t>
  </si>
  <si>
    <t>cycles year 4</t>
  </si>
  <si>
    <t>cycles year 5</t>
  </si>
  <si>
    <t>total</t>
  </si>
  <si>
    <t>Drug</t>
  </si>
  <si>
    <t>Strength, container type, quantity</t>
  </si>
  <si>
    <t>Price</t>
  </si>
  <si>
    <t>VAT rate applicable</t>
  </si>
  <si>
    <t>Source</t>
  </si>
  <si>
    <t>Average weight (kg)</t>
  </si>
  <si>
    <t>source TBC</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</si>
  <si>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</si>
  <si>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</si>
  <si>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</si>
  <si>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</si>
  <si>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</si>
  <si>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</si>
  <si>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</si>
  <si>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</si>
  <si>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</si>
  <si>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</si>
  <si>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</si>
  <si>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</si>
  <si>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</si>
  <si>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</si>
  <si>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</si>
  <si>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</si>
  <si>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</si>
  <si>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</si>
  <si>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</si>
  <si>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</si>
  <si>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</si>
  <si>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</si>
  <si>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</si>
  <si>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</si>
  <si>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</si>
  <si>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</si>
  <si>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</si>
  <si>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</si>
  <si>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</si>
  <si>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</si>
  <si>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</si>
  <si>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Band 6 Mid</t>
  </si>
  <si>
    <t>Notes</t>
  </si>
  <si>
    <t>Preparation time before and post administration based on consensus of expert clinical opinions.  Band 7 nurse assumed, amend where necessary</t>
  </si>
  <si>
    <t>Duration of administrations as per SmPC available through the European Medicines Compendium</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</si>
  <si>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</si>
  <si>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</si>
  <si>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</si>
  <si>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</si>
  <si>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</si>
  <si>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</si>
  <si>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</si>
  <si>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</si>
  <si>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</si>
  <si>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</si>
  <si>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</si>
  <si>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</si>
  <si>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</si>
  <si>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</si>
  <si>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</si>
  <si>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</si>
  <si>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</si>
  <si>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</si>
  <si>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</si>
  <si>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</si>
  <si>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</si>
  <si>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</si>
  <si>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</si>
  <si>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</si>
  <si>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</si>
  <si>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</si>
  <si>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</si>
  <si>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Number of cycles</t>
  </si>
  <si>
    <t>VAT rate</t>
  </si>
  <si>
    <t>Annual cost</t>
  </si>
  <si>
    <t>IV</t>
  </si>
  <si>
    <t>vial</t>
  </si>
  <si>
    <t>n/a</t>
  </si>
  <si>
    <t>All components</t>
  </si>
  <si>
    <t>Drug costs from Gov.UK electronic market information tool (eMIT): online [accessed dd.mm.yy]</t>
  </si>
  <si>
    <t>Drug costs from British National Formulary (BNF): online [accessed dd.mm.yy]</t>
  </si>
  <si>
    <t>Administrations</t>
  </si>
  <si>
    <t>Treatment option</t>
  </si>
  <si>
    <t>HRG code</t>
  </si>
  <si>
    <t>HRG description</t>
  </si>
  <si>
    <t>Tariff</t>
  </si>
  <si>
    <t>Based on 2023-25 NHS England national tariff payment system –  24-25 prices</t>
  </si>
  <si>
    <t>First attendance</t>
  </si>
  <si>
    <t>Follow up attendance</t>
  </si>
  <si>
    <t>Based on 2023-25 National Tariff Payment System –  24-25 prices</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</si>
  <si>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</si>
  <si>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</si>
  <si>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</si>
  <si>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</si>
  <si>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</si>
  <si>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</si>
  <si>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</si>
  <si>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</si>
  <si>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</si>
  <si>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</si>
  <si>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</si>
  <si>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</si>
  <si>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</si>
  <si>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</si>
  <si>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</si>
  <si>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</si>
  <si>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</si>
  <si>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</si>
  <si>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</si>
  <si>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</si>
  <si>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</si>
  <si>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</si>
  <si>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</si>
  <si>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</si>
  <si>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</si>
  <si>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</si>
  <si>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</si>
  <si>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</si>
  <si>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</si>
  <si>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</si>
  <si>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</si>
  <si>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</si>
  <si>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</si>
  <si>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</si>
  <si>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</si>
  <si>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</si>
  <si>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</si>
  <si>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</si>
  <si>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</si>
  <si>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</si>
  <si>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</si>
  <si>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</si>
  <si>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</si>
  <si>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</si>
  <si>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</si>
  <si>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</si>
  <si>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Hourly rate</t>
  </si>
  <si>
    <t>Administrations - change in number of attendances current practice</t>
  </si>
  <si>
    <t>Administrations cycles per year - change to current practice</t>
  </si>
  <si>
    <t>Nursing staffing</t>
  </si>
  <si>
    <t>Duration of administration
(mins)</t>
  </si>
  <si>
    <t>All options</t>
  </si>
  <si>
    <t>Administrations - change in duration (hours) to current practice</t>
  </si>
  <si>
    <t>Preparation time before admins - change (hours) to current practice</t>
  </si>
  <si>
    <t>Nursing time after admins - change (hours) to current practice</t>
  </si>
  <si>
    <t>Pharmacy</t>
  </si>
  <si>
    <t>Unit cost</t>
  </si>
  <si>
    <t>Capacity impact (national prices)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</si>
  <si>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</si>
  <si>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</si>
  <si>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</si>
  <si>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</si>
  <si>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</si>
  <si>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</si>
  <si>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</si>
  <si>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</si>
  <si>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</si>
  <si>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</si>
  <si>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</si>
  <si>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</si>
  <si>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</si>
  <si>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</si>
  <si>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</si>
  <si>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</si>
  <si>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</si>
  <si>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</si>
  <si>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</si>
  <si>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</si>
  <si>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</si>
  <si>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</si>
  <si>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</si>
  <si>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</si>
  <si>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</si>
  <si>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</si>
  <si>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</si>
  <si>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</si>
  <si>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</si>
  <si>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</si>
  <si>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</si>
  <si>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</si>
  <si>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</si>
  <si>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</si>
  <si>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</si>
  <si>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</si>
  <si>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</si>
  <si>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</si>
  <si>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</si>
  <si>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</si>
  <si>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</si>
  <si>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</si>
  <si>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</si>
  <si>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</si>
  <si>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</si>
  <si>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</si>
  <si>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</si>
  <si>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</si>
  <si>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</si>
  <si>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</si>
  <si>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</si>
  <si>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</si>
  <si>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</si>
  <si>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</si>
  <si>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</si>
  <si>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</si>
  <si>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Support time  (mins)</t>
  </si>
  <si>
    <t>Support time (hours) - change to current practice</t>
  </si>
  <si>
    <t>Incidence of lung cancer</t>
  </si>
  <si>
    <t>Proportion that are NSCLC</t>
  </si>
  <si>
    <t>Proportion suitable for neoadjuvant treatment</t>
  </si>
  <si>
    <t>Cancer Registration Statistics, England 2021. ICD10 code C33-C34</t>
  </si>
  <si>
    <t>neoadjuvant</t>
  </si>
  <si>
    <t>adjuvant</t>
  </si>
  <si>
    <t>Pembrolizumab adjuvant</t>
  </si>
  <si>
    <t>Carboplatin</t>
  </si>
  <si>
    <t>eMIT, www.gov.uk, accessed online 10.04.24</t>
  </si>
  <si>
    <t>Cisplatin</t>
  </si>
  <si>
    <t>Gemcitabine</t>
  </si>
  <si>
    <t>Paclitaxel</t>
  </si>
  <si>
    <t>Pemetrexed</t>
  </si>
  <si>
    <t>Number of vials/bags required per cycle</t>
  </si>
  <si>
    <t>Number of cycles per treatment/year</t>
  </si>
  <si>
    <t>Total number of vials/bags needed for treatment/year</t>
  </si>
  <si>
    <t>Regimen cost</t>
  </si>
  <si>
    <t>Weighting</t>
  </si>
  <si>
    <t>Cisplatin + Gemcitabine.  Cisplatin</t>
  </si>
  <si>
    <t>mg/m2, every 3 weeks, day 1</t>
  </si>
  <si>
    <t>Cisplatin + Gemcitabine.  Gemcitabine</t>
  </si>
  <si>
    <t>mg/m2, every 3 weeks, day 1 and 8</t>
  </si>
  <si>
    <t>Cisplatin + Pemetrexed.  Cisplatin</t>
  </si>
  <si>
    <t>Cisplatin + Pemetrexed.  Pemetrexed</t>
  </si>
  <si>
    <t>SB13Z Deliver more complex parenteral chemotherapy at first Attendance</t>
  </si>
  <si>
    <t>SB15Z Deliver Subsequent Elements of a Chemotherapy Cycle</t>
  </si>
  <si>
    <t>SB12Z Deliver Simple Parenteral Chemotherapy at First Attendance</t>
  </si>
  <si>
    <t>Nivolumab</t>
  </si>
  <si>
    <t>Average body surface area (m2)/GFR</t>
  </si>
  <si>
    <t>mg/m2, once every 3 weeks</t>
  </si>
  <si>
    <t>mg/m2, twice every 3 weeks</t>
  </si>
  <si>
    <t>Carboplatin + Paclitaxel.  Carboplatin</t>
  </si>
  <si>
    <t>mg/mL/min, once every 3 weeks</t>
  </si>
  <si>
    <t>Carboplatin + Paclitaxel.  Paclitaxel</t>
  </si>
  <si>
    <t>Chemotherapy drugs prices</t>
  </si>
  <si>
    <t>Nivolumab neoadjuvant</t>
  </si>
  <si>
    <t>Comparator - nivolumab neoadjuvant</t>
  </si>
  <si>
    <t>Osimertinib (IV) is not considered a comparator.  This is because this is available to people who have gone straight to surgery without neoadjuvant chemotherapy.</t>
  </si>
  <si>
    <t>SB13Z</t>
  </si>
  <si>
    <t>SB15Z</t>
  </si>
  <si>
    <t>SB12Z</t>
  </si>
  <si>
    <t>cycles</t>
  </si>
  <si>
    <t>Platinum doublet chemotherapy - neoadjuvant</t>
  </si>
  <si>
    <t>Platinum doublet chemotherapy - adjuvant</t>
  </si>
  <si>
    <t>IV over 30mins every 3 weeks, three cycles</t>
  </si>
  <si>
    <t>200 mg every three weeks</t>
  </si>
  <si>
    <t>Pembrolizumab (neoadjuvant)</t>
  </si>
  <si>
    <t>Pembrolizumab (adjuvant)</t>
  </si>
  <si>
    <t>1 or 2</t>
  </si>
  <si>
    <t>eMIT</t>
  </si>
  <si>
    <t>Neoadjuvant setting</t>
  </si>
  <si>
    <t>Adjuvant setting</t>
  </si>
  <si>
    <t>Nivolumab (neoadjuvant)</t>
  </si>
  <si>
    <t>Oncologist appointment</t>
  </si>
  <si>
    <t xml:space="preserve">Pembrolizumab is administered as an intravenous infusion over 30 minutes per company document B. </t>
  </si>
  <si>
    <t>For illustration, change locally</t>
  </si>
  <si>
    <t>Drug regimen prep (mins)</t>
  </si>
  <si>
    <t>Per NHSE: Clinical pathways for treatment of patients in the neoadjuvant and adjuvant setting are established in practice.  There will be additional treatment cycles in the adjuvant setting with pembrolizumab compared to current practice.</t>
  </si>
  <si>
    <t>weighting</t>
  </si>
  <si>
    <t>Pembrolizumab+cisp+gem neoadjuvant</t>
  </si>
  <si>
    <t>Pembrolizumab+cisp+pemx neoadjuvant</t>
  </si>
  <si>
    <t>Nivolumab +cisp+pemx neoadjuvant</t>
  </si>
  <si>
    <t>Nivolumab +cisp+gem neoadjuvant</t>
  </si>
  <si>
    <t>Nivolumab +carbo+pacltx neoadjuvant</t>
  </si>
  <si>
    <t>Cost of cycle £</t>
  </si>
  <si>
    <t>Appointments with oncologist</t>
  </si>
  <si>
    <t>Medical oncology service</t>
  </si>
  <si>
    <t>TFC 370</t>
  </si>
  <si>
    <t>HRG code- outpatient attendance</t>
  </si>
  <si>
    <t>Pembrolizumab + chemo</t>
  </si>
  <si>
    <t>Nivolumab + chemo</t>
  </si>
  <si>
    <t>Subtotal</t>
  </si>
  <si>
    <t>Pembrolizumab adjuvant yr 1 of treatment*</t>
  </si>
  <si>
    <t>Pembrolizumab adjuvant yr 2 of treatment*</t>
  </si>
  <si>
    <t>Pembrolizumab + chemo (neoadjuvant setting)</t>
  </si>
  <si>
    <t>Pembrolizumab  (adjuvant setting)</t>
  </si>
  <si>
    <t>People choosing pembrolizumab (neoadjuvant setting)</t>
  </si>
  <si>
    <t>Total people choosing pembrolizumab</t>
  </si>
  <si>
    <t>Specialty appointments - oncology</t>
  </si>
  <si>
    <t>First attendances - hours and cost (neoadjuvant setting)</t>
  </si>
  <si>
    <t>First attendances - hours and cost (adjuvant setting)</t>
  </si>
  <si>
    <t>Follow up attendances hours and cost (neoadjuvant setting)</t>
  </si>
  <si>
    <t>Follow up attendances hours and cost (adjuvant setting)</t>
  </si>
  <si>
    <t>Follow up - change in hours  to current practice</t>
  </si>
  <si>
    <t>Follow up - change in hours to current practice</t>
  </si>
  <si>
    <t>First attendance - change in hours to current practice</t>
  </si>
  <si>
    <t>Administrations - duration of administrations (hours)  - neoadjuvant</t>
  </si>
  <si>
    <t>Preparation time before administration (hours) - neoadjuvant</t>
  </si>
  <si>
    <t>Post administration nursing time (hours) - neoadjuvant</t>
  </si>
  <si>
    <t>Administrations - duration of administrations (hours)  - adjuvant</t>
  </si>
  <si>
    <t>Preparation time before administration (hours) - adjuvant</t>
  </si>
  <si>
    <t>Post administration nursing time (hours) - adjuvant</t>
  </si>
  <si>
    <t>Pharmacy support (hours) - adjuvant</t>
  </si>
  <si>
    <t>Pharmacy support (hours) - neoadjuvant</t>
  </si>
  <si>
    <t>The overall incidence of participants with AEs resulting in interruptions of any study drug during the combined phases was similar between the pembrolizumab arm (42.7%) and the placebo arm (35.6%).</t>
  </si>
  <si>
    <t>The most frequently reported AEs (incidence ≥4%) resulting in interruption of any study drug in the combined phases were:</t>
  </si>
  <si>
    <r>
      <t>·</t>
    </r>
    <r>
      <rPr>
        <sz val="7"/>
        <color theme="1"/>
        <rFont val="Calibri"/>
        <family val="2"/>
      </rPr>
      <t xml:space="preserve">        </t>
    </r>
    <r>
      <rPr>
        <sz val="11"/>
        <color theme="1"/>
        <rFont val="Calibri"/>
        <family val="2"/>
      </rPr>
      <t>Pembrolizumab arm: neutrophil count decreased (16.9%); anaemia (4.0%); and white blood cell count decreased (4.0%).</t>
    </r>
  </si>
  <si>
    <r>
      <t>·</t>
    </r>
    <r>
      <rPr>
        <sz val="7"/>
        <color theme="1"/>
        <rFont val="Calibri"/>
        <family val="2"/>
      </rPr>
      <t xml:space="preserve">        </t>
    </r>
    <r>
      <rPr>
        <sz val="11"/>
        <color theme="1"/>
        <rFont val="Calibri"/>
        <family val="2"/>
      </rPr>
      <t>Placebo arm: neutrophil count decreased (17.0%); and white blood cell count decreased (6.0%).</t>
    </r>
  </si>
  <si>
    <t xml:space="preserve">Pembrolizumab as neoadjuvant (with chemotherapy) and adjuvant (as monotherapy) treatment for resectable non-small-cell lung cancer </t>
  </si>
  <si>
    <t>Specialty appointments oncology</t>
  </si>
  <si>
    <t>First attendances - number of appointments (neoadjuvant setting)</t>
  </si>
  <si>
    <t>Follow up attendances - number of appointments (neoadjuvant setting)</t>
  </si>
  <si>
    <t>First attendances - number of appointments (adjuvant setting)</t>
  </si>
  <si>
    <t>Follow up attendances - number of appointments (adjuvant setting)</t>
  </si>
  <si>
    <t>Administrations (IV)- number of cycles (neoadjuvant)</t>
  </si>
  <si>
    <t>Administrations (IV) - number of cycles (adjuvant)</t>
  </si>
  <si>
    <t>Support time (hours) - change to current practice (neoadjuvant setting)</t>
  </si>
  <si>
    <t>Support time (hours) - change to current practice (adjuvant setting)</t>
  </si>
  <si>
    <t>Pembrolizumab monotherapy*</t>
  </si>
  <si>
    <t>Pembrolizumab adjuvant Yr 1</t>
  </si>
  <si>
    <t>Pembrolizumab adjuvant Yr 2</t>
  </si>
  <si>
    <t>Pembrolizumab with chemotherapy before surgery (neoadjuvant) then alone after surgery (adjuvant) for treating resectable non-small-cell lung cancer</t>
  </si>
  <si>
    <t>The capacity benefit shown as fewer cycles in year 1 is due to the timing of when pembrolizumab treatment is given over the neoadjuvant and adjuvant settings with some cycles of adjuvant treatment expected to fall in year 2 (see note below).</t>
  </si>
  <si>
    <t>Note:</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</si>
  <si>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</si>
  <si>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</si>
  <si>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</si>
  <si>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</si>
  <si>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</si>
  <si>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</si>
  <si>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</si>
  <si>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</si>
  <si>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</si>
  <si>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</si>
  <si>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</si>
  <si>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</si>
  <si>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</si>
  <si>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</si>
  <si>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</si>
  <si>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</si>
  <si>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</si>
  <si>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</si>
  <si>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</si>
  <si>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</si>
  <si>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</si>
  <si>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</si>
  <si>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</si>
  <si>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</si>
  <si>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Pembrolizumab (adjuvant) </t>
  </si>
  <si>
    <t xml:space="preserve">For simplicity, it is estimated that adjuvant treatment commences in month 7 and so is split 50%/50% across years, that is half treatment in one year, half in the next. </t>
  </si>
  <si>
    <t>Table 5</t>
  </si>
  <si>
    <t>Atezolizumab is not considered a comparator. Please see note in 'Inputs and eligible population'.</t>
  </si>
  <si>
    <t>Adverse events are not assumed to have additional resource impact from current practice. Company submission:</t>
  </si>
  <si>
    <t>Notes:</t>
  </si>
  <si>
    <t xml:space="preserve">Note: Atezolizumab is not considered a comparator in this setting because committee experts agreed the decision for people who were eligible for a neoadjuvant treatment (which meant they could have perioperative pembrolizumab or neoadjuvant nivolumab) followed by surgery and then adjuvant pembrolizumab or chemotherapy, would be separate from the decision for people who went straight to surgery for a number of reasons (not wanting to delay to avoid progression, insufficient information on histology or biomarkers to have a neoadjuvant treatment, or the cancer being at too low a stage to be eligible for neoadjuvant treatment). For those people, the decision would then be to have adjuvant chemotherapy and (if eligible) atezolizumab afterwards. 
</t>
  </si>
  <si>
    <t>No new indication-specific adverse events of special interest (AEOSI) was identified (i.e., immune-mediated events causally associated with pembrolizumab) when pembrolizumab was administered concurrently with neoadjuvant chemotherapy and followed by adjuvant pembrolizumab monotherapy (Table 36 company document B). The types of AEOSI observed in the pembrolizumab arm were generally consistent with the known safety profile of pembrolizumab monotherapy.</t>
  </si>
  <si>
    <t>People eligible for neoadjuvant treatment</t>
  </si>
  <si>
    <t xml:space="preserve">*For simplicity, it is estimated that adjuvant treatment commences in month 7 and so is split 50%/50% across years, that is half treatment in one year, half in the next. </t>
  </si>
  <si>
    <t>100mg vial / pack size 1</t>
  </si>
  <si>
    <t>120mg vial / pack size 1</t>
  </si>
  <si>
    <t>Carboplatin 450mg/45ml solution for infusion vials  /  Pack size 1</t>
  </si>
  <si>
    <t>Carboplatin 600mg/60ml solution for infusion vials  /  Pack size 1</t>
  </si>
  <si>
    <t>Cisplatin 100mg/100ml solution for infusion vials  /  Pack size 1</t>
  </si>
  <si>
    <t>Cisplatin 10mg/10ml solution for infusion vials  /  Pack size 1</t>
  </si>
  <si>
    <t>Gemcitabine 2g/20ml (100mg/ml) concentrate for solution for infusion vials  /  Pack size 1</t>
  </si>
  <si>
    <t>Gemcitabine 1g powder for solution for infusion vials  /  Pack size 1</t>
  </si>
  <si>
    <t>Paclitaxel 100mg/16.7ml solution for infusion vials  /  Pack size 1</t>
  </si>
  <si>
    <t>Paclitaxel 300mg/50ml solution for injection vials  /  Pack size 1</t>
  </si>
  <si>
    <t>Pemetrexed 1g powder for solution for injection vials (generic)  /  Pack size 1</t>
  </si>
  <si>
    <t>NHS England national tariff payment system</t>
  </si>
  <si>
    <t>There is a part year effect (in Year 1) in capacity impact for people receiving adjuvant pembrolizumab.</t>
  </si>
  <si>
    <t>Unit cost (weighted)</t>
  </si>
  <si>
    <t>People receiving nivolumab+chemotherapy (neoadjuvant)</t>
  </si>
  <si>
    <t>Total cost of treatment excluding VAT</t>
  </si>
  <si>
    <t>Weighted tariff £</t>
  </si>
  <si>
    <t>Uptake for pembrolizumab+chemotherapy</t>
  </si>
  <si>
    <t>Uptake for nivolumab+chemotherapy</t>
  </si>
  <si>
    <t>cycles neoadjuvant. / cycles adjuvant Yr 1</t>
  </si>
  <si>
    <t>Published: November 2024</t>
  </si>
  <si>
    <t>Eligible population - neoadjuvant</t>
  </si>
  <si>
    <t xml:space="preserve">In the neoadjuvant setting it is assumed people would receive either nivolumab + chemotherapy or pembrolizumab + chemotherapy. After neoadjuvant treatment with nivolumab followed by surgery, it is assumed 100% of people receive monitoring. </t>
  </si>
  <si>
    <t>Total</t>
  </si>
  <si>
    <t>Appointments with specialist assumed to be the same for all groups. Please amend locally.</t>
  </si>
  <si>
    <t>Pembrolizumab*</t>
  </si>
  <si>
    <t>Please see 'unit costs' of pembrolizumab.</t>
  </si>
  <si>
    <t xml:space="preserve">Monitoring </t>
  </si>
  <si>
    <t>Adjuvant treatment</t>
  </si>
  <si>
    <t>Only people who receive pembrolizumab as a neoadjuvant treatment can then receive pembrolizumab as an adjuvant treatment after surgery. Therefore the eligible ppulation for adjuvant treatment is dependent on the uptake of pembrolizumab as a neoadjuvant treatment.</t>
  </si>
  <si>
    <t>71.2% of people who receive pembrolizumab as a neoadjuvant treatment are expected to be eligible for adjuvant treatment with pembrolizumab.</t>
  </si>
  <si>
    <t>This is based on a study by Wakelee et al 2023 where 290 patients received adjuvant treatment out of 325 having surgery (89.2%). Shown in figure S2. This is further adjusted for people who drop out or experience adverse effects 18%.</t>
  </si>
  <si>
    <t>Proportion suitable for adjuvant treatment with pembrolizumab (proportion of those who receive neoadjuvant pembrolizumab)</t>
  </si>
  <si>
    <t>Uptake for adjuvant pembrolizumab after neoadjuvant pembrolizumab</t>
  </si>
  <si>
    <t>The number of people having adjuvant pembrolizumab in the table above represents the number starting treatment in that year. For simplicity, it is estimated that adjuvant treatment commences in month 7 and so is split 50%/50% across years, that is half treatment in one year, half in the next. This is based on clinical information from NHSE that assumes adjuvant treatment commences 24 weeks after the start of neoadjuvant treatment.</t>
  </si>
  <si>
    <t>This is based on clinical information from NHSE that assumes adjuvant treatment commences 24 weeks after the start of neoadjuvant treatment.</t>
  </si>
  <si>
    <r>
      <rPr>
        <b/>
        <sz val="11"/>
        <color theme="1"/>
        <rFont val="Calibri"/>
        <family val="2"/>
        <scheme val="minor"/>
      </rPr>
      <t>Of whom:</t>
    </r>
    <r>
      <rPr>
        <sz val="11"/>
        <color theme="1"/>
        <rFont val="Calibri"/>
        <family val="2"/>
        <scheme val="minor"/>
      </rPr>
      <t xml:space="preserve"> People choosing pembrolizumab (adjuvant setting) </t>
    </r>
  </si>
  <si>
    <t>Clinical expert opinion as per TA876 resource impact template</t>
  </si>
  <si>
    <t>Perioperative Pembrolizumab for Early-Stage Non–Small-Cell Lung Cancer | New England Journal of Medicine (nejm.org)</t>
  </si>
  <si>
    <t>200mg every 3wks</t>
  </si>
  <si>
    <t>400mg every  6wks</t>
  </si>
  <si>
    <t>Pembrolizumab adjuvant 200mg Q3W</t>
  </si>
  <si>
    <t>Pembrolizumab adjuvant 400mg Q6W</t>
  </si>
  <si>
    <t>Uptake for neoadjuvant pembrolizumab</t>
  </si>
  <si>
    <t>Uptake for neoadjuvant nivolumab</t>
  </si>
  <si>
    <t>Please select dosing regimen from dropdown below</t>
  </si>
  <si>
    <t>Cancer</t>
  </si>
  <si>
    <t>Lung cancer</t>
  </si>
  <si>
    <t>IV infusion</t>
  </si>
  <si>
    <t xml:space="preserve">Pre-operative (neoadjuvant) resectable NSCLC and adjuvant (post operative) NSCLC </t>
  </si>
  <si>
    <t>NHS Hospital Trusts</t>
  </si>
  <si>
    <t>NHS England</t>
  </si>
  <si>
    <t>2D Cancers &amp; Tumours - Lung</t>
  </si>
  <si>
    <t>90 days</t>
  </si>
  <si>
    <t>*For simplicity, it is estimated that adjuvant treatment commences in month 7 and so is split 50%/50% across years 1 and 2 of treatment. The cost adjustment is made by applying half of the cost of adjuvant pembrolizumab in each of years 1 and 2 of treatment.</t>
  </si>
  <si>
    <t>TA1017</t>
  </si>
  <si>
    <t>Pembrolizumab + chemo - neoadjuvant</t>
  </si>
  <si>
    <t>Market share estimates are based on clinical oncology expert opinion from TA876 and the company estimate (mid-point taken). Please amend locally.</t>
  </si>
  <si>
    <t>NLCA State of the Nation 2024 Version 2 - National Lung Cancer Audit</t>
  </si>
  <si>
    <t>Proportion who undergo surgical resection</t>
  </si>
  <si>
    <t>Less: Proportion who are stage I whose tumours are easily operable and would not require neoadjuvant treatment</t>
  </si>
  <si>
    <t>Sub total people receiving surgical resection who are not stage I</t>
  </si>
  <si>
    <t>Table 3 weighting of stage I =22.5/ (22.5+stage  II = 7.5+ stage III = 10.7) = 55.2% : Estimate  55% of all resections were stage 1 and would not be eligible for neoadjuvant treatment. Please amend locally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</si>
</sst>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
    <numFmt numFmtId="177" formatCode="0.0000"/>
    <numFmt numFmtId="178" formatCode="0.0000%"/>
  </numFmts>
  <fonts count="8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0.5"/>
      <name val="Times New Roman"/>
      <family val="1"/>
    </font>
    <font>
      <sz val="10.5"/>
      <name val="Times New Roman"/>
      <family val="1"/>
    </font>
    <font>
      <b/>
      <sz val="11"/>
      <name val="Calibri"/>
      <family val="2"/>
    </font>
    <font>
      <sz val="11"/>
      <color rgb="FFFF0000"/>
      <name val="Calibri"/>
      <family val="2"/>
    </font>
    <font>
      <sz val="7"/>
      <color theme="1"/>
      <name val="Calibri"/>
      <family val="2"/>
    </font>
    <font>
      <b/>
      <sz val="11"/>
      <color theme="1"/>
      <name val="Aptos Narrow"/>
      <family val="2"/>
    </font>
    <font>
      <b/>
      <sz val="11"/>
      <name val="Aptos Narrow"/>
      <family val="2"/>
    </font>
    <font>
      <b/>
      <u/>
      <sz val="11"/>
      <color theme="1"/>
      <name val="Calibri"/>
      <family val="2"/>
      <scheme val="min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rgb="FF000000"/>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0" fontId="27" fillId="0" borderId="0"/>
  </cellStyleXfs>
  <cellXfs count="863">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55" fillId="0" borderId="0" xfId="72" applyFont="1" applyFill="1" applyAlignment="1" applyProtection="1">
      <alignment vertical="top"/>
    </xf>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0" fillId="0" borderId="35"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62" fillId="0" borderId="0" xfId="0" applyFont="1" applyAlignment="1">
      <alignment vertical="center"/>
    </xf>
    <xf numFmtId="10" fontId="0" fillId="24" borderId="11" xfId="92" applyNumberFormat="1" applyFont="1" applyFill="1" applyBorder="1"/>
    <xf numFmtId="169"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64" fillId="0" borderId="0" xfId="0" applyFont="1"/>
    <xf numFmtId="0" fontId="65" fillId="0" borderId="0" xfId="0" applyFont="1" applyAlignment="1">
      <alignment vertic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8" fillId="39" borderId="11" xfId="0" applyFont="1" applyFill="1" applyBorder="1" applyAlignment="1">
      <alignment horizontal="center" vertical="center" wrapText="1"/>
    </xf>
    <xf numFmtId="0" fontId="68" fillId="0" borderId="0" xfId="0" applyFont="1" applyAlignment="1">
      <alignment horizontal="center" vertical="center"/>
    </xf>
    <xf numFmtId="0" fontId="69"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70"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3"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42"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3" fontId="44" fillId="42" borderId="17" xfId="0" applyNumberFormat="1" applyFont="1" applyFill="1" applyBorder="1"/>
    <xf numFmtId="3" fontId="44" fillId="43"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0" borderId="0" xfId="82" applyFont="1" applyAlignment="1">
      <alignment horizontal="left"/>
    </xf>
    <xf numFmtId="0" fontId="48" fillId="24" borderId="11" xfId="82" applyFont="1" applyFill="1" applyBorder="1" applyAlignment="1">
      <alignment horizontal="left"/>
    </xf>
    <xf numFmtId="0" fontId="6" fillId="25" borderId="0" xfId="82" applyFont="1" applyFill="1"/>
    <xf numFmtId="0" fontId="48" fillId="0" borderId="11" xfId="0" applyFont="1" applyBorder="1" applyAlignment="1">
      <alignment horizontal="left"/>
    </xf>
    <xf numFmtId="0" fontId="68"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8" fillId="24" borderId="0" xfId="0" applyFont="1" applyFill="1" applyAlignment="1">
      <alignment horizontal="center" vertical="center"/>
    </xf>
    <xf numFmtId="0" fontId="68"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8"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71"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63" fillId="0" borderId="0" xfId="0" applyFont="1" applyAlignment="1">
      <alignment horizontal="left"/>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1" fontId="29" fillId="46" borderId="11" xfId="0" applyNumberFormat="1" applyFont="1" applyFill="1" applyBorder="1" applyAlignment="1">
      <alignment horizontal="center"/>
    </xf>
    <xf numFmtId="0" fontId="29" fillId="46"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44" fillId="40" borderId="21" xfId="0" applyFont="1"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3"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1" xfId="0" applyFill="1" applyBorder="1" applyProtection="1">
      <protection locked="0"/>
    </xf>
    <xf numFmtId="0" fontId="0" fillId="39" borderId="34" xfId="0"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31" xfId="0" applyNumberFormat="1" applyFill="1" applyBorder="1" applyAlignment="1" applyProtection="1">
      <alignment horizontal="right"/>
      <protection locked="0"/>
    </xf>
    <xf numFmtId="0" fontId="0" fillId="39" borderId="39"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6" fontId="46" fillId="39" borderId="11" xfId="56" applyNumberFormat="1" applyFont="1" applyFill="1" applyBorder="1" applyAlignment="1" applyProtection="1">
      <alignment horizontal="center"/>
      <protection locked="0"/>
    </xf>
    <xf numFmtId="0" fontId="6" fillId="39" borderId="20" xfId="82" applyFont="1" applyFill="1" applyBorder="1" applyAlignment="1" applyProtection="1">
      <alignment horizontal="left"/>
      <protection locked="0"/>
    </xf>
    <xf numFmtId="0" fontId="46" fillId="0" borderId="11" xfId="82" applyFont="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4" xfId="82" applyFont="1" applyBorder="1"/>
    <xf numFmtId="0" fontId="46" fillId="0" borderId="45" xfId="82" applyFont="1" applyBorder="1"/>
    <xf numFmtId="0" fontId="46" fillId="0" borderId="46" xfId="82" applyFont="1" applyBorder="1"/>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0" fontId="48" fillId="24" borderId="12" xfId="82" applyFont="1" applyFill="1" applyBorder="1" applyAlignment="1">
      <alignment horizontal="center" wrapText="1"/>
    </xf>
    <xf numFmtId="169" fontId="46" fillId="39" borderId="12" xfId="82" applyNumberFormat="1" applyFont="1" applyFill="1" applyBorder="1" applyProtection="1">
      <protection locked="0"/>
    </xf>
    <xf numFmtId="165" fontId="48" fillId="0" borderId="0" xfId="82" applyNumberFormat="1" applyFont="1"/>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8" xfId="82" applyNumberFormat="1" applyFont="1" applyFill="1" applyBorder="1" applyProtection="1">
      <protection locked="0"/>
    </xf>
    <xf numFmtId="164" fontId="46" fillId="39" borderId="40" xfId="82" applyNumberFormat="1" applyFont="1" applyFill="1" applyBorder="1" applyProtection="1">
      <protection locked="0"/>
    </xf>
    <xf numFmtId="3" fontId="46" fillId="0" borderId="10" xfId="82" applyNumberFormat="1" applyFont="1" applyBorder="1"/>
    <xf numFmtId="0" fontId="46" fillId="0" borderId="47" xfId="82" applyFont="1" applyBorder="1"/>
    <xf numFmtId="165" fontId="46" fillId="0" borderId="48" xfId="82" applyNumberFormat="1" applyFont="1" applyBorder="1"/>
    <xf numFmtId="0" fontId="46" fillId="0" borderId="14" xfId="0" applyFont="1" applyBorder="1"/>
    <xf numFmtId="0" fontId="28" fillId="24" borderId="0" xfId="72" quotePrefix="1" applyFill="1" applyAlignment="1" applyProtection="1"/>
    <xf numFmtId="0" fontId="28" fillId="0" borderId="0" xfId="72" applyAlignment="1" applyProtection="1">
      <alignment vertical="top"/>
    </xf>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1" fontId="0" fillId="0" borderId="11" xfId="0" applyNumberFormat="1" applyBorder="1"/>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4" fillId="43" borderId="0" xfId="0" applyFont="1" applyFill="1"/>
    <xf numFmtId="0" fontId="74" fillId="43" borderId="20" xfId="0" applyFont="1" applyFill="1" applyBorder="1" applyAlignment="1">
      <alignment horizontal="center"/>
    </xf>
    <xf numFmtId="4" fontId="74" fillId="43" borderId="20" xfId="0" applyNumberFormat="1" applyFont="1" applyFill="1" applyBorder="1"/>
    <xf numFmtId="164" fontId="74" fillId="43" borderId="20" xfId="0" applyNumberFormat="1" applyFont="1" applyFill="1" applyBorder="1"/>
    <xf numFmtId="0" fontId="74" fillId="43" borderId="20" xfId="0" applyFont="1" applyFill="1" applyBorder="1"/>
    <xf numFmtId="0" fontId="74" fillId="43" borderId="17" xfId="0" applyFont="1" applyFill="1" applyBorder="1"/>
    <xf numFmtId="0" fontId="48" fillId="43" borderId="12" xfId="0" applyFont="1" applyFill="1" applyBorder="1" applyAlignment="1">
      <alignment horizontal="left" vertical="center"/>
    </xf>
    <xf numFmtId="175" fontId="0" fillId="39" borderId="0" xfId="92" applyNumberFormat="1" applyFont="1" applyFill="1"/>
    <xf numFmtId="175" fontId="0" fillId="39" borderId="11" xfId="92" applyNumberFormat="1" applyFont="1" applyFill="1" applyBorder="1"/>
    <xf numFmtId="3" fontId="44" fillId="39" borderId="11" xfId="0" applyNumberFormat="1" applyFont="1" applyFill="1" applyBorder="1" applyProtection="1">
      <protection locked="0"/>
    </xf>
    <xf numFmtId="3" fontId="0" fillId="39" borderId="15" xfId="0" applyNumberFormat="1" applyFill="1" applyBorder="1" applyProtection="1">
      <protection locked="0"/>
    </xf>
    <xf numFmtId="0" fontId="44" fillId="0" borderId="12" xfId="0" applyFont="1" applyBorder="1"/>
    <xf numFmtId="3" fontId="48" fillId="24" borderId="11" xfId="82" applyNumberFormat="1" applyFont="1" applyFill="1" applyBorder="1" applyAlignment="1">
      <alignment horizontal="center" wrapText="1"/>
    </xf>
    <xf numFmtId="0" fontId="46" fillId="24" borderId="11" xfId="82" applyFont="1" applyFill="1" applyBorder="1" applyProtection="1">
      <protection locked="0"/>
    </xf>
    <xf numFmtId="175" fontId="46" fillId="39" borderId="12" xfId="82" applyNumberFormat="1" applyFont="1" applyFill="1" applyBorder="1" applyProtection="1">
      <protection locked="0"/>
    </xf>
    <xf numFmtId="175" fontId="46" fillId="39" borderId="40" xfId="82" applyNumberFormat="1" applyFont="1" applyFill="1" applyBorder="1" applyProtection="1">
      <protection locked="0"/>
    </xf>
    <xf numFmtId="166" fontId="46" fillId="39" borderId="15" xfId="56" applyNumberFormat="1" applyFont="1" applyFill="1" applyBorder="1" applyProtection="1">
      <protection locked="0"/>
    </xf>
    <xf numFmtId="164" fontId="46" fillId="39" borderId="13" xfId="82" applyNumberFormat="1" applyFont="1" applyFill="1" applyBorder="1" applyProtection="1">
      <protection locked="0"/>
    </xf>
    <xf numFmtId="0" fontId="0" fillId="39" borderId="50" xfId="0" applyFill="1" applyBorder="1"/>
    <xf numFmtId="0" fontId="0" fillId="39" borderId="51" xfId="0" applyFill="1" applyBorder="1"/>
    <xf numFmtId="0" fontId="0" fillId="39" borderId="52" xfId="0" applyFill="1" applyBorder="1"/>
    <xf numFmtId="0" fontId="46" fillId="39" borderId="17" xfId="82" applyFont="1" applyFill="1" applyBorder="1" applyAlignment="1" applyProtection="1">
      <alignment horizontal="center"/>
      <protection locked="0"/>
    </xf>
    <xf numFmtId="0" fontId="46" fillId="0" borderId="23" xfId="82" applyFont="1" applyBorder="1"/>
    <xf numFmtId="0" fontId="0" fillId="39" borderId="12" xfId="0" applyFill="1" applyBorder="1" applyAlignment="1">
      <alignment horizontal="left" vertical="center"/>
    </xf>
    <xf numFmtId="0" fontId="0" fillId="39" borderId="11" xfId="0" applyFill="1" applyBorder="1" applyAlignment="1">
      <alignment horizontal="left" vertical="center"/>
    </xf>
    <xf numFmtId="0" fontId="48" fillId="0" borderId="13" xfId="82" applyFont="1" applyBorder="1"/>
    <xf numFmtId="0" fontId="46" fillId="0" borderId="35" xfId="82" applyFont="1" applyBorder="1"/>
    <xf numFmtId="0" fontId="46" fillId="0" borderId="14" xfId="82" applyFont="1" applyBorder="1"/>
    <xf numFmtId="0" fontId="46" fillId="0" borderId="18" xfId="82" applyFont="1" applyBorder="1"/>
    <xf numFmtId="0" fontId="2" fillId="0" borderId="18" xfId="82" applyBorder="1"/>
    <xf numFmtId="164" fontId="46" fillId="24" borderId="12" xfId="82" applyNumberFormat="1" applyFont="1" applyFill="1" applyBorder="1" applyProtection="1">
      <protection locked="0"/>
    </xf>
    <xf numFmtId="165" fontId="46" fillId="24" borderId="38" xfId="82" applyNumberFormat="1" applyFont="1" applyFill="1" applyBorder="1" applyProtection="1">
      <protection locked="0"/>
    </xf>
    <xf numFmtId="0" fontId="46" fillId="39" borderId="11" xfId="82" applyFont="1" applyFill="1" applyBorder="1"/>
    <xf numFmtId="0" fontId="0" fillId="39" borderId="17" xfId="0" applyFill="1" applyBorder="1" applyAlignment="1">
      <alignment horizontal="right" vertical="center"/>
    </xf>
    <xf numFmtId="9" fontId="46" fillId="39" borderId="12" xfId="82" applyNumberFormat="1" applyFont="1" applyFill="1" applyBorder="1" applyProtection="1">
      <protection locked="0"/>
    </xf>
    <xf numFmtId="0" fontId="46" fillId="24" borderId="12" xfId="82" applyFont="1" applyFill="1" applyBorder="1" applyProtection="1">
      <protection locked="0"/>
    </xf>
    <xf numFmtId="0" fontId="46" fillId="39" borderId="12" xfId="82" applyFont="1" applyFill="1" applyBorder="1" applyAlignment="1">
      <alignment wrapText="1"/>
    </xf>
    <xf numFmtId="175" fontId="46" fillId="24" borderId="12" xfId="82" applyNumberFormat="1" applyFont="1" applyFill="1" applyBorder="1" applyProtection="1">
      <protection locked="0"/>
    </xf>
    <xf numFmtId="175" fontId="46" fillId="24" borderId="13" xfId="82" applyNumberFormat="1" applyFont="1" applyFill="1" applyBorder="1" applyProtection="1">
      <protection locked="0"/>
    </xf>
    <xf numFmtId="166" fontId="46" fillId="0" borderId="12" xfId="56" applyNumberFormat="1" applyFont="1" applyFill="1" applyBorder="1" applyAlignment="1" applyProtection="1">
      <alignment horizontal="center"/>
      <protection locked="0"/>
    </xf>
    <xf numFmtId="0" fontId="58" fillId="0" borderId="11" xfId="82" applyFont="1" applyBorder="1" applyProtection="1">
      <protection locked="0"/>
    </xf>
    <xf numFmtId="0" fontId="46" fillId="0" borderId="12" xfId="82" applyFont="1" applyBorder="1" applyAlignment="1">
      <alignment vertical="top" wrapText="1"/>
    </xf>
    <xf numFmtId="166" fontId="6" fillId="0" borderId="20" xfId="56" applyNumberFormat="1" applyFont="1" applyFill="1" applyBorder="1" applyProtection="1">
      <protection locked="0"/>
    </xf>
    <xf numFmtId="166" fontId="6" fillId="0" borderId="17" xfId="56" applyNumberFormat="1" applyFont="1" applyFill="1" applyBorder="1" applyProtection="1">
      <protection locked="0"/>
    </xf>
    <xf numFmtId="165" fontId="46" fillId="0" borderId="11" xfId="82" applyNumberFormat="1" applyFont="1" applyBorder="1" applyProtection="1">
      <protection locked="0"/>
    </xf>
    <xf numFmtId="2" fontId="0" fillId="0" borderId="0" xfId="0" applyNumberFormat="1" applyAlignment="1">
      <alignment horizontal="right" wrapText="1"/>
    </xf>
    <xf numFmtId="1" fontId="0" fillId="0" borderId="0" xfId="92" applyNumberFormat="1" applyFont="1" applyFill="1" applyBorder="1"/>
    <xf numFmtId="0" fontId="48" fillId="39" borderId="13" xfId="82" applyFont="1" applyFill="1" applyBorder="1" applyProtection="1">
      <protection locked="0"/>
    </xf>
    <xf numFmtId="16" fontId="0" fillId="39" borderId="34" xfId="0" quotePrefix="1" applyNumberFormat="1" applyFill="1" applyBorder="1" applyAlignment="1" applyProtection="1">
      <alignment horizontal="right"/>
      <protection locked="0"/>
    </xf>
    <xf numFmtId="0" fontId="44" fillId="0" borderId="11" xfId="0" applyFont="1" applyBorder="1" applyAlignment="1">
      <alignment horizontal="left"/>
    </xf>
    <xf numFmtId="9" fontId="0" fillId="0" borderId="42" xfId="0" applyNumberFormat="1" applyBorder="1" applyAlignment="1" applyProtection="1">
      <alignment horizontal="right"/>
      <protection locked="0"/>
    </xf>
    <xf numFmtId="9" fontId="0" fillId="0" borderId="31" xfId="0" applyNumberFormat="1" applyBorder="1" applyAlignment="1" applyProtection="1">
      <alignment horizontal="right"/>
      <protection locked="0"/>
    </xf>
    <xf numFmtId="3" fontId="0" fillId="0" borderId="32" xfId="0" applyNumberFormat="1" applyBorder="1" applyAlignment="1">
      <alignment horizontal="right"/>
    </xf>
    <xf numFmtId="3" fontId="0" fillId="0" borderId="31" xfId="0" applyNumberFormat="1" applyBorder="1" applyAlignment="1">
      <alignment horizontal="right"/>
    </xf>
    <xf numFmtId="7" fontId="0" fillId="39" borderId="11" xfId="0" applyNumberFormat="1" applyFill="1" applyBorder="1"/>
    <xf numFmtId="2" fontId="0" fillId="39" borderId="11" xfId="0" applyNumberFormat="1" applyFill="1" applyBorder="1" applyProtection="1">
      <protection locked="0"/>
    </xf>
    <xf numFmtId="0" fontId="77" fillId="0" borderId="0" xfId="0" quotePrefix="1" applyFont="1" applyAlignment="1">
      <alignment horizontal="left" vertical="top" wrapText="1" indent="1"/>
    </xf>
    <xf numFmtId="4" fontId="77" fillId="25" borderId="0" xfId="0" quotePrefix="1" applyNumberFormat="1" applyFont="1" applyFill="1" applyAlignment="1">
      <alignment horizontal="center" vertical="top" wrapText="1"/>
    </xf>
    <xf numFmtId="9" fontId="77" fillId="25" borderId="0" xfId="111" applyNumberFormat="1" applyFont="1" applyFill="1" applyAlignment="1">
      <alignment horizontal="center" vertical="top"/>
    </xf>
    <xf numFmtId="176" fontId="77" fillId="25" borderId="0" xfId="111" applyNumberFormat="1" applyFont="1" applyFill="1" applyAlignment="1">
      <alignment horizontal="center" vertical="top"/>
    </xf>
    <xf numFmtId="176" fontId="77" fillId="25" borderId="0" xfId="111" applyNumberFormat="1" applyFont="1" applyFill="1" applyAlignment="1">
      <alignment horizontal="center"/>
    </xf>
    <xf numFmtId="169" fontId="77" fillId="0" borderId="0" xfId="0" applyNumberFormat="1" applyFont="1" applyAlignment="1">
      <alignment horizontal="center"/>
    </xf>
    <xf numFmtId="9" fontId="77" fillId="0" borderId="0" xfId="0" applyNumberFormat="1" applyFont="1" applyAlignment="1">
      <alignment horizontal="center"/>
    </xf>
    <xf numFmtId="2" fontId="77" fillId="0" borderId="0" xfId="0" applyNumberFormat="1" applyFont="1" applyAlignment="1">
      <alignment horizontal="center"/>
    </xf>
    <xf numFmtId="9" fontId="77" fillId="0" borderId="0" xfId="111" applyNumberFormat="1" applyFont="1" applyAlignment="1">
      <alignment horizontal="center"/>
    </xf>
    <xf numFmtId="177" fontId="77" fillId="0" borderId="0" xfId="111" applyNumberFormat="1" applyFont="1" applyAlignment="1">
      <alignment horizontal="center"/>
    </xf>
    <xf numFmtId="0" fontId="49" fillId="0" borderId="0" xfId="0" applyFont="1"/>
    <xf numFmtId="0" fontId="29" fillId="0" borderId="0" xfId="0" applyFont="1" applyAlignment="1">
      <alignment vertical="center"/>
    </xf>
    <xf numFmtId="166" fontId="58" fillId="0" borderId="12" xfId="56" applyNumberFormat="1" applyFont="1" applyFill="1" applyBorder="1"/>
    <xf numFmtId="166" fontId="58" fillId="0" borderId="0" xfId="56" applyNumberFormat="1" applyFont="1" applyFill="1" applyBorder="1"/>
    <xf numFmtId="166" fontId="58" fillId="0" borderId="15" xfId="56" applyNumberFormat="1" applyFont="1" applyFill="1" applyBorder="1"/>
    <xf numFmtId="166" fontId="58" fillId="0" borderId="11" xfId="56" applyNumberFormat="1" applyFont="1" applyFill="1" applyBorder="1"/>
    <xf numFmtId="0" fontId="78" fillId="0" borderId="12" xfId="82" applyFont="1" applyBorder="1" applyAlignment="1">
      <alignment horizontal="right"/>
    </xf>
    <xf numFmtId="166" fontId="78" fillId="0" borderId="11" xfId="56" applyNumberFormat="1" applyFont="1" applyFill="1" applyBorder="1" applyAlignment="1">
      <alignment horizontal="right"/>
    </xf>
    <xf numFmtId="165" fontId="27" fillId="0" borderId="17" xfId="0" applyNumberFormat="1" applyFont="1" applyBorder="1" applyAlignment="1">
      <alignment wrapText="1"/>
    </xf>
    <xf numFmtId="3" fontId="44" fillId="0" borderId="12" xfId="0" applyNumberFormat="1" applyFont="1" applyBorder="1"/>
    <xf numFmtId="3" fontId="46" fillId="0" borderId="35" xfId="0" applyNumberFormat="1" applyFont="1" applyBorder="1" applyAlignment="1">
      <alignment horizontal="right" wrapText="1"/>
    </xf>
    <xf numFmtId="3" fontId="46" fillId="0" borderId="15" xfId="0" applyNumberFormat="1" applyFont="1" applyBorder="1" applyAlignment="1">
      <alignment horizontal="right" wrapText="1"/>
    </xf>
    <xf numFmtId="3" fontId="0" fillId="0" borderId="12" xfId="0" applyNumberFormat="1" applyBorder="1"/>
    <xf numFmtId="0" fontId="44" fillId="0" borderId="12" xfId="0" applyFont="1" applyBorder="1" applyAlignment="1">
      <alignment horizontal="left" vertical="center"/>
    </xf>
    <xf numFmtId="1" fontId="0" fillId="0" borderId="11" xfId="92" applyNumberFormat="1" applyFont="1" applyFill="1" applyBorder="1"/>
    <xf numFmtId="0" fontId="0" fillId="0" borderId="11" xfId="0" applyBorder="1" applyAlignment="1">
      <alignment wrapText="1"/>
    </xf>
    <xf numFmtId="0" fontId="39" fillId="0" borderId="11" xfId="0" applyFont="1" applyBorder="1" applyAlignment="1">
      <alignment horizontal="center" wrapText="1"/>
    </xf>
    <xf numFmtId="0" fontId="27" fillId="0" borderId="17" xfId="0" applyFont="1" applyBorder="1" applyAlignment="1">
      <alignment horizontal="center" wrapText="1"/>
    </xf>
    <xf numFmtId="0" fontId="27" fillId="0" borderId="11" xfId="0" applyFont="1" applyBorder="1" applyAlignment="1">
      <alignment horizontal="center" wrapText="1"/>
    </xf>
    <xf numFmtId="0" fontId="0" fillId="41" borderId="35" xfId="0" applyFill="1" applyBorder="1"/>
    <xf numFmtId="0" fontId="0" fillId="41" borderId="10" xfId="0" applyFill="1" applyBorder="1"/>
    <xf numFmtId="0" fontId="0" fillId="40" borderId="35" xfId="0" applyFill="1" applyBorder="1"/>
    <xf numFmtId="0" fontId="39" fillId="40" borderId="10" xfId="0" applyFont="1" applyFill="1" applyBorder="1"/>
    <xf numFmtId="0" fontId="44" fillId="40" borderId="12" xfId="0" applyFont="1" applyFill="1" applyBorder="1" applyAlignment="1">
      <alignment horizontal="left"/>
    </xf>
    <xf numFmtId="0" fontId="44" fillId="42" borderId="0" xfId="0" applyFont="1" applyFill="1"/>
    <xf numFmtId="0" fontId="39" fillId="43" borderId="35" xfId="0" applyFont="1" applyFill="1" applyBorder="1"/>
    <xf numFmtId="3" fontId="0" fillId="42" borderId="12" xfId="0" applyNumberFormat="1" applyFill="1" applyBorder="1" applyAlignment="1">
      <alignment wrapText="1"/>
    </xf>
    <xf numFmtId="0" fontId="49" fillId="0" borderId="0" xfId="0" applyFont="1" applyAlignment="1">
      <alignment vertical="center"/>
    </xf>
    <xf numFmtId="0" fontId="49" fillId="0" borderId="0" xfId="0" applyFont="1" applyAlignment="1">
      <alignment horizontal="right"/>
    </xf>
    <xf numFmtId="0" fontId="79" fillId="0" borderId="0" xfId="0" applyFont="1"/>
    <xf numFmtId="0" fontId="49" fillId="0" borderId="0" xfId="0" applyFont="1" applyAlignment="1">
      <alignment horizontal="left" vertical="center" indent="5"/>
    </xf>
    <xf numFmtId="2" fontId="79" fillId="0" borderId="0" xfId="0" applyNumberFormat="1" applyFont="1" applyAlignment="1">
      <alignment vertical="top"/>
    </xf>
    <xf numFmtId="166" fontId="6" fillId="0" borderId="11" xfId="56" applyNumberFormat="1" applyFont="1" applyFill="1" applyBorder="1"/>
    <xf numFmtId="166" fontId="7" fillId="0" borderId="11" xfId="56" applyNumberFormat="1" applyFont="1" applyFill="1" applyBorder="1"/>
    <xf numFmtId="3" fontId="0" fillId="40" borderId="12" xfId="0" applyNumberFormat="1" applyFill="1" applyBorder="1" applyAlignment="1">
      <alignment wrapText="1"/>
    </xf>
    <xf numFmtId="0" fontId="58" fillId="0" borderId="0" xfId="82" applyFont="1"/>
    <xf numFmtId="0" fontId="0" fillId="0" borderId="17" xfId="0" applyBorder="1" applyAlignment="1">
      <alignment horizontal="center" wrapText="1"/>
    </xf>
    <xf numFmtId="0" fontId="48" fillId="0" borderId="12" xfId="0" applyFont="1" applyBorder="1" applyAlignment="1">
      <alignment horizontal="left"/>
    </xf>
    <xf numFmtId="0" fontId="29" fillId="0" borderId="0" xfId="0" quotePrefix="1" applyFont="1" applyAlignment="1">
      <alignment wrapText="1"/>
    </xf>
    <xf numFmtId="0" fontId="0" fillId="0" borderId="0" xfId="0" applyAlignment="1">
      <alignment wrapText="1"/>
    </xf>
    <xf numFmtId="3" fontId="44" fillId="0" borderId="29" xfId="82" applyNumberFormat="1" applyFont="1" applyBorder="1"/>
    <xf numFmtId="0" fontId="46" fillId="0" borderId="30" xfId="0" applyFont="1" applyBorder="1"/>
    <xf numFmtId="0" fontId="39" fillId="0" borderId="14" xfId="0" applyFont="1" applyBorder="1"/>
    <xf numFmtId="0" fontId="81" fillId="24" borderId="53" xfId="0" applyFont="1" applyFill="1" applyBorder="1" applyAlignment="1">
      <alignment horizontal="center" vertical="center"/>
    </xf>
    <xf numFmtId="0" fontId="40" fillId="24" borderId="48" xfId="0" applyFont="1" applyFill="1" applyBorder="1" applyAlignment="1">
      <alignment vertical="center"/>
    </xf>
    <xf numFmtId="170" fontId="46" fillId="0" borderId="24" xfId="57" applyNumberFormat="1" applyFont="1" applyFill="1" applyBorder="1" applyProtection="1"/>
    <xf numFmtId="170" fontId="46" fillId="39" borderId="38" xfId="57" applyNumberFormat="1" applyFont="1" applyFill="1" applyBorder="1" applyAlignment="1" applyProtection="1">
      <alignment horizontal="right"/>
    </xf>
    <xf numFmtId="0" fontId="82" fillId="0" borderId="0" xfId="0" applyFont="1" applyAlignment="1">
      <alignment vertical="center"/>
    </xf>
    <xf numFmtId="170" fontId="46" fillId="39" borderId="38" xfId="57" applyNumberFormat="1" applyFont="1" applyFill="1" applyBorder="1" applyProtection="1"/>
    <xf numFmtId="10" fontId="46" fillId="39" borderId="38" xfId="92" applyNumberFormat="1" applyFont="1" applyFill="1" applyBorder="1" applyProtection="1"/>
    <xf numFmtId="170" fontId="46" fillId="0" borderId="28" xfId="57" applyNumberFormat="1" applyFont="1" applyFill="1" applyBorder="1" applyProtection="1"/>
    <xf numFmtId="10" fontId="46" fillId="39" borderId="27" xfId="92" applyNumberFormat="1" applyFont="1" applyFill="1" applyBorder="1" applyProtection="1"/>
    <xf numFmtId="170" fontId="0" fillId="0" borderId="0" xfId="0" applyNumberFormat="1"/>
    <xf numFmtId="43" fontId="0" fillId="0" borderId="0" xfId="0" applyNumberFormat="1"/>
    <xf numFmtId="0" fontId="44" fillId="24" borderId="54" xfId="0" applyFont="1" applyFill="1" applyBorder="1" applyAlignment="1">
      <alignment horizontal="center"/>
    </xf>
    <xf numFmtId="0" fontId="44" fillId="24" borderId="49" xfId="82" applyFont="1" applyFill="1" applyBorder="1" applyAlignment="1">
      <alignment horizontal="center"/>
    </xf>
    <xf numFmtId="0" fontId="44" fillId="24" borderId="49" xfId="110" applyFont="1" applyFill="1" applyBorder="1" applyAlignment="1">
      <alignment horizontal="center" wrapText="1"/>
    </xf>
    <xf numFmtId="3" fontId="44" fillId="24" borderId="49" xfId="110" applyNumberFormat="1" applyFont="1" applyFill="1" applyBorder="1" applyAlignment="1">
      <alignment horizontal="center" wrapText="1"/>
    </xf>
    <xf numFmtId="0" fontId="44" fillId="24" borderId="55" xfId="110" applyFont="1" applyFill="1" applyBorder="1" applyAlignment="1">
      <alignment horizontal="center" wrapText="1"/>
    </xf>
    <xf numFmtId="0" fontId="44" fillId="24" borderId="54" xfId="0" applyFont="1" applyFill="1" applyBorder="1" applyAlignment="1">
      <alignment horizontal="center" wrapText="1"/>
    </xf>
    <xf numFmtId="0" fontId="44" fillId="46" borderId="49" xfId="0" applyFont="1" applyFill="1" applyBorder="1" applyAlignment="1">
      <alignment horizontal="center" wrapText="1"/>
    </xf>
    <xf numFmtId="0" fontId="44" fillId="24" borderId="49" xfId="0" applyFont="1" applyFill="1" applyBorder="1" applyAlignment="1">
      <alignment horizontal="center" wrapText="1"/>
    </xf>
    <xf numFmtId="0" fontId="44" fillId="24" borderId="55" xfId="0" applyFont="1" applyFill="1" applyBorder="1" applyAlignment="1">
      <alignment horizontal="center" wrapText="1"/>
    </xf>
    <xf numFmtId="0" fontId="0" fillId="0" borderId="56"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7"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3" fontId="46" fillId="0" borderId="0" xfId="0" applyNumberFormat="1" applyFont="1"/>
    <xf numFmtId="164" fontId="27" fillId="0" borderId="0" xfId="0" applyNumberFormat="1" applyFont="1"/>
    <xf numFmtId="0" fontId="0" fillId="0" borderId="17" xfId="0" applyBorder="1" applyAlignment="1">
      <alignment wrapText="1"/>
    </xf>
    <xf numFmtId="0" fontId="29" fillId="25" borderId="21" xfId="0" applyFont="1" applyFill="1" applyBorder="1"/>
    <xf numFmtId="165" fontId="44" fillId="25" borderId="11" xfId="56" applyNumberFormat="1" applyFont="1" applyFill="1" applyBorder="1"/>
    <xf numFmtId="3" fontId="0" fillId="25" borderId="0" xfId="0" applyNumberFormat="1" applyFill="1"/>
    <xf numFmtId="0" fontId="48" fillId="25" borderId="0" xfId="0" applyFont="1" applyFill="1"/>
    <xf numFmtId="10" fontId="0" fillId="39" borderId="0" xfId="92" applyNumberFormat="1" applyFont="1" applyFill="1"/>
    <xf numFmtId="1" fontId="27" fillId="0" borderId="0" xfId="0" applyNumberFormat="1" applyFont="1"/>
    <xf numFmtId="175" fontId="58" fillId="39" borderId="11" xfId="56" applyNumberFormat="1" applyFont="1" applyFill="1" applyBorder="1"/>
    <xf numFmtId="9" fontId="58" fillId="39" borderId="11" xfId="56" applyNumberFormat="1" applyFont="1" applyFill="1" applyBorder="1"/>
    <xf numFmtId="166" fontId="58" fillId="39" borderId="11" xfId="56" applyNumberFormat="1" applyFont="1" applyFill="1" applyBorder="1"/>
    <xf numFmtId="10" fontId="0" fillId="24" borderId="12" xfId="92" applyNumberFormat="1" applyFont="1" applyFill="1" applyBorder="1"/>
    <xf numFmtId="175" fontId="0" fillId="39" borderId="34" xfId="92" applyNumberFormat="1" applyFont="1" applyFill="1" applyBorder="1"/>
    <xf numFmtId="175" fontId="0" fillId="39" borderId="42" xfId="92" applyNumberFormat="1" applyFont="1" applyFill="1" applyBorder="1"/>
    <xf numFmtId="175" fontId="0" fillId="39" borderId="31" xfId="92" applyNumberFormat="1" applyFont="1" applyFill="1" applyBorder="1"/>
    <xf numFmtId="175" fontId="0" fillId="0" borderId="34" xfId="92" applyNumberFormat="1" applyFont="1" applyFill="1" applyBorder="1"/>
    <xf numFmtId="175" fontId="0" fillId="0" borderId="31" xfId="92" applyNumberFormat="1" applyFont="1" applyFill="1" applyBorder="1"/>
    <xf numFmtId="3" fontId="44" fillId="0" borderId="32" xfId="0" applyNumberFormat="1" applyFont="1" applyBorder="1" applyAlignment="1">
      <alignment horizontal="right"/>
    </xf>
    <xf numFmtId="0" fontId="0" fillId="0" borderId="31" xfId="0" applyBorder="1"/>
    <xf numFmtId="0" fontId="0" fillId="39" borderId="58" xfId="0" applyFill="1" applyBorder="1" applyProtection="1">
      <protection locked="0"/>
    </xf>
    <xf numFmtId="0" fontId="0" fillId="39" borderId="59" xfId="0" applyFill="1" applyBorder="1" applyProtection="1">
      <protection locked="0"/>
    </xf>
    <xf numFmtId="0" fontId="0" fillId="39" borderId="60" xfId="0" applyFill="1" applyBorder="1" applyProtection="1">
      <protection locked="0"/>
    </xf>
    <xf numFmtId="0" fontId="48" fillId="0" borderId="0" xfId="82" applyFont="1" applyAlignment="1">
      <alignment horizontal="center" wrapText="1"/>
    </xf>
    <xf numFmtId="0" fontId="0" fillId="0" borderId="0" xfId="0" applyProtection="1">
      <protection locked="0"/>
    </xf>
    <xf numFmtId="3" fontId="44" fillId="0" borderId="0" xfId="0" applyNumberFormat="1" applyFont="1" applyProtection="1">
      <protection locked="0"/>
    </xf>
    <xf numFmtId="0" fontId="83" fillId="0" borderId="0" xfId="0" applyFont="1"/>
    <xf numFmtId="9" fontId="44" fillId="0" borderId="31" xfId="0" applyNumberFormat="1" applyFont="1" applyBorder="1" applyAlignment="1" applyProtection="1">
      <alignment horizontal="right"/>
      <protection locked="0"/>
    </xf>
    <xf numFmtId="0" fontId="83" fillId="0" borderId="11" xfId="0" applyFont="1" applyBorder="1" applyAlignment="1">
      <alignment horizontal="left"/>
    </xf>
    <xf numFmtId="0" fontId="83" fillId="0" borderId="12" xfId="0" applyFont="1" applyBorder="1" applyAlignment="1">
      <alignment wrapText="1"/>
    </xf>
    <xf numFmtId="0" fontId="0" fillId="0" borderId="0" xfId="0" applyAlignment="1">
      <alignment horizontal="left" wrapText="1"/>
    </xf>
    <xf numFmtId="0" fontId="59" fillId="0" borderId="0" xfId="82" applyFont="1"/>
    <xf numFmtId="176" fontId="0" fillId="0" borderId="0" xfId="0" applyNumberFormat="1"/>
    <xf numFmtId="0" fontId="46" fillId="25" borderId="0" xfId="82" applyFont="1" applyFill="1"/>
    <xf numFmtId="166" fontId="46" fillId="25" borderId="24" xfId="56" applyNumberFormat="1" applyFont="1" applyFill="1" applyBorder="1" applyProtection="1">
      <protection locked="0"/>
    </xf>
    <xf numFmtId="0" fontId="46" fillId="25" borderId="11" xfId="82" applyFont="1" applyFill="1" applyBorder="1" applyProtection="1">
      <protection locked="0"/>
    </xf>
    <xf numFmtId="165" fontId="48" fillId="25" borderId="0" xfId="82" applyNumberFormat="1" applyFont="1" applyFill="1"/>
    <xf numFmtId="0" fontId="46" fillId="0" borderId="50" xfId="82" applyFont="1" applyBorder="1"/>
    <xf numFmtId="171" fontId="0" fillId="0" borderId="0" xfId="0" applyNumberFormat="1"/>
    <xf numFmtId="44" fontId="0" fillId="39" borderId="0" xfId="0" applyNumberFormat="1" applyFill="1"/>
    <xf numFmtId="178" fontId="0" fillId="0" borderId="0" xfId="0" applyNumberFormat="1"/>
    <xf numFmtId="0" fontId="28" fillId="0" borderId="20" xfId="72" applyFill="1" applyBorder="1" applyAlignment="1" applyProtection="1">
      <alignment vertical="center" wrapText="1"/>
    </xf>
    <xf numFmtId="0" fontId="0" fillId="0" borderId="20" xfId="0" applyBorder="1" applyAlignment="1">
      <alignment horizontal="center"/>
    </xf>
    <xf numFmtId="165" fontId="27" fillId="0" borderId="11" xfId="0" applyNumberFormat="1" applyFont="1" applyBorder="1" applyAlignment="1">
      <alignment horizontal="right"/>
    </xf>
    <xf numFmtId="165" fontId="48" fillId="39" borderId="19" xfId="82" applyNumberFormat="1" applyFont="1" applyFill="1" applyBorder="1" applyAlignment="1">
      <alignment horizontal="right"/>
    </xf>
    <xf numFmtId="0" fontId="62" fillId="0" borderId="0" xfId="0" applyFont="1" applyAlignment="1">
      <alignment horizontal="lef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14" xfId="0" applyBorder="1" applyAlignment="1">
      <alignment horizontal="left" wrapText="1"/>
    </xf>
    <xf numFmtId="0" fontId="0" fillId="0" borderId="0" xfId="0" applyAlignment="1">
      <alignment horizontal="left"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0" fillId="0" borderId="10" xfId="0" applyBorder="1" applyAlignment="1">
      <alignment horizontal="left" wrapText="1"/>
    </xf>
    <xf numFmtId="0" fontId="46" fillId="0" borderId="0" xfId="0" applyFont="1" applyAlignment="1">
      <alignment horizontal="left" wrapText="1"/>
    </xf>
    <xf numFmtId="0" fontId="0" fillId="0" borderId="20" xfId="0" applyBorder="1" applyAlignment="1">
      <alignment horizontal="left" wrapText="1"/>
    </xf>
    <xf numFmtId="0" fontId="0" fillId="0" borderId="12" xfId="0" applyBorder="1" applyAlignment="1">
      <alignment horizontal="left" wrapText="1"/>
    </xf>
    <xf numFmtId="0" fontId="0" fillId="0" borderId="17" xfId="0" applyBorder="1" applyAlignment="1">
      <alignment horizontal="left" wrapText="1"/>
    </xf>
    <xf numFmtId="0" fontId="49" fillId="0" borderId="0" xfId="0" applyFont="1" applyAlignment="1">
      <alignment vertical="center" wrapText="1"/>
    </xf>
    <xf numFmtId="0" fontId="49" fillId="0" borderId="0" xfId="0" applyFont="1" applyAlignment="1">
      <alignment wrapText="1"/>
    </xf>
    <xf numFmtId="0" fontId="76" fillId="0" borderId="0" xfId="0" quotePrefix="1" applyFont="1" applyAlignment="1">
      <alignment horizontal="left" vertical="top" wrapText="1"/>
    </xf>
    <xf numFmtId="0" fontId="77" fillId="0" borderId="0" xfId="0" quotePrefix="1" applyFont="1" applyAlignment="1">
      <alignment horizontal="left" vertical="top" wrapText="1" indent="1"/>
    </xf>
    <xf numFmtId="0" fontId="46" fillId="39" borderId="12" xfId="82" applyFont="1" applyFill="1" applyBorder="1" applyAlignment="1">
      <alignment vertical="top" wrapText="1"/>
    </xf>
    <xf numFmtId="0" fontId="0" fillId="39" borderId="20" xfId="0" applyFill="1" applyBorder="1" applyAlignment="1">
      <alignment wrapText="1"/>
    </xf>
    <xf numFmtId="0" fontId="58" fillId="0" borderId="10" xfId="0" applyFont="1" applyBorder="1" applyAlignment="1">
      <alignment horizontal="left" wrapText="1"/>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 9" xfId="111" xr:uid="{BA56DD70-1F2E-494D-B0C0-708E05DC1318}"/>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www.lungcanceraudit.org.uk/reports-publications/nlca-state-of-the-nation-2024/"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www.lungcanceraudit.org.uk/reports-publications/nlca-state-of-the-nation-2024/" TargetMode="External"/><Relationship Id="rId5" Type="http://schemas.openxmlformats.org/officeDocument/2006/relationships/hyperlink" Target="https://www.nejm.org/doi/full/10.1056/NEJMoa2302983" TargetMode="External"/><Relationship Id="rId10" Type="http://schemas.openxmlformats.org/officeDocument/2006/relationships/comments" Target="../comments1.xm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bnf.nice.org.uk/"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england.nhs.uk/pay-syst/national-tariff/national-tariff-payment-system/" TargetMode="External"/><Relationship Id="rId10"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england.nhs.uk/pay-syst/national-tariff/national-tariff-payment-system/"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2"/>
  <sheetViews>
    <sheetView showGridLines="0" tabSelected="1" topLeftCell="A21" zoomScale="80" zoomScaleNormal="80" zoomScaleSheetLayoutView="80" workbookViewId="0">
      <selection activeCell="C20" sqref="C20"/>
    </sheetView>
  </sheetViews>
  <sheetFormatPr defaultRowHeight="14.5" x14ac:dyDescent="0.35"/>
  <cols>
    <col min="1" max="1" width="1.453125" customWidth="1"/>
    <col min="2" max="2" width="1.81640625" customWidth="1"/>
    <col min="5" max="5" width="11.453125" customWidth="1"/>
    <col min="13" max="13" width="18.453125" customWidth="1"/>
    <col min="14" max="14" width="8.54296875" customWidth="1"/>
    <col min="15" max="15" width="1.54296875" customWidth="1"/>
    <col min="16" max="16" width="1.453125" customWidth="1"/>
    <col min="21" max="21" width="31" customWidth="1"/>
  </cols>
  <sheetData>
    <row r="2" spans="2:21" x14ac:dyDescent="0.35">
      <c r="B2" s="171"/>
      <c r="C2" s="309"/>
      <c r="D2" s="309"/>
      <c r="E2" s="309"/>
      <c r="F2" s="309"/>
      <c r="G2" s="309"/>
      <c r="H2" s="309"/>
      <c r="I2" s="309"/>
      <c r="J2" s="309"/>
      <c r="K2" s="309"/>
      <c r="L2" s="309"/>
      <c r="M2" s="309"/>
      <c r="N2" s="309"/>
      <c r="O2" s="156"/>
    </row>
    <row r="3" spans="2:21" x14ac:dyDescent="0.35">
      <c r="B3" s="159"/>
      <c r="O3" s="158"/>
    </row>
    <row r="4" spans="2:21" x14ac:dyDescent="0.35">
      <c r="B4" s="159"/>
      <c r="O4" s="158"/>
    </row>
    <row r="5" spans="2:21" x14ac:dyDescent="0.35">
      <c r="B5" s="159"/>
      <c r="O5" s="158"/>
    </row>
    <row r="6" spans="2:21" ht="47.5" x14ac:dyDescent="1.1000000000000001">
      <c r="B6" s="159"/>
      <c r="O6" s="158"/>
      <c r="S6" s="337"/>
      <c r="U6" s="338"/>
    </row>
    <row r="7" spans="2:21" x14ac:dyDescent="0.35">
      <c r="B7" s="159"/>
      <c r="O7" s="158"/>
    </row>
    <row r="8" spans="2:21" x14ac:dyDescent="0.35">
      <c r="B8" s="159"/>
      <c r="O8" s="158"/>
    </row>
    <row r="9" spans="2:21" x14ac:dyDescent="0.35">
      <c r="B9" s="159"/>
      <c r="O9" s="158"/>
    </row>
    <row r="10" spans="2:21" x14ac:dyDescent="0.35">
      <c r="B10" s="159"/>
      <c r="C10" s="172"/>
      <c r="D10" s="172"/>
      <c r="E10" s="172"/>
      <c r="F10" s="172"/>
      <c r="G10" s="172"/>
      <c r="H10" s="172"/>
      <c r="I10" s="172"/>
      <c r="J10" s="172"/>
      <c r="K10" s="172"/>
      <c r="L10" s="172"/>
      <c r="M10" s="172"/>
      <c r="N10" s="172"/>
      <c r="O10" s="158"/>
    </row>
    <row r="11" spans="2:21" ht="31" x14ac:dyDescent="0.7">
      <c r="B11" s="159"/>
      <c r="C11" s="173" t="s">
        <v>0</v>
      </c>
      <c r="D11" s="172"/>
      <c r="E11" s="172"/>
      <c r="F11" s="172"/>
      <c r="G11" s="172"/>
      <c r="H11" s="172"/>
      <c r="I11" s="172"/>
      <c r="J11" s="172"/>
      <c r="K11" s="172"/>
      <c r="L11" s="172"/>
      <c r="M11" s="172"/>
      <c r="N11" s="172"/>
      <c r="O11" s="158"/>
    </row>
    <row r="12" spans="2:21" x14ac:dyDescent="0.35">
      <c r="B12" s="159"/>
      <c r="C12" s="172"/>
      <c r="D12" s="172"/>
      <c r="E12" s="172"/>
      <c r="F12" s="172"/>
      <c r="G12" s="172"/>
      <c r="H12" s="172"/>
      <c r="I12" s="172"/>
      <c r="J12" s="172"/>
      <c r="K12" s="172"/>
      <c r="L12" s="172"/>
      <c r="M12" s="172"/>
      <c r="N12" s="172"/>
      <c r="O12" s="158"/>
    </row>
    <row r="13" spans="2:21" x14ac:dyDescent="0.35">
      <c r="B13" s="159"/>
      <c r="O13" s="158"/>
    </row>
    <row r="14" spans="2:21" ht="31" x14ac:dyDescent="0.7">
      <c r="B14" s="159"/>
      <c r="C14" s="643" t="s">
        <v>1</v>
      </c>
      <c r="O14" s="158"/>
    </row>
    <row r="15" spans="2:21" ht="90" customHeight="1" x14ac:dyDescent="0.35">
      <c r="B15" s="159"/>
      <c r="C15" s="843" t="s">
        <v>1006</v>
      </c>
      <c r="D15" s="843"/>
      <c r="E15" s="843"/>
      <c r="F15" s="843"/>
      <c r="G15" s="843"/>
      <c r="H15" s="843"/>
      <c r="I15" s="843"/>
      <c r="J15" s="843"/>
      <c r="K15" s="843"/>
      <c r="L15" s="843"/>
      <c r="M15" s="843"/>
      <c r="O15" s="158"/>
    </row>
    <row r="16" spans="2:21" ht="31" x14ac:dyDescent="0.35">
      <c r="B16" s="159"/>
      <c r="C16" s="320"/>
      <c r="O16" s="158"/>
    </row>
    <row r="17" spans="2:15" ht="31" x14ac:dyDescent="0.7">
      <c r="B17" s="159"/>
      <c r="C17" s="174" t="s">
        <v>1063</v>
      </c>
      <c r="D17" s="175"/>
      <c r="O17" s="158"/>
    </row>
    <row r="18" spans="2:15" ht="31" x14ac:dyDescent="0.7">
      <c r="B18" s="159"/>
      <c r="D18" s="175"/>
      <c r="O18" s="158"/>
    </row>
    <row r="19" spans="2:15" ht="31" x14ac:dyDescent="0.7">
      <c r="B19" s="159"/>
      <c r="C19" s="320" t="s">
        <v>1098</v>
      </c>
      <c r="D19" s="175"/>
      <c r="O19" s="158"/>
    </row>
    <row r="20" spans="2:15" ht="31" x14ac:dyDescent="0.7">
      <c r="B20" s="159"/>
      <c r="D20" s="175"/>
      <c r="O20" s="158"/>
    </row>
    <row r="21" spans="2:15" ht="31" x14ac:dyDescent="0.7">
      <c r="B21" s="159"/>
      <c r="D21" s="175"/>
      <c r="O21" s="158"/>
    </row>
    <row r="22" spans="2:15" ht="31" x14ac:dyDescent="0.7">
      <c r="B22" s="159"/>
      <c r="D22" s="175"/>
      <c r="O22" s="158"/>
    </row>
    <row r="23" spans="2:15" ht="31" x14ac:dyDescent="0.7">
      <c r="B23" s="159"/>
      <c r="C23" s="319"/>
      <c r="D23" s="175"/>
      <c r="O23" s="158"/>
    </row>
    <row r="24" spans="2:15" x14ac:dyDescent="0.35">
      <c r="B24" s="159"/>
      <c r="O24" s="158"/>
    </row>
    <row r="25" spans="2:15" x14ac:dyDescent="0.35">
      <c r="B25" s="159"/>
      <c r="O25" s="158"/>
    </row>
    <row r="26" spans="2:15" x14ac:dyDescent="0.35">
      <c r="B26" s="159"/>
      <c r="O26" s="158"/>
    </row>
    <row r="27" spans="2:15" x14ac:dyDescent="0.35">
      <c r="B27" s="159"/>
      <c r="O27" s="158"/>
    </row>
    <row r="28" spans="2:15" x14ac:dyDescent="0.35">
      <c r="B28" s="159"/>
      <c r="O28" s="158"/>
    </row>
    <row r="29" spans="2:15" x14ac:dyDescent="0.35">
      <c r="B29" s="159"/>
      <c r="O29" s="158"/>
    </row>
    <row r="30" spans="2:15" x14ac:dyDescent="0.35">
      <c r="B30" s="159"/>
      <c r="O30" s="158"/>
    </row>
    <row r="31" spans="2:15" x14ac:dyDescent="0.35">
      <c r="B31" s="159"/>
      <c r="O31" s="158"/>
    </row>
    <row r="32" spans="2:15" x14ac:dyDescent="0.35">
      <c r="B32" s="159"/>
      <c r="O32" s="158"/>
    </row>
    <row r="33" spans="2:15" x14ac:dyDescent="0.35">
      <c r="B33" s="159"/>
      <c r="O33" s="158"/>
    </row>
    <row r="34" spans="2:15" x14ac:dyDescent="0.35">
      <c r="B34" s="159"/>
      <c r="C34" s="149" t="s">
        <v>2</v>
      </c>
      <c r="D34" s="196"/>
      <c r="E34" s="167"/>
      <c r="F34" s="234" t="s">
        <v>1089</v>
      </c>
      <c r="G34" s="196"/>
      <c r="H34" s="196"/>
      <c r="I34" s="196"/>
      <c r="J34" s="196"/>
      <c r="K34" s="196"/>
      <c r="L34" s="196"/>
      <c r="M34" s="167"/>
      <c r="O34" s="158"/>
    </row>
    <row r="35" spans="2:15" x14ac:dyDescent="0.35">
      <c r="B35" s="159"/>
      <c r="C35" s="149" t="s">
        <v>3</v>
      </c>
      <c r="D35" s="196"/>
      <c r="E35" s="167"/>
      <c r="F35" s="234" t="s">
        <v>1090</v>
      </c>
      <c r="G35" s="196"/>
      <c r="H35" s="196"/>
      <c r="I35" s="196"/>
      <c r="J35" s="196"/>
      <c r="K35" s="196"/>
      <c r="L35" s="196"/>
      <c r="M35" s="167"/>
      <c r="O35" s="158"/>
    </row>
    <row r="36" spans="2:15" x14ac:dyDescent="0.35">
      <c r="B36" s="159"/>
      <c r="C36" s="149" t="s">
        <v>4</v>
      </c>
      <c r="D36" s="196"/>
      <c r="E36" s="167"/>
      <c r="F36" s="234" t="s">
        <v>1092</v>
      </c>
      <c r="G36" s="196"/>
      <c r="H36" s="196"/>
      <c r="I36" s="196"/>
      <c r="J36" s="196"/>
      <c r="K36" s="196"/>
      <c r="L36" s="196"/>
      <c r="M36" s="167"/>
      <c r="O36" s="158"/>
    </row>
    <row r="37" spans="2:15" x14ac:dyDescent="0.35">
      <c r="B37" s="159"/>
      <c r="C37" s="149" t="s">
        <v>5</v>
      </c>
      <c r="D37" s="196"/>
      <c r="E37" s="167"/>
      <c r="F37" s="234" t="s">
        <v>1091</v>
      </c>
      <c r="G37" s="196"/>
      <c r="H37" s="196"/>
      <c r="I37" s="196"/>
      <c r="J37" s="196"/>
      <c r="K37" s="196"/>
      <c r="L37" s="196"/>
      <c r="M37" s="167"/>
      <c r="O37" s="158"/>
    </row>
    <row r="38" spans="2:15" x14ac:dyDescent="0.35">
      <c r="B38" s="159"/>
      <c r="C38" s="234" t="s">
        <v>6</v>
      </c>
      <c r="D38" s="196"/>
      <c r="E38" s="167"/>
      <c r="F38" s="234" t="s">
        <v>1093</v>
      </c>
      <c r="G38" s="196"/>
      <c r="H38" s="196"/>
      <c r="I38" s="196"/>
      <c r="J38" s="196"/>
      <c r="K38" s="196"/>
      <c r="L38" s="196"/>
      <c r="M38" s="167"/>
      <c r="O38" s="158"/>
    </row>
    <row r="39" spans="2:15" x14ac:dyDescent="0.35">
      <c r="B39" s="159"/>
      <c r="C39" s="149" t="s">
        <v>7</v>
      </c>
      <c r="D39" s="196"/>
      <c r="E39" s="167"/>
      <c r="F39" s="234" t="s">
        <v>1094</v>
      </c>
      <c r="G39" s="196"/>
      <c r="H39" s="196"/>
      <c r="I39" s="196"/>
      <c r="J39" s="196"/>
      <c r="K39" s="196"/>
      <c r="L39" s="196"/>
      <c r="M39" s="167"/>
      <c r="O39" s="158"/>
    </row>
    <row r="40" spans="2:15" x14ac:dyDescent="0.35">
      <c r="B40" s="159"/>
      <c r="C40" s="149" t="s">
        <v>8</v>
      </c>
      <c r="D40" s="196"/>
      <c r="E40" s="167"/>
      <c r="F40" s="234" t="s">
        <v>1095</v>
      </c>
      <c r="G40" s="196"/>
      <c r="H40" s="196"/>
      <c r="I40" s="196"/>
      <c r="J40" s="196"/>
      <c r="K40" s="196"/>
      <c r="L40" s="196"/>
      <c r="M40" s="167"/>
      <c r="O40" s="158"/>
    </row>
    <row r="41" spans="2:15" x14ac:dyDescent="0.35">
      <c r="B41" s="159"/>
      <c r="C41" s="149" t="s">
        <v>9</v>
      </c>
      <c r="D41" s="196"/>
      <c r="E41" s="167"/>
      <c r="F41" s="234" t="s">
        <v>1096</v>
      </c>
      <c r="G41" s="196"/>
      <c r="H41" s="196"/>
      <c r="I41" s="196"/>
      <c r="J41" s="196"/>
      <c r="K41" s="196"/>
      <c r="L41" s="196"/>
      <c r="M41" s="167"/>
      <c r="O41" s="158"/>
    </row>
    <row r="42" spans="2:15" x14ac:dyDescent="0.35">
      <c r="B42" s="160"/>
      <c r="C42" s="161"/>
      <c r="D42" s="161"/>
      <c r="E42" s="161"/>
      <c r="F42" s="161"/>
      <c r="G42" s="161"/>
      <c r="H42" s="161"/>
      <c r="I42" s="161"/>
      <c r="J42" s="161"/>
      <c r="K42" s="161"/>
      <c r="L42" s="161"/>
      <c r="M42" s="161"/>
      <c r="N42" s="161"/>
      <c r="O42" s="162"/>
    </row>
  </sheetData>
  <sheetProtection algorithmName="SHA-512" hashValue="hUj5r071WAfo/9NlF+eRlUEII/miVuh051cRt5LX8Soy+uhMmf3tKcXeuiYGjrlo/P7Bd5hnaAiA4Ukmel/nQw==" saltValue="m3wJJ/TwXxq1yJ/yAPA8TQ==" spinCount="100000" sheet="1" objects="1" scenarios="1"/>
  <mergeCells count="1">
    <mergeCell ref="C15:M15"/>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80" zoomScaleNormal="80" workbookViewId="0">
      <selection activeCell="D7" sqref="D7"/>
    </sheetView>
  </sheetViews>
  <sheetFormatPr defaultColWidth="8.54296875" defaultRowHeight="14.5" x14ac:dyDescent="0.35"/>
  <cols>
    <col min="1" max="1" width="13.54296875" customWidth="1"/>
    <col min="2" max="2" width="39.81640625" customWidth="1"/>
    <col min="3" max="4" width="12.81640625" customWidth="1"/>
    <col min="5" max="6" width="11.81640625" customWidth="1"/>
    <col min="7" max="7" width="10.453125" style="428"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1796875" bestFit="1" customWidth="1"/>
    <col min="23" max="23" width="10" customWidth="1"/>
  </cols>
  <sheetData>
    <row r="1" spans="1:24" ht="21" customHeight="1" x14ac:dyDescent="0.35">
      <c r="A1" s="655" t="s">
        <v>892</v>
      </c>
      <c r="B1" s="655"/>
      <c r="C1" s="655"/>
      <c r="D1" s="655"/>
      <c r="E1" s="655"/>
      <c r="F1" s="655"/>
      <c r="G1" s="655"/>
      <c r="H1" s="655"/>
      <c r="I1" s="655"/>
      <c r="J1" s="655"/>
      <c r="K1" s="655"/>
      <c r="L1" s="655"/>
      <c r="M1" s="655"/>
    </row>
    <row r="2" spans="1:24" ht="14.75" customHeight="1" thickBot="1" x14ac:dyDescent="0.4">
      <c r="A2" s="129"/>
      <c r="B2" s="129"/>
      <c r="C2" s="129"/>
      <c r="D2" s="129"/>
      <c r="E2" s="129"/>
      <c r="F2" s="129"/>
      <c r="G2" s="129"/>
      <c r="H2" s="129"/>
      <c r="I2" s="129"/>
      <c r="J2" s="129"/>
      <c r="K2" s="129"/>
      <c r="L2" s="129"/>
      <c r="M2" s="129"/>
    </row>
    <row r="3" spans="1:24" ht="14.75" customHeight="1" x14ac:dyDescent="0.35">
      <c r="A3" s="129"/>
      <c r="B3" s="765" t="s">
        <v>41</v>
      </c>
      <c r="C3" s="766"/>
      <c r="D3" s="129"/>
      <c r="E3" s="129"/>
      <c r="F3" s="129"/>
      <c r="G3" s="129"/>
      <c r="H3" s="129"/>
      <c r="I3" s="129"/>
      <c r="J3" s="129"/>
      <c r="K3" s="129"/>
      <c r="L3" s="129"/>
      <c r="M3" s="129"/>
    </row>
    <row r="4" spans="1:24" ht="14.75" customHeight="1" x14ac:dyDescent="0.35">
      <c r="A4" s="129"/>
      <c r="B4" s="767" t="s">
        <v>1009</v>
      </c>
      <c r="C4" s="768" t="s">
        <v>1010</v>
      </c>
      <c r="D4" s="769" t="s">
        <v>1011</v>
      </c>
      <c r="E4" s="129"/>
      <c r="F4" s="129"/>
      <c r="G4" s="129"/>
      <c r="H4" s="129"/>
      <c r="I4" s="129"/>
      <c r="J4" s="129"/>
      <c r="K4" s="129"/>
      <c r="L4" s="129"/>
      <c r="M4" s="129"/>
    </row>
    <row r="5" spans="1:24" ht="14.75" customHeight="1" x14ac:dyDescent="0.35">
      <c r="A5" s="129"/>
      <c r="B5" s="767" t="s">
        <v>1012</v>
      </c>
      <c r="C5" s="770">
        <v>9100</v>
      </c>
      <c r="D5" s="129"/>
      <c r="E5" s="129"/>
      <c r="F5" s="129"/>
      <c r="G5" s="129"/>
      <c r="H5" s="129"/>
      <c r="I5" s="129"/>
      <c r="J5" s="129"/>
      <c r="K5" s="129"/>
      <c r="L5" s="129"/>
      <c r="M5" s="129"/>
    </row>
    <row r="6" spans="1:24" ht="14.75" customHeight="1" x14ac:dyDescent="0.35">
      <c r="A6" s="129"/>
      <c r="B6" s="767" t="s">
        <v>1013</v>
      </c>
      <c r="C6" s="771">
        <v>0.13800000000000001</v>
      </c>
      <c r="D6" s="129"/>
      <c r="E6" s="129"/>
      <c r="F6" s="129"/>
      <c r="G6" s="129"/>
      <c r="H6" s="129"/>
      <c r="I6" s="129"/>
      <c r="J6" s="129"/>
      <c r="K6" s="129"/>
      <c r="L6" s="129"/>
      <c r="M6" s="129"/>
    </row>
    <row r="7" spans="1:24" ht="14.75" customHeight="1" x14ac:dyDescent="0.35">
      <c r="A7" s="129"/>
      <c r="B7" s="767" t="s">
        <v>1014</v>
      </c>
      <c r="C7" s="771">
        <v>0.23780000000000001</v>
      </c>
      <c r="D7" s="129"/>
      <c r="E7" s="129"/>
      <c r="F7" s="129"/>
      <c r="G7" s="129"/>
      <c r="H7" s="129"/>
      <c r="I7" s="129"/>
      <c r="J7" s="129"/>
      <c r="K7" s="129"/>
      <c r="L7" s="129"/>
      <c r="M7" s="129"/>
    </row>
    <row r="8" spans="1:24" ht="14.75" customHeight="1" x14ac:dyDescent="0.35">
      <c r="A8" s="129"/>
      <c r="B8" s="767" t="s">
        <v>1015</v>
      </c>
      <c r="C8" s="771">
        <v>5.0000000000000001E-3</v>
      </c>
      <c r="D8" s="129"/>
      <c r="E8" s="129"/>
      <c r="F8" s="129"/>
      <c r="G8" s="129"/>
      <c r="H8" s="129"/>
      <c r="I8" s="129"/>
      <c r="J8" s="129"/>
      <c r="K8" s="129"/>
      <c r="L8" s="129"/>
      <c r="M8" s="129"/>
    </row>
    <row r="9" spans="1:24" ht="14.75" customHeight="1" thickBot="1" x14ac:dyDescent="0.4">
      <c r="A9" s="129"/>
      <c r="B9" s="772" t="s">
        <v>1016</v>
      </c>
      <c r="C9" s="773">
        <v>0</v>
      </c>
      <c r="D9" s="129"/>
      <c r="E9" s="129"/>
      <c r="F9" s="129"/>
      <c r="G9" s="129"/>
      <c r="H9" s="129"/>
      <c r="I9" s="129"/>
      <c r="J9" s="129"/>
      <c r="K9" s="129"/>
      <c r="L9" s="129"/>
      <c r="M9" s="129"/>
      <c r="R9" s="774"/>
    </row>
    <row r="10" spans="1:24" ht="15" thickBot="1" x14ac:dyDescent="0.4">
      <c r="P10" s="775"/>
      <c r="R10" s="775"/>
    </row>
    <row r="11" spans="1:24" ht="109.5" customHeight="1" thickBot="1" x14ac:dyDescent="0.4">
      <c r="A11" s="776" t="s">
        <v>837</v>
      </c>
      <c r="B11" s="777" t="s">
        <v>1017</v>
      </c>
      <c r="C11" s="778" t="s">
        <v>1018</v>
      </c>
      <c r="D11" s="778" t="s">
        <v>1019</v>
      </c>
      <c r="E11" s="778" t="s">
        <v>1020</v>
      </c>
      <c r="F11" s="778" t="s">
        <v>1021</v>
      </c>
      <c r="G11" s="779" t="s">
        <v>1022</v>
      </c>
      <c r="H11" s="778" t="s">
        <v>1023</v>
      </c>
      <c r="I11" s="780" t="s">
        <v>1024</v>
      </c>
      <c r="J11" s="781" t="s">
        <v>1025</v>
      </c>
      <c r="K11" s="782" t="s">
        <v>825</v>
      </c>
      <c r="L11" s="783" t="s">
        <v>838</v>
      </c>
      <c r="M11" s="784" t="s">
        <v>839</v>
      </c>
      <c r="O11" t="s">
        <v>1010</v>
      </c>
      <c r="P11" t="s">
        <v>1026</v>
      </c>
      <c r="Q11" t="s">
        <v>1027</v>
      </c>
      <c r="R11" t="s">
        <v>1028</v>
      </c>
    </row>
    <row r="12" spans="1:24" x14ac:dyDescent="0.35">
      <c r="A12" s="785">
        <v>2</v>
      </c>
      <c r="B12" s="786" t="s">
        <v>840</v>
      </c>
      <c r="C12" s="787">
        <f>HLOOKUP($C$4,$O$11:$R$41,2,FALSE)</f>
        <v>23615</v>
      </c>
      <c r="D12" s="787">
        <f>C12*$C$9</f>
        <v>0</v>
      </c>
      <c r="E12" s="787">
        <f>C12*(100%+$C$9)</f>
        <v>23615</v>
      </c>
      <c r="F12" s="787">
        <f>(E12-$C$5)*$C$6</f>
        <v>2003.0700000000002</v>
      </c>
      <c r="G12" s="788">
        <f>E12*$C$8</f>
        <v>118.075</v>
      </c>
      <c r="H12" s="787">
        <f>E12*$C$7</f>
        <v>5615.6469999999999</v>
      </c>
      <c r="I12" s="789">
        <f>SUM(E12:H12)</f>
        <v>31351.792000000001</v>
      </c>
      <c r="J12" s="790">
        <v>1560</v>
      </c>
      <c r="K12" s="791">
        <f>ROUND(I12/J12,2)</f>
        <v>20.100000000000001</v>
      </c>
      <c r="L12" s="792">
        <v>0.41</v>
      </c>
      <c r="M12" s="793">
        <v>0.83</v>
      </c>
      <c r="O12" s="774">
        <v>23615</v>
      </c>
      <c r="P12" s="282">
        <v>29029</v>
      </c>
      <c r="Q12">
        <v>28166</v>
      </c>
      <c r="R12">
        <v>24873</v>
      </c>
      <c r="V12" s="171"/>
      <c r="W12" s="309"/>
      <c r="X12" s="156"/>
    </row>
    <row r="13" spans="1:24" x14ac:dyDescent="0.35">
      <c r="A13" s="441">
        <v>2</v>
      </c>
      <c r="B13" s="432" t="s">
        <v>841</v>
      </c>
      <c r="C13" s="429">
        <f>HLOOKUP($C$4,$O$11:$R$41,3,FALSE)</f>
        <v>23615</v>
      </c>
      <c r="D13" s="429">
        <f t="shared" ref="D13:D47" si="0">C13*$C$9</f>
        <v>0</v>
      </c>
      <c r="E13" s="429">
        <f t="shared" ref="E13:E47" si="1">C13*(100%+$C$9)</f>
        <v>23615</v>
      </c>
      <c r="F13" s="429">
        <f t="shared" ref="F13:F47" si="2">(E13-$C$5)*$C$6</f>
        <v>2003.0700000000002</v>
      </c>
      <c r="G13" s="433">
        <f t="shared" ref="G13:G47" si="3">E13*$C$8</f>
        <v>118.075</v>
      </c>
      <c r="H13" s="429">
        <f t="shared" ref="H13:H47" si="4">E13*$C$7</f>
        <v>5615.6469999999999</v>
      </c>
      <c r="I13" s="789">
        <f t="shared" ref="I13:I47" si="5">SUM(E13:H13)</f>
        <v>31351.792000000001</v>
      </c>
      <c r="J13" s="128">
        <v>1560</v>
      </c>
      <c r="K13" s="791">
        <f t="shared" ref="K13:K47" si="6">ROUND(I13/J13,2)</f>
        <v>20.100000000000001</v>
      </c>
      <c r="L13" s="430">
        <v>0.41</v>
      </c>
      <c r="M13" s="650">
        <v>0.83</v>
      </c>
      <c r="O13" s="774">
        <v>23615</v>
      </c>
      <c r="P13" s="282">
        <v>29029</v>
      </c>
      <c r="Q13">
        <v>28166</v>
      </c>
      <c r="R13">
        <v>24873</v>
      </c>
      <c r="V13" s="488" t="s">
        <v>871</v>
      </c>
      <c r="X13" s="158"/>
    </row>
    <row r="14" spans="1:24" x14ac:dyDescent="0.35">
      <c r="A14" s="441">
        <v>3</v>
      </c>
      <c r="B14" s="432" t="s">
        <v>842</v>
      </c>
      <c r="C14" s="429">
        <f>HLOOKUP($C$4,$O$11:$R$41,4,FALSE)</f>
        <v>24071</v>
      </c>
      <c r="D14" s="429">
        <f t="shared" si="0"/>
        <v>0</v>
      </c>
      <c r="E14" s="429">
        <f t="shared" si="1"/>
        <v>24071</v>
      </c>
      <c r="F14" s="429">
        <f t="shared" si="2"/>
        <v>2065.998</v>
      </c>
      <c r="G14" s="433">
        <f t="shared" si="3"/>
        <v>120.355</v>
      </c>
      <c r="H14" s="429">
        <f t="shared" si="4"/>
        <v>5724.0838000000003</v>
      </c>
      <c r="I14" s="789">
        <f t="shared" si="5"/>
        <v>31981.436799999999</v>
      </c>
      <c r="J14" s="128">
        <v>1560</v>
      </c>
      <c r="K14" s="791">
        <f t="shared" si="6"/>
        <v>20.5</v>
      </c>
      <c r="L14" s="430">
        <v>0.35</v>
      </c>
      <c r="M14" s="650">
        <v>0.69</v>
      </c>
      <c r="O14" s="774">
        <v>24071</v>
      </c>
      <c r="P14" s="282">
        <v>29485</v>
      </c>
      <c r="Q14">
        <v>28622</v>
      </c>
      <c r="R14">
        <v>25329</v>
      </c>
      <c r="S14" t="s">
        <v>1010</v>
      </c>
      <c r="V14" s="489" t="s">
        <v>872</v>
      </c>
      <c r="W14">
        <v>260</v>
      </c>
      <c r="X14" s="158"/>
    </row>
    <row r="15" spans="1:24" x14ac:dyDescent="0.35">
      <c r="A15" s="441">
        <v>3</v>
      </c>
      <c r="B15" s="432" t="s">
        <v>843</v>
      </c>
      <c r="C15" s="429">
        <f>HLOOKUP($C$4,$O$11:$R$41,5,FALSE)</f>
        <v>25674</v>
      </c>
      <c r="D15" s="429">
        <f t="shared" si="0"/>
        <v>0</v>
      </c>
      <c r="E15" s="429">
        <f t="shared" si="1"/>
        <v>25674</v>
      </c>
      <c r="F15" s="429">
        <f t="shared" si="2"/>
        <v>2287.212</v>
      </c>
      <c r="G15" s="433">
        <f t="shared" si="3"/>
        <v>128.37</v>
      </c>
      <c r="H15" s="429">
        <f t="shared" si="4"/>
        <v>6105.2772000000004</v>
      </c>
      <c r="I15" s="789">
        <f t="shared" si="5"/>
        <v>34194.859199999999</v>
      </c>
      <c r="J15" s="128">
        <v>1560</v>
      </c>
      <c r="K15" s="791">
        <f t="shared" si="6"/>
        <v>21.92</v>
      </c>
      <c r="L15" s="430">
        <v>0.35</v>
      </c>
      <c r="M15" s="650">
        <v>0.69</v>
      </c>
      <c r="O15" s="774">
        <v>25674</v>
      </c>
      <c r="P15" s="282">
        <v>31088</v>
      </c>
      <c r="Q15">
        <v>30225</v>
      </c>
      <c r="R15">
        <v>26958</v>
      </c>
      <c r="S15" t="s">
        <v>1029</v>
      </c>
      <c r="V15" s="489" t="s">
        <v>873</v>
      </c>
      <c r="W15">
        <v>-40</v>
      </c>
      <c r="X15" s="158"/>
    </row>
    <row r="16" spans="1:24" x14ac:dyDescent="0.35">
      <c r="A16" s="441">
        <v>4</v>
      </c>
      <c r="B16" s="432" t="s">
        <v>844</v>
      </c>
      <c r="C16" s="429">
        <f>HLOOKUP($C$4,$O$11:$R$41,6,FALSE)</f>
        <v>26530</v>
      </c>
      <c r="D16" s="429">
        <f t="shared" si="0"/>
        <v>0</v>
      </c>
      <c r="E16" s="429">
        <f t="shared" si="1"/>
        <v>26530</v>
      </c>
      <c r="F16" s="429">
        <f t="shared" si="2"/>
        <v>2405.34</v>
      </c>
      <c r="G16" s="433">
        <f t="shared" si="3"/>
        <v>132.65</v>
      </c>
      <c r="H16" s="429">
        <f t="shared" si="4"/>
        <v>6308.8340000000007</v>
      </c>
      <c r="I16" s="789">
        <f t="shared" si="5"/>
        <v>35376.824000000001</v>
      </c>
      <c r="J16" s="128">
        <v>1560</v>
      </c>
      <c r="K16" s="791">
        <f t="shared" si="6"/>
        <v>22.68</v>
      </c>
      <c r="L16" s="430">
        <v>0.3</v>
      </c>
      <c r="M16" s="650">
        <v>0.6</v>
      </c>
      <c r="O16" s="774">
        <v>26530</v>
      </c>
      <c r="P16" s="282">
        <v>31944</v>
      </c>
      <c r="Q16">
        <v>31081</v>
      </c>
      <c r="R16">
        <v>27857</v>
      </c>
      <c r="S16" t="s">
        <v>1030</v>
      </c>
      <c r="V16" s="489" t="s">
        <v>874</v>
      </c>
      <c r="W16">
        <v>-2</v>
      </c>
      <c r="X16" s="158"/>
    </row>
    <row r="17" spans="1:24" x14ac:dyDescent="0.35">
      <c r="A17" s="441">
        <v>4</v>
      </c>
      <c r="B17" s="432" t="s">
        <v>845</v>
      </c>
      <c r="C17" s="429">
        <f>HLOOKUP($C$4,$O$11:$R$41,7,FALSE)</f>
        <v>29114</v>
      </c>
      <c r="D17" s="429">
        <f t="shared" si="0"/>
        <v>0</v>
      </c>
      <c r="E17" s="429">
        <f t="shared" si="1"/>
        <v>29114</v>
      </c>
      <c r="F17" s="429">
        <f t="shared" si="2"/>
        <v>2761.9320000000002</v>
      </c>
      <c r="G17" s="433">
        <f t="shared" si="3"/>
        <v>145.57</v>
      </c>
      <c r="H17" s="429">
        <f t="shared" si="4"/>
        <v>6923.3092000000006</v>
      </c>
      <c r="I17" s="789">
        <f t="shared" si="5"/>
        <v>38944.811200000004</v>
      </c>
      <c r="J17" s="128">
        <v>1560</v>
      </c>
      <c r="K17" s="791">
        <f t="shared" si="6"/>
        <v>24.96</v>
      </c>
      <c r="L17" s="430">
        <v>0.3</v>
      </c>
      <c r="M17" s="650">
        <v>0.6</v>
      </c>
      <c r="O17" s="774">
        <v>29114</v>
      </c>
      <c r="P17" s="282">
        <v>34937</v>
      </c>
      <c r="Q17">
        <v>33665</v>
      </c>
      <c r="R17">
        <v>30570</v>
      </c>
      <c r="S17" t="s">
        <v>1031</v>
      </c>
      <c r="V17" s="489" t="s">
        <v>875</v>
      </c>
      <c r="W17">
        <v>-10</v>
      </c>
      <c r="X17" s="158"/>
    </row>
    <row r="18" spans="1:24" x14ac:dyDescent="0.35">
      <c r="A18" s="441">
        <v>5</v>
      </c>
      <c r="B18" s="432" t="s">
        <v>846</v>
      </c>
      <c r="C18" s="429">
        <f>HLOOKUP($C$4,$O$11:$R$41,8,FALSE)</f>
        <v>29970</v>
      </c>
      <c r="D18" s="429">
        <f t="shared" si="0"/>
        <v>0</v>
      </c>
      <c r="E18" s="429">
        <f t="shared" si="1"/>
        <v>29970</v>
      </c>
      <c r="F18" s="429">
        <f t="shared" si="2"/>
        <v>2880.0600000000004</v>
      </c>
      <c r="G18" s="433">
        <f t="shared" si="3"/>
        <v>149.85</v>
      </c>
      <c r="H18" s="429">
        <f t="shared" si="4"/>
        <v>7126.866</v>
      </c>
      <c r="I18" s="789">
        <f t="shared" si="5"/>
        <v>40126.775999999998</v>
      </c>
      <c r="J18" s="128">
        <v>1560</v>
      </c>
      <c r="K18" s="791">
        <f t="shared" si="6"/>
        <v>25.72</v>
      </c>
      <c r="L18" s="430">
        <v>0.3</v>
      </c>
      <c r="M18" s="650">
        <v>0.6</v>
      </c>
      <c r="O18" s="774">
        <v>29970</v>
      </c>
      <c r="P18" s="282">
        <v>35964</v>
      </c>
      <c r="Q18">
        <v>34521</v>
      </c>
      <c r="R18">
        <v>31469</v>
      </c>
      <c r="V18" s="489"/>
      <c r="W18" s="309">
        <v>208</v>
      </c>
      <c r="X18" s="158"/>
    </row>
    <row r="19" spans="1:24" x14ac:dyDescent="0.35">
      <c r="A19" s="441">
        <v>5</v>
      </c>
      <c r="B19" s="432" t="s">
        <v>847</v>
      </c>
      <c r="C19" s="429">
        <f>HLOOKUP($C$4,$O$11:$R$41,9,FALSE)</f>
        <v>32324</v>
      </c>
      <c r="D19" s="429">
        <f t="shared" si="0"/>
        <v>0</v>
      </c>
      <c r="E19" s="429">
        <f t="shared" si="1"/>
        <v>32324</v>
      </c>
      <c r="F19" s="429">
        <f t="shared" si="2"/>
        <v>3204.9120000000003</v>
      </c>
      <c r="G19" s="433">
        <f t="shared" si="3"/>
        <v>161.62</v>
      </c>
      <c r="H19" s="429">
        <f t="shared" si="4"/>
        <v>7686.6472000000003</v>
      </c>
      <c r="I19" s="789">
        <f t="shared" si="5"/>
        <v>43377.179199999999</v>
      </c>
      <c r="J19" s="128">
        <v>1560</v>
      </c>
      <c r="K19" s="791">
        <f t="shared" si="6"/>
        <v>27.81</v>
      </c>
      <c r="L19" s="430">
        <v>0.3</v>
      </c>
      <c r="M19" s="650">
        <v>0.6</v>
      </c>
      <c r="O19" s="774">
        <v>32324</v>
      </c>
      <c r="P19" s="282">
        <v>38789</v>
      </c>
      <c r="Q19">
        <v>37173</v>
      </c>
      <c r="R19">
        <v>33941</v>
      </c>
      <c r="V19" s="489" t="s">
        <v>877</v>
      </c>
      <c r="W19" s="336">
        <f>7.5*W18</f>
        <v>1560</v>
      </c>
      <c r="X19" s="158"/>
    </row>
    <row r="20" spans="1:24" x14ac:dyDescent="0.35">
      <c r="A20" s="441">
        <v>5</v>
      </c>
      <c r="B20" s="432" t="s">
        <v>848</v>
      </c>
      <c r="C20" s="429">
        <f>HLOOKUP($C$4,$O$11:$R$41,10,FALSE)</f>
        <v>36483</v>
      </c>
      <c r="D20" s="429">
        <f t="shared" si="0"/>
        <v>0</v>
      </c>
      <c r="E20" s="429">
        <f t="shared" si="1"/>
        <v>36483</v>
      </c>
      <c r="F20" s="429">
        <f t="shared" si="2"/>
        <v>3778.8540000000003</v>
      </c>
      <c r="G20" s="433">
        <f t="shared" si="3"/>
        <v>182.41499999999999</v>
      </c>
      <c r="H20" s="429">
        <f t="shared" si="4"/>
        <v>8675.6574000000001</v>
      </c>
      <c r="I20" s="789">
        <f t="shared" si="5"/>
        <v>49119.926399999997</v>
      </c>
      <c r="J20" s="128">
        <v>1560</v>
      </c>
      <c r="K20" s="791">
        <f t="shared" si="6"/>
        <v>31.49</v>
      </c>
      <c r="L20" s="430">
        <v>0.3</v>
      </c>
      <c r="M20" s="650">
        <v>0.6</v>
      </c>
      <c r="O20" s="774">
        <v>36483</v>
      </c>
      <c r="P20" s="282">
        <v>43780</v>
      </c>
      <c r="Q20">
        <v>41956</v>
      </c>
      <c r="R20">
        <v>38308</v>
      </c>
      <c r="V20" s="159"/>
      <c r="X20" s="158"/>
    </row>
    <row r="21" spans="1:24" x14ac:dyDescent="0.35">
      <c r="A21" s="441">
        <v>6</v>
      </c>
      <c r="B21" s="432" t="s">
        <v>849</v>
      </c>
      <c r="C21" s="429">
        <f>HLOOKUP($C$4,$O$11:$R$41,11,FALSE)</f>
        <v>37338</v>
      </c>
      <c r="D21" s="429">
        <f t="shared" si="0"/>
        <v>0</v>
      </c>
      <c r="E21" s="429">
        <f t="shared" si="1"/>
        <v>37338</v>
      </c>
      <c r="F21" s="429">
        <f t="shared" si="2"/>
        <v>3896.8440000000005</v>
      </c>
      <c r="G21" s="433">
        <f t="shared" si="3"/>
        <v>186.69</v>
      </c>
      <c r="H21" s="429">
        <f t="shared" si="4"/>
        <v>8878.9763999999996</v>
      </c>
      <c r="I21" s="789">
        <f t="shared" si="5"/>
        <v>50300.510399999999</v>
      </c>
      <c r="J21" s="128">
        <v>1560</v>
      </c>
      <c r="K21" s="791">
        <f t="shared" si="6"/>
        <v>32.24</v>
      </c>
      <c r="L21" s="430">
        <v>0.3</v>
      </c>
      <c r="M21" s="650">
        <v>0.6</v>
      </c>
      <c r="O21" s="774">
        <v>37338</v>
      </c>
      <c r="P21" s="282">
        <v>44806</v>
      </c>
      <c r="Q21">
        <v>42939</v>
      </c>
      <c r="R21">
        <v>39205</v>
      </c>
      <c r="V21" s="489"/>
      <c r="X21" s="158"/>
    </row>
    <row r="22" spans="1:24" x14ac:dyDescent="0.35">
      <c r="A22" s="441">
        <v>6</v>
      </c>
      <c r="B22" s="432" t="s">
        <v>730</v>
      </c>
      <c r="C22" s="429">
        <f>HLOOKUP($C$4,$O$11:$R$41,12,FALSE)</f>
        <v>39405</v>
      </c>
      <c r="D22" s="429">
        <f t="shared" si="0"/>
        <v>0</v>
      </c>
      <c r="E22" s="429">
        <f t="shared" si="1"/>
        <v>39405</v>
      </c>
      <c r="F22" s="429">
        <f t="shared" si="2"/>
        <v>4182.09</v>
      </c>
      <c r="G22" s="433">
        <f t="shared" si="3"/>
        <v>197.02500000000001</v>
      </c>
      <c r="H22" s="429">
        <f t="shared" si="4"/>
        <v>9370.509</v>
      </c>
      <c r="I22" s="789">
        <f t="shared" si="5"/>
        <v>53154.623999999996</v>
      </c>
      <c r="J22" s="128">
        <v>1560</v>
      </c>
      <c r="K22" s="791">
        <f t="shared" si="6"/>
        <v>34.07</v>
      </c>
      <c r="L22" s="430">
        <v>0.3</v>
      </c>
      <c r="M22" s="650">
        <v>0.6</v>
      </c>
      <c r="O22" s="774">
        <v>39405</v>
      </c>
      <c r="P22" s="282">
        <v>47286</v>
      </c>
      <c r="Q22">
        <v>45140</v>
      </c>
      <c r="R22">
        <v>41376</v>
      </c>
      <c r="V22" s="488" t="s">
        <v>867</v>
      </c>
      <c r="X22" s="158"/>
    </row>
    <row r="23" spans="1:24" x14ac:dyDescent="0.35">
      <c r="A23" s="441">
        <v>6</v>
      </c>
      <c r="B23" s="432" t="s">
        <v>850</v>
      </c>
      <c r="C23" s="429">
        <f>HLOOKUP($C$4,$O$11:$R$41,13,FALSE)</f>
        <v>44962</v>
      </c>
      <c r="D23" s="429">
        <f t="shared" si="0"/>
        <v>0</v>
      </c>
      <c r="E23" s="429">
        <f t="shared" si="1"/>
        <v>44962</v>
      </c>
      <c r="F23" s="429">
        <f t="shared" si="2"/>
        <v>4948.9560000000001</v>
      </c>
      <c r="G23" s="433">
        <f t="shared" si="3"/>
        <v>224.81</v>
      </c>
      <c r="H23" s="429">
        <f t="shared" si="4"/>
        <v>10691.963600000001</v>
      </c>
      <c r="I23" s="789">
        <f t="shared" si="5"/>
        <v>60827.729599999999</v>
      </c>
      <c r="J23" s="128">
        <v>1560</v>
      </c>
      <c r="K23" s="791">
        <f t="shared" si="6"/>
        <v>38.99</v>
      </c>
      <c r="L23" s="430">
        <v>0.3</v>
      </c>
      <c r="M23" s="650">
        <v>0.6</v>
      </c>
      <c r="O23" s="774">
        <v>44962</v>
      </c>
      <c r="P23" s="282">
        <v>53134</v>
      </c>
      <c r="Q23">
        <v>50697</v>
      </c>
      <c r="R23">
        <v>47084</v>
      </c>
      <c r="V23" s="489" t="s">
        <v>878</v>
      </c>
      <c r="W23">
        <v>43</v>
      </c>
      <c r="X23" s="158"/>
    </row>
    <row r="24" spans="1:24" x14ac:dyDescent="0.35">
      <c r="A24" s="441">
        <v>7</v>
      </c>
      <c r="B24" s="432" t="s">
        <v>851</v>
      </c>
      <c r="C24" s="429">
        <f>HLOOKUP($C$4,$O$11:$R$41,14,FALSE)</f>
        <v>46148</v>
      </c>
      <c r="D24" s="429">
        <f t="shared" si="0"/>
        <v>0</v>
      </c>
      <c r="E24" s="429">
        <f t="shared" si="1"/>
        <v>46148</v>
      </c>
      <c r="F24" s="429">
        <f t="shared" si="2"/>
        <v>5112.6240000000007</v>
      </c>
      <c r="G24" s="433">
        <f t="shared" si="3"/>
        <v>230.74</v>
      </c>
      <c r="H24" s="429">
        <f t="shared" si="4"/>
        <v>10973.994400000001</v>
      </c>
      <c r="I24" s="789">
        <f t="shared" si="5"/>
        <v>62465.358400000005</v>
      </c>
      <c r="J24" s="128">
        <v>1560</v>
      </c>
      <c r="K24" s="791">
        <f t="shared" si="6"/>
        <v>40.04</v>
      </c>
      <c r="L24" s="430">
        <v>0.3</v>
      </c>
      <c r="M24" s="650">
        <v>0.6</v>
      </c>
      <c r="O24" s="774">
        <v>46148</v>
      </c>
      <c r="P24" s="282">
        <v>54320</v>
      </c>
      <c r="Q24">
        <v>51883</v>
      </c>
      <c r="R24">
        <v>48270</v>
      </c>
      <c r="V24" s="489"/>
      <c r="X24" s="158"/>
    </row>
    <row r="25" spans="1:24" x14ac:dyDescent="0.35">
      <c r="A25" s="441">
        <v>7</v>
      </c>
      <c r="B25" s="432" t="s">
        <v>725</v>
      </c>
      <c r="C25" s="429">
        <f>HLOOKUP($C$4,$O$11:$R$41,15,FALSE)</f>
        <v>48526</v>
      </c>
      <c r="D25" s="429">
        <f t="shared" si="0"/>
        <v>0</v>
      </c>
      <c r="E25" s="429">
        <f t="shared" si="1"/>
        <v>48526</v>
      </c>
      <c r="F25" s="429">
        <f t="shared" si="2"/>
        <v>5440.7880000000005</v>
      </c>
      <c r="G25" s="433">
        <f t="shared" si="3"/>
        <v>242.63</v>
      </c>
      <c r="H25" s="429">
        <f t="shared" si="4"/>
        <v>11539.4828</v>
      </c>
      <c r="I25" s="789">
        <f t="shared" si="5"/>
        <v>65748.900800000003</v>
      </c>
      <c r="J25" s="128">
        <v>1560</v>
      </c>
      <c r="K25" s="791">
        <f t="shared" si="6"/>
        <v>42.15</v>
      </c>
      <c r="L25" s="430">
        <v>0.3</v>
      </c>
      <c r="M25" s="650">
        <v>0.6</v>
      </c>
      <c r="O25" s="774">
        <v>48526</v>
      </c>
      <c r="P25" s="282">
        <v>56698</v>
      </c>
      <c r="Q25">
        <v>54261</v>
      </c>
      <c r="R25">
        <v>50648</v>
      </c>
      <c r="V25" s="489" t="s">
        <v>880</v>
      </c>
      <c r="W25">
        <v>10</v>
      </c>
      <c r="X25" s="158"/>
    </row>
    <row r="26" spans="1:24" x14ac:dyDescent="0.35">
      <c r="A26" s="441">
        <v>7</v>
      </c>
      <c r="B26" s="432" t="s">
        <v>852</v>
      </c>
      <c r="C26" s="429">
        <f>HLOOKUP($C$4,$O$11:$R$41,16,FALSE)</f>
        <v>52809</v>
      </c>
      <c r="D26" s="429">
        <f t="shared" si="0"/>
        <v>0</v>
      </c>
      <c r="E26" s="429">
        <f t="shared" si="1"/>
        <v>52809</v>
      </c>
      <c r="F26" s="429">
        <f t="shared" si="2"/>
        <v>6031.8420000000006</v>
      </c>
      <c r="G26" s="433">
        <f t="shared" si="3"/>
        <v>264.04500000000002</v>
      </c>
      <c r="H26" s="429">
        <f t="shared" si="4"/>
        <v>12557.9802</v>
      </c>
      <c r="I26" s="789">
        <f t="shared" si="5"/>
        <v>71662.867200000008</v>
      </c>
      <c r="J26" s="128">
        <v>1560</v>
      </c>
      <c r="K26" s="791">
        <f t="shared" si="6"/>
        <v>45.94</v>
      </c>
      <c r="L26" s="430">
        <v>0.3</v>
      </c>
      <c r="M26" s="650">
        <v>0.6</v>
      </c>
      <c r="O26" s="774">
        <v>52809</v>
      </c>
      <c r="P26" s="282">
        <v>60981</v>
      </c>
      <c r="Q26">
        <v>58544</v>
      </c>
      <c r="R26">
        <v>54931</v>
      </c>
      <c r="V26" s="489" t="s">
        <v>881</v>
      </c>
      <c r="W26">
        <v>-2</v>
      </c>
      <c r="X26" s="158"/>
    </row>
    <row r="27" spans="1:24" x14ac:dyDescent="0.35">
      <c r="A27" s="441" t="s">
        <v>876</v>
      </c>
      <c r="B27" s="432" t="s">
        <v>853</v>
      </c>
      <c r="C27" s="429">
        <f>HLOOKUP($C$4,$O$11:$R$41,17,FALSE)</f>
        <v>53754.676500000001</v>
      </c>
      <c r="D27" s="429">
        <f t="shared" si="0"/>
        <v>0</v>
      </c>
      <c r="E27" s="429">
        <f t="shared" si="1"/>
        <v>53754.676500000001</v>
      </c>
      <c r="F27" s="429">
        <f t="shared" si="2"/>
        <v>6162.3453570000011</v>
      </c>
      <c r="G27" s="433">
        <f t="shared" si="3"/>
        <v>268.77338250000003</v>
      </c>
      <c r="H27" s="429">
        <f t="shared" si="4"/>
        <v>12782.862071700001</v>
      </c>
      <c r="I27" s="789">
        <f t="shared" si="5"/>
        <v>72968.657311200004</v>
      </c>
      <c r="J27" s="128">
        <v>1560</v>
      </c>
      <c r="K27" s="791">
        <f t="shared" si="6"/>
        <v>46.77</v>
      </c>
      <c r="L27" s="430">
        <v>0.3</v>
      </c>
      <c r="M27" s="650">
        <v>0.6</v>
      </c>
      <c r="O27" s="774">
        <v>53754.676500000001</v>
      </c>
      <c r="P27" s="282">
        <v>61927</v>
      </c>
      <c r="Q27">
        <v>59490</v>
      </c>
      <c r="R27">
        <v>55877</v>
      </c>
      <c r="V27" s="489"/>
      <c r="W27" s="309">
        <v>8</v>
      </c>
      <c r="X27" s="158"/>
    </row>
    <row r="28" spans="1:24" x14ac:dyDescent="0.35">
      <c r="A28" s="441" t="s">
        <v>876</v>
      </c>
      <c r="B28" s="432" t="s">
        <v>729</v>
      </c>
      <c r="C28" s="429">
        <f>HLOOKUP($C$4,$O$11:$R$41,18,FALSE)</f>
        <v>56454</v>
      </c>
      <c r="D28" s="429">
        <f t="shared" si="0"/>
        <v>0</v>
      </c>
      <c r="E28" s="429">
        <f t="shared" si="1"/>
        <v>56454</v>
      </c>
      <c r="F28" s="429">
        <f t="shared" si="2"/>
        <v>6534.8520000000008</v>
      </c>
      <c r="G28" s="433">
        <f t="shared" si="3"/>
        <v>282.27</v>
      </c>
      <c r="H28" s="429">
        <f t="shared" si="4"/>
        <v>13424.761200000001</v>
      </c>
      <c r="I28" s="789">
        <f t="shared" si="5"/>
        <v>76695.883199999997</v>
      </c>
      <c r="J28" s="128">
        <v>1560</v>
      </c>
      <c r="K28" s="791">
        <f t="shared" si="6"/>
        <v>49.16</v>
      </c>
      <c r="L28" s="430">
        <v>0.3</v>
      </c>
      <c r="M28" s="650">
        <v>0.6</v>
      </c>
      <c r="O28" s="774">
        <v>56454</v>
      </c>
      <c r="P28" s="282">
        <v>64626</v>
      </c>
      <c r="Q28">
        <v>62189</v>
      </c>
      <c r="R28">
        <v>58576</v>
      </c>
      <c r="V28" s="489" t="s">
        <v>882</v>
      </c>
      <c r="W28" s="336">
        <f>W27*4*W23</f>
        <v>1376</v>
      </c>
      <c r="X28" s="158"/>
    </row>
    <row r="29" spans="1:24" x14ac:dyDescent="0.35">
      <c r="A29" s="441" t="s">
        <v>876</v>
      </c>
      <c r="B29" s="432" t="s">
        <v>854</v>
      </c>
      <c r="C29" s="429">
        <f>HLOOKUP($C$4,$O$11:$R$41,19,FALSE)</f>
        <v>60504</v>
      </c>
      <c r="D29" s="429">
        <f t="shared" si="0"/>
        <v>0</v>
      </c>
      <c r="E29" s="429">
        <f t="shared" si="1"/>
        <v>60504</v>
      </c>
      <c r="F29" s="429">
        <f t="shared" si="2"/>
        <v>7093.7520000000004</v>
      </c>
      <c r="G29" s="433">
        <f t="shared" si="3"/>
        <v>302.52</v>
      </c>
      <c r="H29" s="429">
        <f t="shared" si="4"/>
        <v>14387.851200000001</v>
      </c>
      <c r="I29" s="789">
        <f t="shared" si="5"/>
        <v>82288.123200000016</v>
      </c>
      <c r="J29" s="128">
        <v>1560</v>
      </c>
      <c r="K29" s="791">
        <f t="shared" si="6"/>
        <v>52.75</v>
      </c>
      <c r="L29" s="430">
        <v>0.3</v>
      </c>
      <c r="M29" s="650">
        <v>0.6</v>
      </c>
      <c r="O29" s="774">
        <v>60504</v>
      </c>
      <c r="P29" s="282">
        <v>68676</v>
      </c>
      <c r="Q29">
        <v>66239</v>
      </c>
      <c r="R29">
        <v>62626</v>
      </c>
      <c r="V29" s="159"/>
      <c r="X29" s="158"/>
    </row>
    <row r="30" spans="1:24" x14ac:dyDescent="0.35">
      <c r="A30" s="441" t="s">
        <v>879</v>
      </c>
      <c r="B30" s="432" t="s">
        <v>855</v>
      </c>
      <c r="C30" s="429">
        <f>HLOOKUP($C$4,$O$11:$R$41,20,FALSE)</f>
        <v>62215</v>
      </c>
      <c r="D30" s="429">
        <f t="shared" si="0"/>
        <v>0</v>
      </c>
      <c r="E30" s="429">
        <f t="shared" si="1"/>
        <v>62215</v>
      </c>
      <c r="F30" s="429">
        <f t="shared" si="2"/>
        <v>7329.8700000000008</v>
      </c>
      <c r="G30" s="433">
        <f t="shared" si="3"/>
        <v>311.07499999999999</v>
      </c>
      <c r="H30" s="429">
        <f t="shared" si="4"/>
        <v>14794.727000000001</v>
      </c>
      <c r="I30" s="789">
        <f t="shared" si="5"/>
        <v>84650.671999999991</v>
      </c>
      <c r="J30" s="128">
        <v>1560</v>
      </c>
      <c r="K30" s="791">
        <f t="shared" si="6"/>
        <v>54.26</v>
      </c>
      <c r="L30" s="430">
        <v>0.3</v>
      </c>
      <c r="M30" s="650">
        <v>0.6</v>
      </c>
      <c r="O30" s="774">
        <v>62215</v>
      </c>
      <c r="P30" s="282">
        <v>70387</v>
      </c>
      <c r="Q30">
        <v>67950</v>
      </c>
      <c r="R30">
        <v>64337</v>
      </c>
      <c r="V30" s="489"/>
      <c r="X30" s="158"/>
    </row>
    <row r="31" spans="1:24" x14ac:dyDescent="0.35">
      <c r="A31" s="441" t="s">
        <v>879</v>
      </c>
      <c r="B31" s="432" t="s">
        <v>856</v>
      </c>
      <c r="C31" s="429">
        <f>HLOOKUP($C$4,$O$11:$R$41,21,FALSE)</f>
        <v>66246</v>
      </c>
      <c r="D31" s="429">
        <f t="shared" si="0"/>
        <v>0</v>
      </c>
      <c r="E31" s="429">
        <f t="shared" si="1"/>
        <v>66246</v>
      </c>
      <c r="F31" s="429">
        <f t="shared" si="2"/>
        <v>7886.148000000001</v>
      </c>
      <c r="G31" s="433">
        <f t="shared" si="3"/>
        <v>331.23</v>
      </c>
      <c r="H31" s="429">
        <f t="shared" si="4"/>
        <v>15753.2988</v>
      </c>
      <c r="I31" s="789">
        <f t="shared" si="5"/>
        <v>90216.676800000001</v>
      </c>
      <c r="J31" s="128">
        <v>1560</v>
      </c>
      <c r="K31" s="791">
        <f t="shared" si="6"/>
        <v>57.83</v>
      </c>
      <c r="L31" s="430">
        <v>0.3</v>
      </c>
      <c r="M31" s="650">
        <v>0.6</v>
      </c>
      <c r="O31" s="774">
        <v>66246</v>
      </c>
      <c r="P31" s="282">
        <v>74418</v>
      </c>
      <c r="Q31">
        <v>71981</v>
      </c>
      <c r="R31">
        <v>68368</v>
      </c>
      <c r="V31" s="488" t="s">
        <v>870</v>
      </c>
      <c r="X31" s="158"/>
    </row>
    <row r="32" spans="1:24" x14ac:dyDescent="0.35">
      <c r="A32" s="441" t="s">
        <v>879</v>
      </c>
      <c r="B32" s="432" t="s">
        <v>857</v>
      </c>
      <c r="C32" s="429">
        <f>HLOOKUP($C$4,$O$11:$R$41,22,FALSE)</f>
        <v>72293</v>
      </c>
      <c r="D32" s="429">
        <f t="shared" si="0"/>
        <v>0</v>
      </c>
      <c r="E32" s="429">
        <f t="shared" si="1"/>
        <v>72293</v>
      </c>
      <c r="F32" s="429">
        <f t="shared" si="2"/>
        <v>8720.634</v>
      </c>
      <c r="G32" s="433">
        <f t="shared" si="3"/>
        <v>361.46500000000003</v>
      </c>
      <c r="H32" s="429">
        <f t="shared" si="4"/>
        <v>17191.275400000002</v>
      </c>
      <c r="I32" s="789">
        <f t="shared" si="5"/>
        <v>98566.374400000001</v>
      </c>
      <c r="J32" s="128">
        <v>1560</v>
      </c>
      <c r="K32" s="791">
        <f t="shared" si="6"/>
        <v>63.18</v>
      </c>
      <c r="L32" s="430">
        <v>0.3</v>
      </c>
      <c r="M32" s="650">
        <v>0.6</v>
      </c>
      <c r="O32" s="774">
        <v>72293</v>
      </c>
      <c r="P32" s="282">
        <v>80465</v>
      </c>
      <c r="Q32">
        <v>78028</v>
      </c>
      <c r="R32">
        <v>74415</v>
      </c>
      <c r="V32" s="489" t="s">
        <v>884</v>
      </c>
      <c r="W32">
        <v>44.7</v>
      </c>
      <c r="X32" s="158"/>
    </row>
    <row r="33" spans="1:24" x14ac:dyDescent="0.35">
      <c r="A33" s="441" t="s">
        <v>883</v>
      </c>
      <c r="B33" s="432" t="s">
        <v>858</v>
      </c>
      <c r="C33" s="429">
        <f>HLOOKUP($C$4,$O$11:$R$41,23,FALSE)</f>
        <v>74290</v>
      </c>
      <c r="D33" s="429">
        <f t="shared" si="0"/>
        <v>0</v>
      </c>
      <c r="E33" s="429">
        <f t="shared" si="1"/>
        <v>74290</v>
      </c>
      <c r="F33" s="429">
        <f t="shared" si="2"/>
        <v>8996.2200000000012</v>
      </c>
      <c r="G33" s="433">
        <f t="shared" si="3"/>
        <v>371.45</v>
      </c>
      <c r="H33" s="429">
        <f t="shared" si="4"/>
        <v>17666.162</v>
      </c>
      <c r="I33" s="789">
        <f t="shared" si="5"/>
        <v>101323.83199999999</v>
      </c>
      <c r="J33" s="128">
        <v>1560</v>
      </c>
      <c r="K33" s="791">
        <f t="shared" si="6"/>
        <v>64.95</v>
      </c>
      <c r="L33" s="430">
        <v>0.3</v>
      </c>
      <c r="M33" s="650">
        <v>0.6</v>
      </c>
      <c r="O33" s="774">
        <v>74290</v>
      </c>
      <c r="P33" s="282">
        <v>82462</v>
      </c>
      <c r="Q33">
        <v>80025</v>
      </c>
      <c r="R33">
        <v>76412</v>
      </c>
      <c r="V33" s="489" t="s">
        <v>885</v>
      </c>
      <c r="W33">
        <v>48</v>
      </c>
      <c r="X33" s="158"/>
    </row>
    <row r="34" spans="1:24" x14ac:dyDescent="0.35">
      <c r="A34" s="441" t="s">
        <v>883</v>
      </c>
      <c r="B34" s="432" t="s">
        <v>859</v>
      </c>
      <c r="C34" s="429">
        <f>HLOOKUP($C$4,$O$11:$R$41,24,FALSE)</f>
        <v>78814</v>
      </c>
      <c r="D34" s="429">
        <f t="shared" si="0"/>
        <v>0</v>
      </c>
      <c r="E34" s="429">
        <f t="shared" si="1"/>
        <v>78814</v>
      </c>
      <c r="F34" s="429">
        <f t="shared" si="2"/>
        <v>9620.5320000000011</v>
      </c>
      <c r="G34" s="433">
        <f t="shared" si="3"/>
        <v>394.07</v>
      </c>
      <c r="H34" s="429">
        <f t="shared" si="4"/>
        <v>18741.9692</v>
      </c>
      <c r="I34" s="789">
        <f t="shared" si="5"/>
        <v>107570.57120000001</v>
      </c>
      <c r="J34" s="128">
        <v>1560</v>
      </c>
      <c r="K34" s="791">
        <f t="shared" si="6"/>
        <v>68.959999999999994</v>
      </c>
      <c r="L34" s="430">
        <v>0.3</v>
      </c>
      <c r="M34" s="650">
        <v>0.6</v>
      </c>
      <c r="O34" s="774">
        <v>78814</v>
      </c>
      <c r="P34" s="282">
        <v>86986</v>
      </c>
      <c r="Q34">
        <v>84549</v>
      </c>
      <c r="R34">
        <v>80936</v>
      </c>
      <c r="V34" s="489" t="s">
        <v>886</v>
      </c>
      <c r="W34">
        <v>2145.6</v>
      </c>
      <c r="X34" s="158"/>
    </row>
    <row r="35" spans="1:24" x14ac:dyDescent="0.35">
      <c r="A35" s="441" t="s">
        <v>883</v>
      </c>
      <c r="B35" s="432" t="s">
        <v>860</v>
      </c>
      <c r="C35" s="429">
        <f>HLOOKUP($C$4,$O$11:$R$41,25,FALSE)</f>
        <v>85601</v>
      </c>
      <c r="D35" s="429">
        <f t="shared" si="0"/>
        <v>0</v>
      </c>
      <c r="E35" s="429">
        <f t="shared" si="1"/>
        <v>85601</v>
      </c>
      <c r="F35" s="429">
        <f t="shared" si="2"/>
        <v>10557.138000000001</v>
      </c>
      <c r="G35" s="433">
        <f t="shared" si="3"/>
        <v>428.005</v>
      </c>
      <c r="H35" s="429">
        <f t="shared" si="4"/>
        <v>20355.917799999999</v>
      </c>
      <c r="I35" s="789">
        <f t="shared" si="5"/>
        <v>116942.06080000001</v>
      </c>
      <c r="J35" s="128">
        <v>1560</v>
      </c>
      <c r="K35" s="791">
        <f t="shared" si="6"/>
        <v>74.959999999999994</v>
      </c>
      <c r="L35" s="430">
        <v>0.3</v>
      </c>
      <c r="M35" s="650">
        <v>0.6</v>
      </c>
      <c r="O35" s="774">
        <v>85601</v>
      </c>
      <c r="P35" s="282">
        <v>93773</v>
      </c>
      <c r="Q35">
        <v>91336</v>
      </c>
      <c r="R35">
        <v>87723</v>
      </c>
      <c r="V35" s="489" t="s">
        <v>887</v>
      </c>
      <c r="W35" s="490">
        <v>0.6</v>
      </c>
      <c r="X35" s="158"/>
    </row>
    <row r="36" spans="1:24" x14ac:dyDescent="0.35">
      <c r="A36" s="441" t="s">
        <v>888</v>
      </c>
      <c r="B36" s="432" t="s">
        <v>861</v>
      </c>
      <c r="C36" s="429">
        <f>HLOOKUP($C$4,$O$11:$R$41,26,FALSE)</f>
        <v>88168</v>
      </c>
      <c r="D36" s="429">
        <f t="shared" si="0"/>
        <v>0</v>
      </c>
      <c r="E36" s="429">
        <f t="shared" si="1"/>
        <v>88168</v>
      </c>
      <c r="F36" s="429">
        <f t="shared" si="2"/>
        <v>10911.384</v>
      </c>
      <c r="G36" s="433">
        <f t="shared" si="3"/>
        <v>440.84000000000003</v>
      </c>
      <c r="H36" s="429">
        <f t="shared" si="4"/>
        <v>20966.350399999999</v>
      </c>
      <c r="I36" s="789">
        <f t="shared" si="5"/>
        <v>120486.5744</v>
      </c>
      <c r="J36" s="128">
        <v>1560</v>
      </c>
      <c r="K36" s="791">
        <f t="shared" si="6"/>
        <v>77.23</v>
      </c>
      <c r="L36" s="430">
        <v>0.3</v>
      </c>
      <c r="M36" s="650">
        <v>0.6</v>
      </c>
      <c r="O36" s="774">
        <v>88168</v>
      </c>
      <c r="P36" s="282">
        <v>96340</v>
      </c>
      <c r="Q36">
        <v>93903</v>
      </c>
      <c r="R36">
        <v>90290</v>
      </c>
      <c r="V36" s="489" t="s">
        <v>889</v>
      </c>
      <c r="W36" s="487">
        <f>ROUND(W35*W34,0)</f>
        <v>1287</v>
      </c>
      <c r="X36" s="158"/>
    </row>
    <row r="37" spans="1:24" x14ac:dyDescent="0.35">
      <c r="A37" s="441" t="s">
        <v>888</v>
      </c>
      <c r="B37" s="432" t="s">
        <v>862</v>
      </c>
      <c r="C37" s="429">
        <f>HLOOKUP($C$4,$O$11:$R$41,27,FALSE)</f>
        <v>93572</v>
      </c>
      <c r="D37" s="429">
        <f t="shared" si="0"/>
        <v>0</v>
      </c>
      <c r="E37" s="429">
        <f t="shared" si="1"/>
        <v>93572</v>
      </c>
      <c r="F37" s="429">
        <f t="shared" si="2"/>
        <v>11657.136</v>
      </c>
      <c r="G37" s="433">
        <f t="shared" si="3"/>
        <v>467.86</v>
      </c>
      <c r="H37" s="429">
        <f t="shared" si="4"/>
        <v>22251.421600000001</v>
      </c>
      <c r="I37" s="789">
        <f t="shared" si="5"/>
        <v>127948.4176</v>
      </c>
      <c r="J37" s="128">
        <v>1560</v>
      </c>
      <c r="K37" s="791">
        <f t="shared" si="6"/>
        <v>82.02</v>
      </c>
      <c r="L37" s="430">
        <v>0.3</v>
      </c>
      <c r="M37" s="650">
        <v>0.6</v>
      </c>
      <c r="O37" s="774">
        <v>93572</v>
      </c>
      <c r="P37" s="282">
        <v>101744</v>
      </c>
      <c r="Q37">
        <v>99307</v>
      </c>
      <c r="R37">
        <v>95694</v>
      </c>
      <c r="V37" s="160"/>
      <c r="W37" s="161"/>
      <c r="X37" s="162"/>
    </row>
    <row r="38" spans="1:24" x14ac:dyDescent="0.35">
      <c r="A38" s="441" t="s">
        <v>888</v>
      </c>
      <c r="B38" s="432" t="s">
        <v>863</v>
      </c>
      <c r="C38" s="429">
        <f>HLOOKUP($C$4,$O$11:$R$41,28,FALSE)</f>
        <v>101677</v>
      </c>
      <c r="D38" s="429">
        <f t="shared" si="0"/>
        <v>0</v>
      </c>
      <c r="E38" s="429">
        <f t="shared" si="1"/>
        <v>101677</v>
      </c>
      <c r="F38" s="429">
        <f t="shared" si="2"/>
        <v>12775.626</v>
      </c>
      <c r="G38" s="433">
        <f t="shared" si="3"/>
        <v>508.38499999999999</v>
      </c>
      <c r="H38" s="429">
        <f t="shared" si="4"/>
        <v>24178.7906</v>
      </c>
      <c r="I38" s="789">
        <f t="shared" si="5"/>
        <v>139139.80160000001</v>
      </c>
      <c r="J38" s="128">
        <v>1560</v>
      </c>
      <c r="K38" s="791">
        <f t="shared" si="6"/>
        <v>89.19</v>
      </c>
      <c r="L38" s="430">
        <v>0.3</v>
      </c>
      <c r="M38" s="650">
        <v>0.6</v>
      </c>
      <c r="O38" s="774">
        <v>101677</v>
      </c>
      <c r="P38" s="282">
        <v>109849</v>
      </c>
      <c r="Q38">
        <v>107412</v>
      </c>
      <c r="R38">
        <v>103799</v>
      </c>
    </row>
    <row r="39" spans="1:24" x14ac:dyDescent="0.35">
      <c r="A39" s="441">
        <v>9</v>
      </c>
      <c r="B39" s="432" t="s">
        <v>864</v>
      </c>
      <c r="C39" s="429">
        <f>HLOOKUP($C$4,$O$11:$R$41,29,FALSE)</f>
        <v>105385</v>
      </c>
      <c r="D39" s="429">
        <f t="shared" si="0"/>
        <v>0</v>
      </c>
      <c r="E39" s="429">
        <f t="shared" si="1"/>
        <v>105385</v>
      </c>
      <c r="F39" s="429">
        <f t="shared" si="2"/>
        <v>13287.330000000002</v>
      </c>
      <c r="G39" s="433">
        <f t="shared" si="3"/>
        <v>526.92499999999995</v>
      </c>
      <c r="H39" s="429">
        <f t="shared" si="4"/>
        <v>25060.553</v>
      </c>
      <c r="I39" s="789">
        <f t="shared" si="5"/>
        <v>144259.80800000002</v>
      </c>
      <c r="J39" s="128">
        <v>1560</v>
      </c>
      <c r="K39" s="791">
        <f t="shared" si="6"/>
        <v>92.47</v>
      </c>
      <c r="L39" s="430">
        <v>0.3</v>
      </c>
      <c r="M39" s="650">
        <v>0.6</v>
      </c>
      <c r="O39" s="774">
        <v>105385</v>
      </c>
      <c r="P39" s="282">
        <v>113557</v>
      </c>
      <c r="Q39">
        <v>111120</v>
      </c>
      <c r="R39">
        <v>107507</v>
      </c>
    </row>
    <row r="40" spans="1:24" x14ac:dyDescent="0.35">
      <c r="A40" s="441">
        <v>9</v>
      </c>
      <c r="B40" s="432" t="s">
        <v>865</v>
      </c>
      <c r="C40" s="429">
        <f>HLOOKUP($C$4,$O$11:$R$41,30,FALSE)</f>
        <v>111740</v>
      </c>
      <c r="D40" s="429">
        <f t="shared" si="0"/>
        <v>0</v>
      </c>
      <c r="E40" s="429">
        <f t="shared" si="1"/>
        <v>111740</v>
      </c>
      <c r="F40" s="429">
        <f t="shared" si="2"/>
        <v>14164.320000000002</v>
      </c>
      <c r="G40" s="433">
        <f t="shared" si="3"/>
        <v>558.70000000000005</v>
      </c>
      <c r="H40" s="429">
        <f t="shared" si="4"/>
        <v>26571.772000000001</v>
      </c>
      <c r="I40" s="789">
        <f t="shared" si="5"/>
        <v>153034.79200000002</v>
      </c>
      <c r="J40" s="128">
        <v>1560</v>
      </c>
      <c r="K40" s="791">
        <f t="shared" si="6"/>
        <v>98.1</v>
      </c>
      <c r="L40" s="430">
        <v>0.3</v>
      </c>
      <c r="M40" s="650">
        <v>0.6</v>
      </c>
      <c r="O40" s="774">
        <v>111740</v>
      </c>
      <c r="P40" s="282">
        <v>119912</v>
      </c>
      <c r="Q40">
        <v>117475</v>
      </c>
      <c r="R40">
        <v>113862</v>
      </c>
    </row>
    <row r="41" spans="1:24" x14ac:dyDescent="0.35">
      <c r="A41" s="441">
        <v>9</v>
      </c>
      <c r="B41" s="432" t="s">
        <v>866</v>
      </c>
      <c r="C41" s="429">
        <f>HLOOKUP($C$4,$O$11:$R$41,31,FALSE)</f>
        <v>121271</v>
      </c>
      <c r="D41" s="429">
        <f t="shared" si="0"/>
        <v>0</v>
      </c>
      <c r="E41" s="429">
        <f t="shared" si="1"/>
        <v>121271</v>
      </c>
      <c r="F41" s="429">
        <f t="shared" si="2"/>
        <v>15479.598000000002</v>
      </c>
      <c r="G41" s="433">
        <f t="shared" si="3"/>
        <v>606.35500000000002</v>
      </c>
      <c r="H41" s="429">
        <f t="shared" si="4"/>
        <v>28838.2438</v>
      </c>
      <c r="I41" s="789">
        <f t="shared" si="5"/>
        <v>166195.19680000001</v>
      </c>
      <c r="J41" s="128">
        <v>1560</v>
      </c>
      <c r="K41" s="791">
        <f t="shared" si="6"/>
        <v>106.54</v>
      </c>
      <c r="L41" s="430">
        <v>0.3</v>
      </c>
      <c r="M41" s="650">
        <v>0.6</v>
      </c>
      <c r="O41" s="774">
        <v>121271</v>
      </c>
      <c r="P41" s="282">
        <v>129443</v>
      </c>
      <c r="Q41">
        <v>127006</v>
      </c>
      <c r="R41">
        <v>123393</v>
      </c>
    </row>
    <row r="42" spans="1:24" x14ac:dyDescent="0.35">
      <c r="A42" s="441" t="s">
        <v>870</v>
      </c>
      <c r="B42" s="149" t="s">
        <v>890</v>
      </c>
      <c r="C42" s="429">
        <v>73113</v>
      </c>
      <c r="D42" s="429">
        <f t="shared" si="0"/>
        <v>0</v>
      </c>
      <c r="E42" s="429">
        <f t="shared" si="1"/>
        <v>73113</v>
      </c>
      <c r="F42" s="429">
        <f t="shared" si="2"/>
        <v>8833.7939999999999</v>
      </c>
      <c r="G42" s="433">
        <f t="shared" si="3"/>
        <v>365.565</v>
      </c>
      <c r="H42" s="429">
        <f>C42*0.2068</f>
        <v>15119.768400000001</v>
      </c>
      <c r="I42" s="789">
        <f t="shared" si="5"/>
        <v>97432.127399999998</v>
      </c>
      <c r="J42" s="128">
        <f>W36</f>
        <v>1287</v>
      </c>
      <c r="K42" s="791">
        <f t="shared" si="6"/>
        <v>75.7</v>
      </c>
      <c r="L42" s="431">
        <v>0</v>
      </c>
      <c r="M42" s="651">
        <v>0</v>
      </c>
    </row>
    <row r="43" spans="1:24" x14ac:dyDescent="0.35">
      <c r="A43" s="441" t="s">
        <v>870</v>
      </c>
      <c r="B43" s="149" t="s">
        <v>891</v>
      </c>
      <c r="C43" s="429">
        <f>(C42+C44)/2</f>
        <v>91721.5</v>
      </c>
      <c r="D43" s="429">
        <f t="shared" si="0"/>
        <v>0</v>
      </c>
      <c r="E43" s="429">
        <f t="shared" si="1"/>
        <v>91721.5</v>
      </c>
      <c r="F43" s="429">
        <f t="shared" si="2"/>
        <v>11401.767000000002</v>
      </c>
      <c r="G43" s="433">
        <f t="shared" si="3"/>
        <v>458.60750000000002</v>
      </c>
      <c r="H43" s="429">
        <f>C43*0.2068</f>
        <v>18968.0062</v>
      </c>
      <c r="I43" s="789">
        <f t="shared" si="5"/>
        <v>122549.88070000001</v>
      </c>
      <c r="J43" s="128">
        <f>W36</f>
        <v>1287</v>
      </c>
      <c r="K43" s="791">
        <f t="shared" si="6"/>
        <v>95.22</v>
      </c>
      <c r="L43" s="431">
        <v>0</v>
      </c>
      <c r="M43" s="651">
        <v>0</v>
      </c>
    </row>
    <row r="44" spans="1:24" x14ac:dyDescent="0.35">
      <c r="A44" s="794" t="s">
        <v>870</v>
      </c>
      <c r="B44" s="795" t="s">
        <v>891</v>
      </c>
      <c r="C44" s="494">
        <v>110330</v>
      </c>
      <c r="D44" s="494">
        <f t="shared" si="0"/>
        <v>0</v>
      </c>
      <c r="E44" s="429">
        <f t="shared" si="1"/>
        <v>110330</v>
      </c>
      <c r="F44" s="429">
        <f t="shared" si="2"/>
        <v>13969.740000000002</v>
      </c>
      <c r="G44" s="433">
        <f t="shared" si="3"/>
        <v>551.65</v>
      </c>
      <c r="H44" s="494">
        <f>C44*0.2068</f>
        <v>22816.244000000002</v>
      </c>
      <c r="I44" s="789">
        <f t="shared" si="5"/>
        <v>147667.63399999999</v>
      </c>
      <c r="J44" s="128">
        <f>W36</f>
        <v>1287</v>
      </c>
      <c r="K44" s="791">
        <f t="shared" si="6"/>
        <v>114.74</v>
      </c>
      <c r="L44" s="431">
        <v>0</v>
      </c>
      <c r="M44" s="651">
        <v>0</v>
      </c>
    </row>
    <row r="45" spans="1:24" x14ac:dyDescent="0.35">
      <c r="A45" s="441" t="s">
        <v>867</v>
      </c>
      <c r="B45" s="149" t="s">
        <v>868</v>
      </c>
      <c r="C45" s="429">
        <v>105504</v>
      </c>
      <c r="D45" s="429">
        <f t="shared" si="0"/>
        <v>0</v>
      </c>
      <c r="E45" s="429">
        <f t="shared" si="1"/>
        <v>105504</v>
      </c>
      <c r="F45" s="429">
        <f t="shared" si="2"/>
        <v>13303.752</v>
      </c>
      <c r="G45" s="433">
        <f t="shared" si="3"/>
        <v>527.52</v>
      </c>
      <c r="H45" s="429">
        <f t="shared" si="4"/>
        <v>25088.851200000001</v>
      </c>
      <c r="I45" s="789">
        <f t="shared" si="5"/>
        <v>144424.1232</v>
      </c>
      <c r="J45" s="128">
        <v>1376</v>
      </c>
      <c r="K45" s="791">
        <f t="shared" si="6"/>
        <v>104.96</v>
      </c>
      <c r="L45" s="431">
        <v>0</v>
      </c>
      <c r="M45" s="651">
        <v>0</v>
      </c>
    </row>
    <row r="46" spans="1:24" x14ac:dyDescent="0.35">
      <c r="A46" s="441" t="s">
        <v>867</v>
      </c>
      <c r="B46" s="149" t="s">
        <v>720</v>
      </c>
      <c r="C46" s="429">
        <f>(4*114894+6*126018)/10</f>
        <v>121568.4</v>
      </c>
      <c r="D46" s="429">
        <f t="shared" si="0"/>
        <v>0</v>
      </c>
      <c r="E46" s="429">
        <f t="shared" si="1"/>
        <v>121568.4</v>
      </c>
      <c r="F46" s="429">
        <f t="shared" si="2"/>
        <v>15520.6392</v>
      </c>
      <c r="G46" s="433">
        <f t="shared" si="3"/>
        <v>607.84199999999998</v>
      </c>
      <c r="H46" s="429">
        <f t="shared" si="4"/>
        <v>28908.965520000002</v>
      </c>
      <c r="I46" s="789">
        <f t="shared" si="5"/>
        <v>166605.84672</v>
      </c>
      <c r="J46" s="128">
        <v>1376</v>
      </c>
      <c r="K46" s="791">
        <f t="shared" si="6"/>
        <v>121.08</v>
      </c>
      <c r="L46" s="431">
        <v>0</v>
      </c>
      <c r="M46" s="651">
        <v>0</v>
      </c>
    </row>
    <row r="47" spans="1:24" ht="15" thickBot="1" x14ac:dyDescent="0.4">
      <c r="A47" s="442" t="s">
        <v>867</v>
      </c>
      <c r="B47" s="434" t="s">
        <v>869</v>
      </c>
      <c r="C47" s="435">
        <v>139882</v>
      </c>
      <c r="D47" s="435">
        <f t="shared" si="0"/>
        <v>0</v>
      </c>
      <c r="E47" s="435">
        <f t="shared" si="1"/>
        <v>139882</v>
      </c>
      <c r="F47" s="435">
        <f t="shared" si="2"/>
        <v>18047.916000000001</v>
      </c>
      <c r="G47" s="796">
        <f t="shared" si="3"/>
        <v>699.41</v>
      </c>
      <c r="H47" s="435">
        <f t="shared" si="4"/>
        <v>33263.939600000005</v>
      </c>
      <c r="I47" s="436">
        <f t="shared" si="5"/>
        <v>191893.26560000001</v>
      </c>
      <c r="J47" s="797">
        <v>1376</v>
      </c>
      <c r="K47" s="652">
        <f t="shared" si="6"/>
        <v>139.46</v>
      </c>
      <c r="L47" s="653">
        <v>0</v>
      </c>
      <c r="M47" s="654">
        <v>0</v>
      </c>
    </row>
    <row r="96" ht="23.75" customHeight="1" x14ac:dyDescent="0.35"/>
    <row r="97" ht="55.5" customHeight="1" x14ac:dyDescent="0.35"/>
    <row r="98" ht="23.75" customHeight="1" x14ac:dyDescent="0.35"/>
    <row r="99" ht="23.75" customHeight="1" x14ac:dyDescent="0.35"/>
    <row r="100" ht="23.75" customHeight="1" x14ac:dyDescent="0.35"/>
    <row r="101" ht="23.75" customHeight="1" x14ac:dyDescent="0.35"/>
    <row r="102" ht="23.75" customHeight="1" x14ac:dyDescent="0.35"/>
  </sheetData>
  <sheetProtection algorithmName="SHA-512" hashValue="OloZIttfRlESHqrlVzifyFVB5UZLuiA1yZwrdx9abH5P1ZMIEeHJdfwmMkx5nI2YHExZCn32rRtCACAgjY8gYA==" saltValue="NqYWpb7+saQJLDt/X3bHnA==" spinCount="100000" sheet="1" objects="1" scenarios="1"/>
  <dataValidations count="1">
    <dataValidation type="list" allowBlank="1" showInputMessage="1" showErrorMessage="1" sqref="C4" xr:uid="{8C656652-8509-4D52-B78C-D2522BC66E5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R3" sqref="R3"/>
    </sheetView>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59" t="s">
        <v>10</v>
      </c>
      <c r="C2" s="357"/>
      <c r="D2" s="357"/>
      <c r="E2" s="357"/>
      <c r="F2" s="357"/>
      <c r="G2" s="357"/>
      <c r="H2" s="357"/>
      <c r="I2" s="357"/>
      <c r="J2" s="357"/>
      <c r="K2" s="357"/>
      <c r="L2" s="357"/>
      <c r="M2" s="357"/>
      <c r="N2" s="357"/>
      <c r="O2" s="357"/>
      <c r="P2" s="358"/>
    </row>
    <row r="5" spans="2:17" x14ac:dyDescent="0.35">
      <c r="B5" s="224" t="s">
        <v>11</v>
      </c>
      <c r="C5" s="373"/>
      <c r="D5" s="373"/>
      <c r="E5" s="373"/>
      <c r="F5" s="373"/>
      <c r="G5" s="373"/>
      <c r="H5" s="373"/>
      <c r="I5" s="373"/>
      <c r="J5" s="373"/>
      <c r="K5" s="373"/>
      <c r="L5" s="373"/>
      <c r="M5" s="373"/>
      <c r="N5" s="373"/>
      <c r="O5" s="373"/>
      <c r="P5" s="225"/>
    </row>
    <row r="6" spans="2:17" x14ac:dyDescent="0.35">
      <c r="B6" s="229" t="s">
        <v>12</v>
      </c>
      <c r="C6" s="222"/>
      <c r="D6" s="222"/>
      <c r="E6" s="222"/>
      <c r="F6" s="222"/>
      <c r="G6" s="222"/>
      <c r="H6" s="222"/>
      <c r="I6" s="222"/>
      <c r="J6" s="222"/>
      <c r="K6" s="222"/>
      <c r="L6" s="222"/>
      <c r="M6" s="222"/>
      <c r="N6" s="222"/>
      <c r="O6" s="222"/>
      <c r="P6" s="230"/>
    </row>
    <row r="7" spans="2:17" x14ac:dyDescent="0.35">
      <c r="B7" s="227" t="s">
        <v>13</v>
      </c>
      <c r="C7" s="226"/>
      <c r="D7" s="226"/>
      <c r="E7" s="226"/>
      <c r="F7" s="226"/>
      <c r="G7" s="226"/>
      <c r="H7" s="226"/>
      <c r="I7" s="226"/>
      <c r="J7" s="226"/>
      <c r="K7" s="226"/>
      <c r="L7" s="226"/>
      <c r="M7" s="226"/>
      <c r="N7" s="226"/>
      <c r="O7" s="226"/>
      <c r="P7" s="228"/>
    </row>
    <row r="9" spans="2:17" x14ac:dyDescent="0.35">
      <c r="N9" s="414"/>
      <c r="O9" s="414"/>
      <c r="P9" s="414"/>
    </row>
    <row r="10" spans="2:17" x14ac:dyDescent="0.35">
      <c r="B10" s="224"/>
      <c r="C10" s="373"/>
      <c r="D10" s="373"/>
      <c r="E10" s="373"/>
      <c r="F10" s="373"/>
      <c r="G10" s="373"/>
      <c r="H10" s="225"/>
      <c r="J10" s="224"/>
      <c r="K10" s="373"/>
      <c r="L10" s="373"/>
      <c r="M10" s="373"/>
      <c r="N10" s="222"/>
      <c r="O10" s="222"/>
      <c r="P10" s="222"/>
      <c r="Q10" s="159"/>
    </row>
    <row r="11" spans="2:17" ht="46.5" x14ac:dyDescent="0.35">
      <c r="B11" s="229"/>
      <c r="C11" s="344" t="s">
        <v>14</v>
      </c>
      <c r="D11" s="417"/>
      <c r="E11" s="344" t="s">
        <v>15</v>
      </c>
      <c r="F11" s="417"/>
      <c r="G11" s="413" t="s">
        <v>16</v>
      </c>
      <c r="H11" s="418"/>
      <c r="I11" s="345"/>
      <c r="J11" s="421"/>
      <c r="K11" s="346" t="s">
        <v>17</v>
      </c>
      <c r="L11" s="421"/>
      <c r="M11" s="346" t="s">
        <v>18</v>
      </c>
      <c r="N11" s="417"/>
      <c r="O11" s="346" t="s">
        <v>19</v>
      </c>
      <c r="P11" s="417"/>
      <c r="Q11" s="159"/>
    </row>
    <row r="12" spans="2:17" x14ac:dyDescent="0.35">
      <c r="B12" s="229"/>
      <c r="C12" s="222"/>
      <c r="D12" s="222"/>
      <c r="E12" s="222"/>
      <c r="F12" s="222"/>
      <c r="G12" s="222"/>
      <c r="H12" s="230"/>
      <c r="J12" s="229"/>
      <c r="K12" s="222"/>
      <c r="L12" s="222"/>
      <c r="M12" s="222"/>
      <c r="N12" s="222"/>
      <c r="O12" s="222"/>
      <c r="P12" s="222"/>
      <c r="Q12" s="159"/>
    </row>
    <row r="13" spans="2:17" ht="40.25" customHeight="1" x14ac:dyDescent="0.35">
      <c r="B13" s="229"/>
      <c r="C13" s="415"/>
      <c r="D13" s="196"/>
      <c r="E13" s="467" t="s">
        <v>20</v>
      </c>
      <c r="F13" s="196"/>
      <c r="G13" s="416"/>
      <c r="H13" s="230"/>
      <c r="J13" s="229"/>
      <c r="K13" s="415"/>
      <c r="L13" s="196"/>
      <c r="M13" s="468" t="s">
        <v>21</v>
      </c>
      <c r="N13" s="196"/>
      <c r="O13" s="416"/>
      <c r="P13" s="222"/>
      <c r="Q13" s="159"/>
    </row>
    <row r="14" spans="2:17" x14ac:dyDescent="0.35">
      <c r="B14" s="229"/>
      <c r="C14" s="222"/>
      <c r="D14" s="222"/>
      <c r="E14" s="222"/>
      <c r="F14" s="222"/>
      <c r="G14" s="222"/>
      <c r="H14" s="230"/>
      <c r="J14" s="229"/>
      <c r="K14" s="222"/>
      <c r="L14" s="222"/>
      <c r="M14" s="222"/>
      <c r="N14" s="222"/>
      <c r="O14" s="222"/>
      <c r="P14" s="222"/>
      <c r="Q14" s="159"/>
    </row>
    <row r="15" spans="2:17" ht="213.75" customHeight="1" x14ac:dyDescent="0.35">
      <c r="B15" s="229"/>
      <c r="C15" s="341" t="s">
        <v>22</v>
      </c>
      <c r="D15" s="419"/>
      <c r="E15" s="342" t="s">
        <v>23</v>
      </c>
      <c r="F15" s="419"/>
      <c r="G15" s="340" t="s">
        <v>24</v>
      </c>
      <c r="H15" s="420"/>
      <c r="I15" s="240"/>
      <c r="J15" s="422"/>
      <c r="K15" s="343" t="s">
        <v>25</v>
      </c>
      <c r="L15" s="422"/>
      <c r="M15" s="376" t="s">
        <v>26</v>
      </c>
      <c r="N15" s="419"/>
      <c r="O15" s="376" t="s">
        <v>27</v>
      </c>
      <c r="P15" s="419"/>
      <c r="Q15" s="159"/>
    </row>
    <row r="16" spans="2:17" x14ac:dyDescent="0.35">
      <c r="B16" s="227"/>
      <c r="C16" s="226"/>
      <c r="D16" s="226"/>
      <c r="E16" s="226"/>
      <c r="F16" s="226"/>
      <c r="G16" s="226"/>
      <c r="H16" s="228"/>
      <c r="J16" s="227"/>
      <c r="K16" s="226"/>
      <c r="L16" s="423"/>
      <c r="M16" s="423"/>
      <c r="N16" s="423"/>
      <c r="O16" s="423"/>
      <c r="P16" s="423"/>
      <c r="Q16" s="159"/>
    </row>
    <row r="19" spans="2:16" x14ac:dyDescent="0.35">
      <c r="B19" s="224"/>
      <c r="C19" s="373"/>
      <c r="D19" s="373"/>
      <c r="E19" s="373"/>
      <c r="F19" s="373"/>
      <c r="G19" s="373"/>
      <c r="H19" s="373"/>
      <c r="I19" s="373"/>
      <c r="J19" s="373"/>
      <c r="K19" s="373"/>
      <c r="L19" s="373"/>
      <c r="M19" s="373"/>
      <c r="N19" s="373"/>
      <c r="O19" s="373"/>
      <c r="P19" s="225"/>
    </row>
    <row r="20" spans="2:16" x14ac:dyDescent="0.35">
      <c r="B20" s="229" t="s">
        <v>28</v>
      </c>
      <c r="C20" s="222"/>
      <c r="D20" s="222"/>
      <c r="E20" s="222"/>
      <c r="F20" s="222"/>
      <c r="G20" s="222"/>
      <c r="H20" s="222"/>
      <c r="I20" s="222"/>
      <c r="J20" s="222"/>
      <c r="K20" s="222"/>
      <c r="L20" s="222"/>
      <c r="M20" s="222"/>
      <c r="N20" s="222"/>
      <c r="O20" s="222"/>
      <c r="P20" s="230"/>
    </row>
    <row r="21" spans="2:16" x14ac:dyDescent="0.35">
      <c r="B21" s="424" t="s">
        <v>29</v>
      </c>
      <c r="C21" s="222"/>
      <c r="D21" s="222"/>
      <c r="E21" s="222"/>
      <c r="F21" s="222"/>
      <c r="G21" s="222"/>
      <c r="H21" s="222"/>
      <c r="I21" s="222"/>
      <c r="J21" s="222"/>
      <c r="K21" s="222"/>
      <c r="L21" s="222"/>
      <c r="M21" s="222"/>
      <c r="N21" s="222"/>
      <c r="O21" s="222"/>
      <c r="P21" s="230"/>
    </row>
    <row r="22" spans="2:16" x14ac:dyDescent="0.35">
      <c r="B22" s="425" t="s">
        <v>30</v>
      </c>
      <c r="C22" s="222"/>
      <c r="D22" s="222"/>
      <c r="E22" s="222"/>
      <c r="F22" s="222"/>
      <c r="G22" s="222"/>
      <c r="H22" s="222"/>
      <c r="I22" s="222"/>
      <c r="J22" s="222"/>
      <c r="K22" s="222"/>
      <c r="L22" s="222"/>
      <c r="M22" s="222"/>
      <c r="N22" s="222"/>
      <c r="O22" s="222"/>
      <c r="P22" s="230"/>
    </row>
    <row r="23" spans="2:16" x14ac:dyDescent="0.35">
      <c r="B23" s="426" t="s">
        <v>31</v>
      </c>
      <c r="C23" s="222"/>
      <c r="D23" s="222"/>
      <c r="E23" s="222"/>
      <c r="F23" s="222"/>
      <c r="G23" s="222"/>
      <c r="H23" s="222"/>
      <c r="I23" s="222"/>
      <c r="J23" s="222"/>
      <c r="K23" s="222"/>
      <c r="L23" s="222"/>
      <c r="M23" s="222"/>
      <c r="N23" s="222"/>
      <c r="O23" s="222"/>
      <c r="P23" s="230"/>
    </row>
    <row r="24" spans="2:16" x14ac:dyDescent="0.35">
      <c r="B24" s="425" t="s">
        <v>32</v>
      </c>
      <c r="C24" s="222"/>
      <c r="D24" s="222"/>
      <c r="E24" s="222"/>
      <c r="F24" s="222"/>
      <c r="G24" s="222"/>
      <c r="H24" s="222"/>
      <c r="I24" s="222"/>
      <c r="J24" s="222"/>
      <c r="K24" s="222"/>
      <c r="L24" s="222"/>
      <c r="M24" s="222"/>
      <c r="N24" s="222"/>
      <c r="O24" s="222"/>
      <c r="P24" s="230"/>
    </row>
    <row r="25" spans="2:16" x14ac:dyDescent="0.35">
      <c r="B25" s="425" t="s">
        <v>33</v>
      </c>
      <c r="C25" s="222"/>
      <c r="D25" s="222"/>
      <c r="E25" s="222"/>
      <c r="F25" s="222"/>
      <c r="G25" s="222"/>
      <c r="H25" s="222"/>
      <c r="I25" s="222"/>
      <c r="J25" s="222"/>
      <c r="K25" s="222"/>
      <c r="L25" s="222"/>
      <c r="M25" s="222"/>
      <c r="N25" s="222"/>
      <c r="O25" s="222"/>
      <c r="P25" s="230"/>
    </row>
    <row r="26" spans="2:16" x14ac:dyDescent="0.35">
      <c r="B26" s="229"/>
      <c r="C26" s="222"/>
      <c r="D26" s="222"/>
      <c r="E26" s="222"/>
      <c r="F26" s="222"/>
      <c r="G26" s="222"/>
      <c r="H26" s="222"/>
      <c r="I26" s="222"/>
      <c r="J26" s="222"/>
      <c r="K26" s="222"/>
      <c r="L26" s="222"/>
      <c r="M26" s="222"/>
      <c r="N26" s="222"/>
      <c r="O26" s="222"/>
      <c r="P26" s="230"/>
    </row>
    <row r="27" spans="2:16" x14ac:dyDescent="0.35">
      <c r="B27" s="427" t="s">
        <v>34</v>
      </c>
      <c r="C27" s="222"/>
      <c r="D27" s="222"/>
      <c r="E27" s="222"/>
      <c r="F27" s="222"/>
      <c r="G27" s="222"/>
      <c r="H27" s="222"/>
      <c r="I27" s="222"/>
      <c r="J27" s="222"/>
      <c r="K27" s="222"/>
      <c r="L27" s="222"/>
      <c r="M27" s="222"/>
      <c r="N27" s="222"/>
      <c r="O27" s="222"/>
      <c r="P27" s="230"/>
    </row>
    <row r="28" spans="2:16" x14ac:dyDescent="0.35">
      <c r="B28" s="227"/>
      <c r="C28" s="226"/>
      <c r="D28" s="226"/>
      <c r="E28" s="226"/>
      <c r="F28" s="226"/>
      <c r="G28" s="226"/>
      <c r="H28" s="226"/>
      <c r="I28" s="226"/>
      <c r="J28" s="226"/>
      <c r="K28" s="226"/>
      <c r="L28" s="226"/>
      <c r="M28" s="226"/>
      <c r="N28" s="226"/>
      <c r="O28" s="226"/>
      <c r="P28" s="228"/>
    </row>
  </sheetData>
  <sheetProtection algorithmName="SHA-512" hashValue="nIws27XXxNlGqXZXum9iakL+HbLztHZLay00uE/msziHyYCxlMJe8V9RbNwFvIyOpMBSyLIOUYZ9KpEZ7GjAfQ==" saltValue="fyy0Nwc630V0/HUURS+8hw=="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79687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81640625" style="11" customWidth="1"/>
    <col min="14" max="14" width="22.54296875" style="11" customWidth="1"/>
    <col min="15" max="15" width="25.81640625" style="11" customWidth="1"/>
    <col min="16" max="16" width="10.81640625" style="11" customWidth="1"/>
    <col min="17" max="17" width="15.1796875" style="12" customWidth="1"/>
    <col min="18" max="18" width="20.1796875" style="12" customWidth="1"/>
    <col min="19" max="23" width="10.81640625" style="12" customWidth="1"/>
    <col min="24" max="42" width="10.81640625" style="12" hidden="1" customWidth="1"/>
    <col min="43" max="50" width="10.81640625" style="13" hidden="1" customWidth="1"/>
    <col min="51" max="100" width="10.81640625" style="1" hidden="1" customWidth="1"/>
    <col min="101" max="106" width="10.81640625" style="1" customWidth="1"/>
    <col min="107" max="190" width="10.81640625" style="11" hidden="1" customWidth="1"/>
    <col min="191" max="193" width="10.81640625" style="11" customWidth="1"/>
    <col min="194" max="194" width="10.453125" style="11" customWidth="1"/>
    <col min="195" max="16384" width="9.1796875" style="11"/>
  </cols>
  <sheetData>
    <row r="1" spans="2:106" x14ac:dyDescent="0.3">
      <c r="B1" s="9" t="s">
        <v>35</v>
      </c>
      <c r="C1" s="102"/>
      <c r="D1" s="22"/>
      <c r="E1" s="10" t="s">
        <v>36</v>
      </c>
      <c r="F1" s="7"/>
      <c r="G1" s="7"/>
    </row>
    <row r="3" spans="2:106" x14ac:dyDescent="0.3">
      <c r="B3" s="92" t="s">
        <v>37</v>
      </c>
      <c r="C3" s="473"/>
      <c r="D3" s="474"/>
      <c r="E3" s="474"/>
      <c r="F3" s="474"/>
      <c r="G3" s="93"/>
    </row>
    <row r="4" spans="2:106" x14ac:dyDescent="0.3">
      <c r="B4" s="94"/>
      <c r="C4" s="95"/>
      <c r="D4" s="7"/>
      <c r="E4" s="7"/>
      <c r="F4" s="7"/>
      <c r="G4" s="96"/>
      <c r="L4" s="9" t="s">
        <v>38</v>
      </c>
      <c r="M4" s="9" t="s">
        <v>38</v>
      </c>
      <c r="N4" s="9" t="s">
        <v>39</v>
      </c>
      <c r="O4" s="9" t="s">
        <v>39</v>
      </c>
      <c r="P4" s="9" t="s">
        <v>40</v>
      </c>
      <c r="R4" s="168" t="s">
        <v>41</v>
      </c>
      <c r="S4" s="168" t="s">
        <v>42</v>
      </c>
      <c r="T4" s="168" t="s">
        <v>43</v>
      </c>
      <c r="V4" s="168" t="s">
        <v>44</v>
      </c>
    </row>
    <row r="5" spans="2:106" ht="28" x14ac:dyDescent="0.3">
      <c r="B5" s="97" t="s">
        <v>45</v>
      </c>
      <c r="C5" s="95"/>
      <c r="D5" s="7"/>
      <c r="E5" s="7"/>
      <c r="F5" s="7"/>
      <c r="G5" s="96"/>
      <c r="L5" s="16" t="s">
        <v>46</v>
      </c>
      <c r="M5" s="16" t="s">
        <v>47</v>
      </c>
      <c r="N5" s="16" t="s">
        <v>48</v>
      </c>
      <c r="O5" s="16" t="s">
        <v>49</v>
      </c>
      <c r="P5" s="19"/>
      <c r="Q5" s="17"/>
      <c r="R5" s="16" t="s">
        <v>49</v>
      </c>
      <c r="S5" s="138" t="s">
        <v>50</v>
      </c>
      <c r="V5" s="139">
        <v>4</v>
      </c>
    </row>
    <row r="6" spans="2:106" x14ac:dyDescent="0.3">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0" t="s">
        <v>54</v>
      </c>
      <c r="S6" s="138" t="s">
        <v>55</v>
      </c>
      <c r="V6" s="139">
        <v>5</v>
      </c>
    </row>
    <row r="7" spans="2:106" x14ac:dyDescent="0.3">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0" t="s">
        <v>58</v>
      </c>
      <c r="S7" s="372"/>
      <c r="V7" s="139">
        <v>6</v>
      </c>
    </row>
    <row r="8" spans="2:106" ht="19.5" customHeight="1" x14ac:dyDescent="0.3">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ht="14.5" x14ac:dyDescent="0.35">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x14ac:dyDescent="0.3">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3">
      <c r="B12" s="15"/>
      <c r="D12" s="201" t="s">
        <v>72</v>
      </c>
      <c r="E12" s="201"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6.25" customHeight="1" x14ac:dyDescent="0.3">
      <c r="B13" s="202" t="s">
        <v>76</v>
      </c>
      <c r="C13" s="202" t="s">
        <v>77</v>
      </c>
      <c r="D13" s="26" t="s">
        <v>78</v>
      </c>
      <c r="E13" s="26" t="s">
        <v>79</v>
      </c>
      <c r="F13" s="202"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81">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3"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3">
      <c r="B15" s="203"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x14ac:dyDescent="0.3">
      <c r="B16" s="204" t="s">
        <v>87</v>
      </c>
      <c r="C16" s="205">
        <f>IF(C15&gt;0,C14,C15)</f>
        <v>57106398</v>
      </c>
      <c r="D16" s="205">
        <f>IF(D15&gt;0,D14,D15)</f>
        <v>21895402</v>
      </c>
      <c r="E16" s="205">
        <f>IF(E15&gt;0,E14,E15)</f>
        <v>23324090</v>
      </c>
      <c r="F16" s="205">
        <f>SUM(F15)</f>
        <v>45219492</v>
      </c>
      <c r="L16" s="22"/>
      <c r="M16" s="22"/>
      <c r="P16" s="370">
        <f>COUNTIF(P6:P14, TRUE)</f>
        <v>9</v>
      </c>
    </row>
    <row r="17" spans="1:194" x14ac:dyDescent="0.3">
      <c r="Q17" s="23"/>
      <c r="R17" s="23"/>
    </row>
    <row r="18" spans="1:194" ht="45.65" customHeight="1" x14ac:dyDescent="0.3">
      <c r="B18" s="90"/>
      <c r="C18" s="143"/>
      <c r="D18" s="26" t="s">
        <v>72</v>
      </c>
      <c r="E18" s="26" t="s">
        <v>72</v>
      </c>
      <c r="F18" s="90"/>
      <c r="I18" s="90"/>
      <c r="J18" s="90"/>
      <c r="K18" s="24"/>
      <c r="N18" s="24"/>
    </row>
    <row r="19" spans="1:194" ht="23.15" customHeight="1" x14ac:dyDescent="0.3">
      <c r="D19" s="206">
        <v>2</v>
      </c>
      <c r="E19" s="206">
        <v>3</v>
      </c>
      <c r="F19" s="206">
        <v>4</v>
      </c>
      <c r="G19" s="206">
        <v>5</v>
      </c>
      <c r="H19" s="206">
        <v>6</v>
      </c>
      <c r="K19" s="24"/>
    </row>
    <row r="20" spans="1:194" s="1" customFormat="1" ht="48" customHeight="1" x14ac:dyDescent="0.3">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475"/>
      <c r="AM20" s="475"/>
      <c r="AN20" s="475"/>
      <c r="AO20" s="475"/>
      <c r="AP20" s="475"/>
      <c r="AQ20" s="475"/>
      <c r="AR20" s="475"/>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5"/>
      <c r="CG20" s="475"/>
      <c r="CH20" s="475"/>
      <c r="CI20" s="475"/>
      <c r="CJ20" s="475"/>
      <c r="CK20" s="475"/>
      <c r="CL20" s="475"/>
      <c r="CM20" s="475"/>
      <c r="CN20" s="475"/>
      <c r="CO20" s="475"/>
      <c r="CP20" s="475"/>
      <c r="CQ20" s="475"/>
      <c r="CR20" s="475"/>
      <c r="CS20" s="475"/>
      <c r="CT20" s="475"/>
      <c r="CU20" s="475"/>
      <c r="CV20" s="475"/>
      <c r="CW20" s="475"/>
      <c r="CX20" s="475"/>
      <c r="CY20" s="126"/>
      <c r="CZ20" s="476" t="s">
        <v>94</v>
      </c>
      <c r="DA20" s="476"/>
      <c r="DB20" s="476"/>
      <c r="DC20" s="476"/>
      <c r="DD20" s="476"/>
      <c r="DE20" s="476"/>
      <c r="DF20" s="476"/>
      <c r="DG20" s="476"/>
      <c r="DH20" s="476"/>
      <c r="DI20" s="476"/>
      <c r="DJ20" s="476"/>
      <c r="DK20" s="476"/>
      <c r="DL20" s="476"/>
      <c r="DM20" s="476"/>
      <c r="DN20" s="476"/>
      <c r="DO20" s="476"/>
      <c r="DP20" s="476"/>
      <c r="DQ20" s="476"/>
      <c r="DR20" s="476"/>
      <c r="DS20" s="476"/>
      <c r="DT20" s="476"/>
      <c r="DU20" s="476"/>
      <c r="DV20" s="476"/>
      <c r="DW20" s="476"/>
      <c r="DX20" s="476"/>
      <c r="DY20" s="476"/>
      <c r="DZ20" s="476"/>
      <c r="EA20" s="476"/>
      <c r="EB20" s="476"/>
      <c r="EC20" s="476"/>
      <c r="ED20" s="476"/>
      <c r="EE20" s="476"/>
      <c r="EF20" s="476"/>
      <c r="EG20" s="476"/>
      <c r="EH20" s="476"/>
      <c r="EI20" s="476"/>
      <c r="EJ20" s="476"/>
      <c r="EK20" s="476"/>
      <c r="EL20" s="476"/>
      <c r="EM20" s="476"/>
      <c r="EN20" s="476"/>
      <c r="EO20" s="476"/>
      <c r="EP20" s="476"/>
      <c r="EQ20" s="476"/>
      <c r="ER20" s="476"/>
      <c r="ES20" s="476"/>
      <c r="ET20" s="476"/>
      <c r="EU20" s="476"/>
      <c r="EV20" s="476"/>
      <c r="EW20" s="476"/>
      <c r="EX20" s="476"/>
      <c r="EY20" s="476"/>
      <c r="EZ20" s="476"/>
      <c r="FA20" s="476"/>
      <c r="FB20" s="476"/>
      <c r="FC20" s="476"/>
      <c r="FD20" s="476"/>
      <c r="FE20" s="476"/>
      <c r="FF20" s="476"/>
      <c r="FG20" s="476"/>
      <c r="FH20" s="476"/>
      <c r="FI20" s="476"/>
      <c r="FJ20" s="476"/>
      <c r="FK20" s="476"/>
      <c r="FL20" s="476"/>
      <c r="FM20" s="476"/>
      <c r="FN20" s="476"/>
      <c r="FO20" s="476"/>
      <c r="FP20" s="476"/>
      <c r="FQ20" s="476"/>
      <c r="FR20" s="476"/>
      <c r="FS20" s="476"/>
      <c r="FT20" s="476"/>
      <c r="FU20" s="476"/>
      <c r="FV20" s="476"/>
      <c r="FW20" s="476"/>
      <c r="FX20" s="476"/>
      <c r="FY20" s="476"/>
      <c r="FZ20" s="476"/>
      <c r="GA20" s="476"/>
      <c r="GB20" s="476"/>
      <c r="GC20" s="476"/>
      <c r="GD20" s="476"/>
      <c r="GE20" s="476"/>
      <c r="GF20" s="476"/>
      <c r="GG20" s="476"/>
      <c r="GH20" s="476"/>
      <c r="GI20" s="476"/>
      <c r="GJ20" s="476"/>
      <c r="GK20" s="476"/>
      <c r="GL20" s="122"/>
    </row>
    <row r="21" spans="1:194" s="8" customFormat="1" ht="28" x14ac:dyDescent="0.3">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3">
      <c r="A22" s="30"/>
      <c r="B22" s="72"/>
      <c r="C22" s="60"/>
      <c r="D22" s="78"/>
      <c r="E22" s="78"/>
      <c r="F22" s="477"/>
      <c r="G22" s="477"/>
      <c r="H22" s="78"/>
      <c r="I22" s="78"/>
      <c r="J22" s="78"/>
      <c r="K22" s="477"/>
      <c r="L22" s="78"/>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AQ22" s="477"/>
      <c r="AR22" s="477"/>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7"/>
      <c r="CT22" s="477"/>
      <c r="CU22" s="477"/>
      <c r="CV22" s="477"/>
      <c r="CW22" s="477"/>
      <c r="CX22" s="477"/>
      <c r="CY22" s="78"/>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477"/>
      <c r="DV22" s="477"/>
      <c r="DW22" s="477"/>
      <c r="DX22" s="477"/>
      <c r="DY22" s="477"/>
      <c r="DZ22" s="477"/>
      <c r="EA22" s="477"/>
      <c r="EB22" s="477"/>
      <c r="EC22" s="477"/>
      <c r="ED22" s="477"/>
      <c r="EE22" s="477"/>
      <c r="EF22" s="477"/>
      <c r="EG22" s="477"/>
      <c r="EH22" s="477"/>
      <c r="EI22" s="477"/>
      <c r="EJ22" s="477"/>
      <c r="EK22" s="477"/>
      <c r="EL22" s="477"/>
      <c r="EM22" s="477"/>
      <c r="EN22" s="477"/>
      <c r="EO22" s="477"/>
      <c r="EP22" s="477"/>
      <c r="EQ22" s="477"/>
      <c r="ER22" s="477"/>
      <c r="ES22" s="477"/>
      <c r="ET22" s="477"/>
      <c r="EU22" s="477"/>
      <c r="EV22" s="477"/>
      <c r="EW22" s="477"/>
      <c r="EX22" s="477"/>
      <c r="EY22" s="477"/>
      <c r="EZ22" s="477"/>
      <c r="FA22" s="477"/>
      <c r="FB22" s="477"/>
      <c r="FC22" s="477"/>
      <c r="FD22" s="477"/>
      <c r="FE22" s="477"/>
      <c r="FF22" s="477"/>
      <c r="FG22" s="477"/>
      <c r="FH22" s="477"/>
      <c r="FI22" s="477"/>
      <c r="FJ22" s="477"/>
      <c r="FK22" s="477"/>
      <c r="FL22" s="477"/>
      <c r="FM22" s="477"/>
      <c r="FN22" s="477"/>
      <c r="FO22" s="477"/>
      <c r="FP22" s="477"/>
      <c r="FQ22" s="477"/>
      <c r="FR22" s="477"/>
      <c r="FS22" s="477"/>
      <c r="FT22" s="477"/>
      <c r="FU22" s="477"/>
      <c r="FV22" s="477"/>
      <c r="FW22" s="477"/>
      <c r="FX22" s="477"/>
      <c r="FY22" s="477"/>
      <c r="FZ22" s="477"/>
      <c r="GA22" s="477"/>
      <c r="GB22" s="477"/>
      <c r="GC22" s="477"/>
      <c r="GD22" s="477"/>
      <c r="GE22" s="477"/>
      <c r="GF22" s="477"/>
      <c r="GG22" s="477"/>
      <c r="GH22" s="477"/>
      <c r="GI22" s="477"/>
      <c r="GJ22" s="477"/>
      <c r="GK22" s="477"/>
      <c r="GL22" s="78"/>
    </row>
    <row r="23" spans="1:194" s="70" customFormat="1" ht="21.75" customHeight="1" x14ac:dyDescent="0.3">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56</v>
      </c>
      <c r="B25" s="522" t="s">
        <v>97</v>
      </c>
      <c r="C25" s="75" t="s">
        <v>98</v>
      </c>
      <c r="D25" s="77">
        <f t="shared" ref="D25:E27" si="3">I25</f>
        <v>21895402</v>
      </c>
      <c r="E25" s="77">
        <f t="shared" si="3"/>
        <v>23324090</v>
      </c>
      <c r="F25" s="478">
        <f>G25+H25</f>
        <v>57106398</v>
      </c>
      <c r="G25" s="478">
        <f>SUM(M25:CY25)</f>
        <v>27983290</v>
      </c>
      <c r="H25" s="76">
        <f>SUM(CZ25:GL25)</f>
        <v>29123108</v>
      </c>
      <c r="I25" s="76">
        <f>SUM(AE25:CY25)</f>
        <v>21895402</v>
      </c>
      <c r="J25" s="76">
        <f>SUM(DR25:GL25)</f>
        <v>23324090</v>
      </c>
      <c r="K25" s="479">
        <f>SUM(M25:AD25)</f>
        <v>6087888</v>
      </c>
      <c r="L25" s="77">
        <f>SUM(CZ25:DQ25)</f>
        <v>5799018</v>
      </c>
      <c r="M25" s="478">
        <v>305120</v>
      </c>
      <c r="N25" s="478">
        <v>303019</v>
      </c>
      <c r="O25" s="478">
        <v>314737</v>
      </c>
      <c r="P25" s="478">
        <v>321299</v>
      </c>
      <c r="Q25" s="478">
        <v>325230</v>
      </c>
      <c r="R25" s="478">
        <v>333023</v>
      </c>
      <c r="S25" s="478">
        <v>343154</v>
      </c>
      <c r="T25" s="478">
        <v>339729</v>
      </c>
      <c r="U25" s="478">
        <v>341966</v>
      </c>
      <c r="V25" s="478">
        <v>351482</v>
      </c>
      <c r="W25" s="478">
        <v>360539</v>
      </c>
      <c r="X25" s="478">
        <v>361688</v>
      </c>
      <c r="Y25" s="478">
        <v>356777</v>
      </c>
      <c r="Z25" s="478">
        <v>354079</v>
      </c>
      <c r="AA25" s="478">
        <v>357199</v>
      </c>
      <c r="AB25" s="478">
        <v>344190</v>
      </c>
      <c r="AC25" s="478">
        <v>336612</v>
      </c>
      <c r="AD25" s="478">
        <v>338045</v>
      </c>
      <c r="AE25" s="478">
        <v>339142</v>
      </c>
      <c r="AF25" s="478">
        <v>339234</v>
      </c>
      <c r="AG25" s="478">
        <v>338398</v>
      </c>
      <c r="AH25" s="478">
        <v>338465</v>
      </c>
      <c r="AI25" s="478">
        <v>345338</v>
      </c>
      <c r="AJ25" s="478">
        <v>358287</v>
      </c>
      <c r="AK25" s="478">
        <v>360304</v>
      </c>
      <c r="AL25" s="478">
        <v>365799</v>
      </c>
      <c r="AM25" s="478">
        <v>360324</v>
      </c>
      <c r="AN25" s="478">
        <v>364086</v>
      </c>
      <c r="AO25" s="478">
        <v>372653</v>
      </c>
      <c r="AP25" s="478">
        <v>372807</v>
      </c>
      <c r="AQ25" s="478">
        <v>383710</v>
      </c>
      <c r="AR25" s="478">
        <v>389563</v>
      </c>
      <c r="AS25" s="478">
        <v>387640</v>
      </c>
      <c r="AT25" s="478">
        <v>384620</v>
      </c>
      <c r="AU25" s="478">
        <v>387905</v>
      </c>
      <c r="AV25" s="478">
        <v>378829</v>
      </c>
      <c r="AW25" s="478">
        <v>378199</v>
      </c>
      <c r="AX25" s="478">
        <v>377186</v>
      </c>
      <c r="AY25" s="478">
        <v>365502</v>
      </c>
      <c r="AZ25" s="478">
        <v>366111</v>
      </c>
      <c r="BA25" s="478">
        <v>365728</v>
      </c>
      <c r="BB25" s="478">
        <v>369097</v>
      </c>
      <c r="BC25" s="478">
        <v>371802</v>
      </c>
      <c r="BD25" s="478">
        <v>357560</v>
      </c>
      <c r="BE25" s="478">
        <v>334069</v>
      </c>
      <c r="BF25" s="478">
        <v>328458</v>
      </c>
      <c r="BG25" s="478">
        <v>335746</v>
      </c>
      <c r="BH25" s="478">
        <v>342585</v>
      </c>
      <c r="BI25" s="478">
        <v>346685</v>
      </c>
      <c r="BJ25" s="478">
        <v>360442</v>
      </c>
      <c r="BK25" s="478">
        <v>373390</v>
      </c>
      <c r="BL25" s="478">
        <v>385375</v>
      </c>
      <c r="BM25" s="478">
        <v>375807</v>
      </c>
      <c r="BN25" s="478">
        <v>383988</v>
      </c>
      <c r="BO25" s="478">
        <v>382566</v>
      </c>
      <c r="BP25" s="478">
        <v>385629</v>
      </c>
      <c r="BQ25" s="478">
        <v>381742</v>
      </c>
      <c r="BR25" s="478">
        <v>381998</v>
      </c>
      <c r="BS25" s="478">
        <v>376164</v>
      </c>
      <c r="BT25" s="478">
        <v>367036</v>
      </c>
      <c r="BU25" s="478">
        <v>357672</v>
      </c>
      <c r="BV25" s="478">
        <v>344928</v>
      </c>
      <c r="BW25" s="478">
        <v>329857</v>
      </c>
      <c r="BX25" s="478">
        <v>319451</v>
      </c>
      <c r="BY25" s="478">
        <v>309724</v>
      </c>
      <c r="BZ25" s="478">
        <v>294558</v>
      </c>
      <c r="CA25" s="478">
        <v>282293</v>
      </c>
      <c r="CB25" s="478">
        <v>268536</v>
      </c>
      <c r="CC25" s="478">
        <v>266443</v>
      </c>
      <c r="CD25" s="478">
        <v>260410</v>
      </c>
      <c r="CE25" s="478">
        <v>249450</v>
      </c>
      <c r="CF25" s="478">
        <v>249080</v>
      </c>
      <c r="CG25" s="478">
        <v>249070</v>
      </c>
      <c r="CH25" s="478">
        <v>252982</v>
      </c>
      <c r="CI25" s="478">
        <v>263625</v>
      </c>
      <c r="CJ25" s="478">
        <v>283090</v>
      </c>
      <c r="CK25" s="478">
        <v>211587</v>
      </c>
      <c r="CL25" s="478">
        <v>200401</v>
      </c>
      <c r="CM25" s="478">
        <v>195036</v>
      </c>
      <c r="CN25" s="478">
        <v>174093</v>
      </c>
      <c r="CO25" s="478">
        <v>149572</v>
      </c>
      <c r="CP25" s="478">
        <v>127665</v>
      </c>
      <c r="CQ25" s="478">
        <v>127183</v>
      </c>
      <c r="CR25" s="478">
        <v>120061</v>
      </c>
      <c r="CS25" s="478">
        <v>109873</v>
      </c>
      <c r="CT25" s="478">
        <v>97456</v>
      </c>
      <c r="CU25" s="478">
        <v>84705</v>
      </c>
      <c r="CV25" s="478">
        <v>73428</v>
      </c>
      <c r="CW25" s="478">
        <v>60864</v>
      </c>
      <c r="CX25" s="478">
        <v>51376</v>
      </c>
      <c r="CY25" s="478">
        <v>170964</v>
      </c>
      <c r="CZ25" s="478">
        <v>291186</v>
      </c>
      <c r="DA25" s="478">
        <v>289546</v>
      </c>
      <c r="DB25" s="478">
        <v>300800</v>
      </c>
      <c r="DC25" s="478">
        <v>305906</v>
      </c>
      <c r="DD25" s="478">
        <v>310539</v>
      </c>
      <c r="DE25" s="478">
        <v>318263</v>
      </c>
      <c r="DF25" s="478">
        <v>326932</v>
      </c>
      <c r="DG25" s="478">
        <v>324633</v>
      </c>
      <c r="DH25" s="478">
        <v>326780</v>
      </c>
      <c r="DI25" s="478">
        <v>334543</v>
      </c>
      <c r="DJ25" s="478">
        <v>344341</v>
      </c>
      <c r="DK25" s="478">
        <v>343967</v>
      </c>
      <c r="DL25" s="478">
        <v>339949</v>
      </c>
      <c r="DM25" s="478">
        <v>337345</v>
      </c>
      <c r="DN25" s="478">
        <v>340474</v>
      </c>
      <c r="DO25" s="478">
        <v>326885</v>
      </c>
      <c r="DP25" s="478">
        <v>319023</v>
      </c>
      <c r="DQ25" s="478">
        <v>317906</v>
      </c>
      <c r="DR25" s="478">
        <v>318297</v>
      </c>
      <c r="DS25" s="478">
        <v>319325</v>
      </c>
      <c r="DT25" s="478">
        <v>325075</v>
      </c>
      <c r="DU25" s="478">
        <v>327194</v>
      </c>
      <c r="DV25" s="478">
        <v>333614</v>
      </c>
      <c r="DW25" s="478">
        <v>350669</v>
      </c>
      <c r="DX25" s="478">
        <v>358581</v>
      </c>
      <c r="DY25" s="478">
        <v>367839</v>
      </c>
      <c r="DZ25" s="478">
        <v>363988</v>
      </c>
      <c r="EA25" s="478">
        <v>374022</v>
      </c>
      <c r="EB25" s="478">
        <v>387522</v>
      </c>
      <c r="EC25" s="478">
        <v>390671</v>
      </c>
      <c r="ED25" s="478">
        <v>404331</v>
      </c>
      <c r="EE25" s="478">
        <v>410921</v>
      </c>
      <c r="EF25" s="478">
        <v>413176</v>
      </c>
      <c r="EG25" s="478">
        <v>411450</v>
      </c>
      <c r="EH25" s="478">
        <v>417983</v>
      </c>
      <c r="EI25" s="478">
        <v>409203</v>
      </c>
      <c r="EJ25" s="478">
        <v>404000</v>
      </c>
      <c r="EK25" s="478">
        <v>401928</v>
      </c>
      <c r="EL25" s="478">
        <v>389436</v>
      </c>
      <c r="EM25" s="478">
        <v>389518</v>
      </c>
      <c r="EN25" s="478">
        <v>386124</v>
      </c>
      <c r="EO25" s="478">
        <v>390735</v>
      </c>
      <c r="EP25" s="478">
        <v>390956</v>
      </c>
      <c r="EQ25" s="478">
        <v>373536</v>
      </c>
      <c r="ER25" s="478">
        <v>346385</v>
      </c>
      <c r="ES25" s="478">
        <v>339293</v>
      </c>
      <c r="ET25" s="478">
        <v>345871</v>
      </c>
      <c r="EU25" s="478">
        <v>353016</v>
      </c>
      <c r="EV25" s="478">
        <v>356906</v>
      </c>
      <c r="EW25" s="478">
        <v>370244</v>
      </c>
      <c r="EX25" s="478">
        <v>384214</v>
      </c>
      <c r="EY25" s="478">
        <v>399644</v>
      </c>
      <c r="EZ25" s="478">
        <v>389031</v>
      </c>
      <c r="FA25" s="478">
        <v>397139</v>
      </c>
      <c r="FB25" s="478">
        <v>395547</v>
      </c>
      <c r="FC25" s="478">
        <v>396676</v>
      </c>
      <c r="FD25" s="478">
        <v>396578</v>
      </c>
      <c r="FE25" s="478">
        <v>396708</v>
      </c>
      <c r="FF25" s="478">
        <v>390539</v>
      </c>
      <c r="FG25" s="478">
        <v>380695</v>
      </c>
      <c r="FH25" s="478">
        <v>371143</v>
      </c>
      <c r="FI25" s="478">
        <v>355407</v>
      </c>
      <c r="FJ25" s="478">
        <v>340408</v>
      </c>
      <c r="FK25" s="478">
        <v>331322</v>
      </c>
      <c r="FL25" s="478">
        <v>321164</v>
      </c>
      <c r="FM25" s="478">
        <v>308551</v>
      </c>
      <c r="FN25" s="478">
        <v>295719</v>
      </c>
      <c r="FO25" s="478">
        <v>284931</v>
      </c>
      <c r="FP25" s="478">
        <v>285437</v>
      </c>
      <c r="FQ25" s="478">
        <v>278929</v>
      </c>
      <c r="FR25" s="478">
        <v>271460</v>
      </c>
      <c r="FS25" s="478">
        <v>271487</v>
      </c>
      <c r="FT25" s="478">
        <v>275610</v>
      </c>
      <c r="FU25" s="478">
        <v>280129</v>
      </c>
      <c r="FV25" s="478">
        <v>294843</v>
      </c>
      <c r="FW25" s="478">
        <v>316380</v>
      </c>
      <c r="FX25" s="478">
        <v>240292</v>
      </c>
      <c r="FY25" s="478">
        <v>230370</v>
      </c>
      <c r="FZ25" s="478">
        <v>225985</v>
      </c>
      <c r="GA25" s="478">
        <v>206546</v>
      </c>
      <c r="GB25" s="478">
        <v>181398</v>
      </c>
      <c r="GC25" s="478">
        <v>159103</v>
      </c>
      <c r="GD25" s="478">
        <v>161482</v>
      </c>
      <c r="GE25" s="478">
        <v>155577</v>
      </c>
      <c r="GF25" s="478">
        <v>145759</v>
      </c>
      <c r="GG25" s="478">
        <v>132931</v>
      </c>
      <c r="GH25" s="478">
        <v>120255</v>
      </c>
      <c r="GI25" s="478">
        <v>107758</v>
      </c>
      <c r="GJ25" s="478">
        <v>93505</v>
      </c>
      <c r="GK25" s="478">
        <v>82264</v>
      </c>
      <c r="GL25" s="478">
        <v>349365</v>
      </c>
    </row>
    <row r="26" spans="1:194" s="8" customFormat="1" x14ac:dyDescent="0.3">
      <c r="A26" s="32" t="s">
        <v>56</v>
      </c>
      <c r="B26" s="523"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56</v>
      </c>
      <c r="B27" s="524"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525"/>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3" t="s">
        <v>83</v>
      </c>
      <c r="B29" s="526" t="s">
        <v>103</v>
      </c>
      <c r="C29" s="72" t="str">
        <f t="shared" ref="C29:C92" si="4">CONCATENATE(A29," - ",B29)</f>
        <v xml:space="preserve">England – CCGs - Barnsley </v>
      </c>
      <c r="D29" s="61">
        <f>I29</f>
        <v>95316</v>
      </c>
      <c r="E29" s="61">
        <f>J29</f>
        <v>100485</v>
      </c>
      <c r="F29" s="480">
        <f>G29+H29</f>
        <v>246482</v>
      </c>
      <c r="G29" s="480">
        <f>SUM(M29:CY29)</f>
        <v>121223</v>
      </c>
      <c r="H29" s="62">
        <f>SUM(CZ29:GL29)</f>
        <v>125259</v>
      </c>
      <c r="I29" s="62">
        <f>SUM(AE29:CY29)</f>
        <v>95316</v>
      </c>
      <c r="J29" s="62">
        <f>SUM(DR29:GL29)</f>
        <v>100485</v>
      </c>
      <c r="K29" s="481">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3">
      <c r="A30" s="87" t="s">
        <v>83</v>
      </c>
      <c r="B30" s="526"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3">
      <c r="A31" s="87" t="s">
        <v>83</v>
      </c>
      <c r="B31" s="526"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3">
      <c r="A32" s="87" t="s">
        <v>83</v>
      </c>
      <c r="B32" s="526"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3">
      <c r="A33" s="87" t="s">
        <v>83</v>
      </c>
      <c r="B33" s="526"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3">
      <c r="A34" s="87" t="s">
        <v>83</v>
      </c>
      <c r="B34" s="526"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3">
      <c r="A35" s="87" t="s">
        <v>83</v>
      </c>
      <c r="B35" s="526"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3">
      <c r="A36" s="87" t="s">
        <v>83</v>
      </c>
      <c r="B36" s="526"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3">
      <c r="A37" s="87" t="s">
        <v>83</v>
      </c>
      <c r="B37" s="526"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3">
      <c r="A38" s="87" t="s">
        <v>83</v>
      </c>
      <c r="B38" s="526"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3">
      <c r="A39" s="87" t="s">
        <v>83</v>
      </c>
      <c r="B39" s="526"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3">
      <c r="A40" s="87" t="s">
        <v>83</v>
      </c>
      <c r="B40" s="526"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3">
      <c r="A41" s="87" t="s">
        <v>83</v>
      </c>
      <c r="B41" s="526"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3">
      <c r="A42" s="87" t="s">
        <v>83</v>
      </c>
      <c r="B42" s="526"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3">
      <c r="A43" s="87" t="s">
        <v>83</v>
      </c>
      <c r="B43" s="526"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3">
      <c r="A44" s="87" t="s">
        <v>83</v>
      </c>
      <c r="B44" s="526"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3">
      <c r="A45" s="87" t="s">
        <v>83</v>
      </c>
      <c r="B45" s="526"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3">
      <c r="A46" s="87" t="s">
        <v>83</v>
      </c>
      <c r="B46" s="526"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3">
      <c r="A47" s="87" t="s">
        <v>83</v>
      </c>
      <c r="B47" s="526"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3">
      <c r="A48" s="87" t="s">
        <v>83</v>
      </c>
      <c r="B48" s="526"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3">
      <c r="A49" s="87" t="s">
        <v>83</v>
      </c>
      <c r="B49" s="526"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3">
      <c r="A50" s="87" t="s">
        <v>83</v>
      </c>
      <c r="B50" s="526"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3">
      <c r="A51" s="87" t="s">
        <v>83</v>
      </c>
      <c r="B51" s="526"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3">
      <c r="A52" s="87" t="s">
        <v>83</v>
      </c>
      <c r="B52" s="526"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3">
      <c r="A53" s="87" t="s">
        <v>83</v>
      </c>
      <c r="B53" s="526"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3">
      <c r="A54" s="87" t="s">
        <v>83</v>
      </c>
      <c r="B54" s="526"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3">
      <c r="A55" s="87" t="s">
        <v>83</v>
      </c>
      <c r="B55" s="526"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3">
      <c r="A56" s="87" t="s">
        <v>83</v>
      </c>
      <c r="B56" s="526"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3">
      <c r="A57" s="87" t="s">
        <v>83</v>
      </c>
      <c r="B57" s="526"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3">
      <c r="A58" s="87" t="s">
        <v>83</v>
      </c>
      <c r="B58" s="526"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3">
      <c r="A59" s="87" t="s">
        <v>83</v>
      </c>
      <c r="B59" s="526"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3">
      <c r="A60" s="87" t="s">
        <v>83</v>
      </c>
      <c r="B60" s="526"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3">
      <c r="A61" s="87" t="s">
        <v>83</v>
      </c>
      <c r="B61" s="526"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3">
      <c r="A62" s="87" t="s">
        <v>83</v>
      </c>
      <c r="B62" s="526"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3">
      <c r="A63" s="87" t="s">
        <v>83</v>
      </c>
      <c r="B63" s="526"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3">
      <c r="A64" s="87" t="s">
        <v>83</v>
      </c>
      <c r="B64" s="526"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3">
      <c r="A65" s="87" t="s">
        <v>83</v>
      </c>
      <c r="B65" s="526"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3">
      <c r="A66" s="87" t="s">
        <v>83</v>
      </c>
      <c r="B66" s="526"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3">
      <c r="A67" s="87" t="s">
        <v>83</v>
      </c>
      <c r="B67" s="526"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3">
      <c r="A68" s="87" t="s">
        <v>83</v>
      </c>
      <c r="B68" s="526"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3">
      <c r="A69" s="87" t="s">
        <v>83</v>
      </c>
      <c r="B69" s="526"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3">
      <c r="A70" s="87" t="s">
        <v>83</v>
      </c>
      <c r="B70" s="526"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3">
      <c r="A71" s="87" t="s">
        <v>83</v>
      </c>
      <c r="B71" s="526"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3">
      <c r="A72" s="87" t="s">
        <v>83</v>
      </c>
      <c r="B72" s="526"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3">
      <c r="A73" s="87" t="s">
        <v>83</v>
      </c>
      <c r="B73" s="526"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3">
      <c r="A74" s="87" t="s">
        <v>83</v>
      </c>
      <c r="B74" s="526"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3">
      <c r="A75" s="87" t="s">
        <v>83</v>
      </c>
      <c r="B75" s="526"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3">
      <c r="A76" s="87" t="s">
        <v>83</v>
      </c>
      <c r="B76" s="526"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3">
      <c r="A77" s="87" t="s">
        <v>83</v>
      </c>
      <c r="B77" s="526"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3">
      <c r="A78" s="87" t="s">
        <v>83</v>
      </c>
      <c r="B78" s="526"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3">
      <c r="A79" s="87" t="s">
        <v>83</v>
      </c>
      <c r="B79" s="526"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3">
      <c r="A80" s="87" t="s">
        <v>83</v>
      </c>
      <c r="B80" s="526"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3">
      <c r="A81" s="87" t="s">
        <v>83</v>
      </c>
      <c r="B81" s="526"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3">
      <c r="A82" s="87" t="s">
        <v>83</v>
      </c>
      <c r="B82" s="526"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3">
      <c r="A83" s="87" t="s">
        <v>83</v>
      </c>
      <c r="B83" s="526"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3">
      <c r="A84" s="87" t="s">
        <v>83</v>
      </c>
      <c r="B84" s="526"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3">
      <c r="A85" s="87" t="s">
        <v>83</v>
      </c>
      <c r="B85" s="526"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3">
      <c r="A86" s="87" t="s">
        <v>83</v>
      </c>
      <c r="B86" s="526"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3">
      <c r="A87" s="87" t="s">
        <v>83</v>
      </c>
      <c r="B87" s="526"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3">
      <c r="A88" s="87" t="s">
        <v>83</v>
      </c>
      <c r="B88" s="526"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3">
      <c r="A89" s="87" t="s">
        <v>83</v>
      </c>
      <c r="B89" s="526"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3">
      <c r="A90" s="87" t="s">
        <v>83</v>
      </c>
      <c r="B90" s="526"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3">
      <c r="A91" s="87" t="s">
        <v>83</v>
      </c>
      <c r="B91" s="526"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3">
      <c r="A92" s="87" t="s">
        <v>83</v>
      </c>
      <c r="B92" s="526"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3">
      <c r="A93" s="87" t="s">
        <v>83</v>
      </c>
      <c r="B93" s="526"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3">
      <c r="A94" s="87" t="s">
        <v>83</v>
      </c>
      <c r="B94" s="526"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3">
      <c r="A95" s="87" t="s">
        <v>83</v>
      </c>
      <c r="B95" s="526"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3">
      <c r="A96" s="87" t="s">
        <v>83</v>
      </c>
      <c r="B96" s="526"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3">
      <c r="A97" s="87" t="s">
        <v>83</v>
      </c>
      <c r="B97" s="526"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3">
      <c r="A98" s="87" t="s">
        <v>83</v>
      </c>
      <c r="B98" s="526"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3">
      <c r="A99" s="87" t="s">
        <v>83</v>
      </c>
      <c r="B99" s="526"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3">
      <c r="A100" s="87" t="s">
        <v>83</v>
      </c>
      <c r="B100" s="526"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3">
      <c r="A101" s="87" t="s">
        <v>83</v>
      </c>
      <c r="B101" s="526"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3">
      <c r="A102" s="87" t="s">
        <v>83</v>
      </c>
      <c r="B102" s="526"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3">
      <c r="A103" s="87" t="s">
        <v>83</v>
      </c>
      <c r="B103" s="526"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3">
      <c r="A104" s="87" t="s">
        <v>83</v>
      </c>
      <c r="B104" s="526"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3">
      <c r="A105" s="87" t="s">
        <v>83</v>
      </c>
      <c r="B105" s="526"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3">
      <c r="A106" s="87" t="s">
        <v>83</v>
      </c>
      <c r="B106" s="526"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3">
      <c r="A107" s="87" t="s">
        <v>83</v>
      </c>
      <c r="B107" s="526"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3">
      <c r="A108" s="87" t="s">
        <v>83</v>
      </c>
      <c r="B108" s="526"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3">
      <c r="A109" s="87" t="s">
        <v>83</v>
      </c>
      <c r="B109" s="526"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3">
      <c r="A110" s="87" t="s">
        <v>83</v>
      </c>
      <c r="B110" s="526"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3">
      <c r="A111" s="87" t="s">
        <v>83</v>
      </c>
      <c r="B111" s="526"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3">
      <c r="A112" s="87" t="s">
        <v>83</v>
      </c>
      <c r="B112" s="526"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3">
      <c r="A113" s="87" t="s">
        <v>83</v>
      </c>
      <c r="B113" s="526"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3">
      <c r="A114" s="87" t="s">
        <v>83</v>
      </c>
      <c r="B114" s="526"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3">
      <c r="A115" s="87" t="s">
        <v>83</v>
      </c>
      <c r="B115" s="526"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3">
      <c r="A116" s="87" t="s">
        <v>83</v>
      </c>
      <c r="B116" s="526"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3">
      <c r="A117" s="87" t="s">
        <v>83</v>
      </c>
      <c r="B117" s="526"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3">
      <c r="A118" s="87" t="s">
        <v>83</v>
      </c>
      <c r="B118" s="526"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3">
      <c r="A119" s="87" t="s">
        <v>83</v>
      </c>
      <c r="B119" s="526"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3">
      <c r="A120" s="87" t="s">
        <v>83</v>
      </c>
      <c r="B120" s="526"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3">
      <c r="A121" s="87" t="s">
        <v>83</v>
      </c>
      <c r="B121" s="526"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3">
      <c r="A122" s="87" t="s">
        <v>83</v>
      </c>
      <c r="B122" s="526"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3">
      <c r="A123" s="87" t="s">
        <v>83</v>
      </c>
      <c r="B123" s="526"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3">
      <c r="A124" s="87" t="s">
        <v>83</v>
      </c>
      <c r="B124" s="526"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3">
      <c r="A125" s="87" t="s">
        <v>83</v>
      </c>
      <c r="B125" s="526"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3">
      <c r="A126" s="87" t="s">
        <v>83</v>
      </c>
      <c r="B126" s="526"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3">
      <c r="A127" s="87" t="s">
        <v>83</v>
      </c>
      <c r="B127" s="526"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3">
      <c r="A128" s="87" t="s">
        <v>83</v>
      </c>
      <c r="B128" s="526"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3">
      <c r="A129" s="87" t="s">
        <v>83</v>
      </c>
      <c r="B129" s="526"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3">
      <c r="A130" s="87" t="s">
        <v>83</v>
      </c>
      <c r="B130" s="526"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3">
      <c r="A131" s="87" t="s">
        <v>83</v>
      </c>
      <c r="B131" s="526"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3">
      <c r="A132" s="87" t="s">
        <v>83</v>
      </c>
      <c r="B132" s="526"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3">
      <c r="A133" s="87" t="s">
        <v>83</v>
      </c>
      <c r="B133" s="526"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3">
      <c r="A134" s="87" t="s">
        <v>83</v>
      </c>
      <c r="B134" s="526"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3">
      <c r="A135" s="113"/>
      <c r="B135" s="527"/>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3">
      <c r="A136" s="54" t="s">
        <v>62</v>
      </c>
      <c r="B136" s="528"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3">
      <c r="A137" s="54" t="s">
        <v>62</v>
      </c>
      <c r="B137" s="529"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3">
      <c r="A138" s="54" t="s">
        <v>62</v>
      </c>
      <c r="B138" s="529"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3">
      <c r="A139" s="54" t="s">
        <v>62</v>
      </c>
      <c r="B139" s="529"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3">
      <c r="A140" s="54" t="s">
        <v>62</v>
      </c>
      <c r="B140" s="529"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3">
      <c r="A141" s="54" t="s">
        <v>62</v>
      </c>
      <c r="B141" s="529"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3">
      <c r="A142" s="55" t="s">
        <v>62</v>
      </c>
      <c r="B142" s="530"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3">
      <c r="A143" s="117"/>
      <c r="B143" s="531"/>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3">
      <c r="A144" s="59" t="s">
        <v>65</v>
      </c>
      <c r="B144" s="528" t="s">
        <v>216</v>
      </c>
      <c r="C144" s="72" t="str">
        <f>CONCATENATE(A144," - ",B144)</f>
        <v>NI – Health and Social Care Trusts - Belfast Health and Social Care Trust</v>
      </c>
      <c r="D144" s="61">
        <f t="shared" ref="D144:E148" si="33">I144</f>
        <v>138553.97738288154</v>
      </c>
      <c r="E144" s="61">
        <f t="shared" si="33"/>
        <v>149546.65719477332</v>
      </c>
      <c r="F144" s="480">
        <f>G144+H144</f>
        <v>364103.61922965694</v>
      </c>
      <c r="G144" s="480">
        <f>SUM(M144:CY144)</f>
        <v>177508.17393508262</v>
      </c>
      <c r="H144" s="62">
        <f>SUM(CZ144:GL144)</f>
        <v>186595.44529457431</v>
      </c>
      <c r="I144" s="62">
        <f>SUM(AE144:CY144)</f>
        <v>138553.97738288154</v>
      </c>
      <c r="J144" s="62">
        <f>SUM(DR144:GL144)</f>
        <v>149546.65719477332</v>
      </c>
      <c r="K144" s="481">
        <f>SUM(M144:AD144)</f>
        <v>38954.196552201036</v>
      </c>
      <c r="L144" s="61">
        <f>SUM(CZ144:DQ144)</f>
        <v>37048.788099800979</v>
      </c>
      <c r="M144" s="481">
        <v>2017.8952120383037</v>
      </c>
      <c r="N144" s="481">
        <v>2031.4154300095463</v>
      </c>
      <c r="O144" s="481">
        <v>2025.5722779004586</v>
      </c>
      <c r="P144" s="481">
        <v>2036.6363244919048</v>
      </c>
      <c r="Q144" s="481">
        <v>2174.8657606103957</v>
      </c>
      <c r="R144" s="481">
        <v>2139.1275684252282</v>
      </c>
      <c r="S144" s="481">
        <v>2269.8788621098379</v>
      </c>
      <c r="T144" s="481">
        <v>2199.8731034482757</v>
      </c>
      <c r="U144" s="481">
        <v>2214.1918960244648</v>
      </c>
      <c r="V144" s="481">
        <v>2323.0202012443356</v>
      </c>
      <c r="W144" s="481">
        <v>2319.2258355916892</v>
      </c>
      <c r="X144" s="481">
        <v>2302.9974595842955</v>
      </c>
      <c r="Y144" s="481">
        <v>2256.5049293083684</v>
      </c>
      <c r="Z144" s="481">
        <v>2212.0418107754977</v>
      </c>
      <c r="AA144" s="481">
        <v>2229.1199141767324</v>
      </c>
      <c r="AB144" s="481">
        <v>2134.8894582108355</v>
      </c>
      <c r="AC144" s="481">
        <v>2012.6591474539725</v>
      </c>
      <c r="AD144" s="481">
        <v>2054.2813607968933</v>
      </c>
      <c r="AE144" s="481">
        <v>2265.0450211864404</v>
      </c>
      <c r="AF144" s="481">
        <v>2804.7232134687529</v>
      </c>
      <c r="AG144" s="481">
        <v>2878.6458486407055</v>
      </c>
      <c r="AH144" s="481">
        <v>2648.2416475163518</v>
      </c>
      <c r="AI144" s="481">
        <v>2812.8031562871206</v>
      </c>
      <c r="AJ144" s="481">
        <v>2819.1729711141679</v>
      </c>
      <c r="AK144" s="481">
        <v>2731.7522704339053</v>
      </c>
      <c r="AL144" s="481">
        <v>2754.8174718956493</v>
      </c>
      <c r="AM144" s="481">
        <v>2792.2450211225105</v>
      </c>
      <c r="AN144" s="481">
        <v>2709.9772329246935</v>
      </c>
      <c r="AO144" s="481">
        <v>2693.0545391183132</v>
      </c>
      <c r="AP144" s="481">
        <v>2739.741847362131</v>
      </c>
      <c r="AQ144" s="481">
        <v>2738.9105892047796</v>
      </c>
      <c r="AR144" s="481">
        <v>2711.0666008067833</v>
      </c>
      <c r="AS144" s="481">
        <v>2782.8070289619263</v>
      </c>
      <c r="AT144" s="481">
        <v>2691.3420944220152</v>
      </c>
      <c r="AU144" s="481">
        <v>2575.2371291098634</v>
      </c>
      <c r="AV144" s="481">
        <v>2616.3572226656024</v>
      </c>
      <c r="AW144" s="481">
        <v>2585.9089460686691</v>
      </c>
      <c r="AX144" s="481">
        <v>2533.264568094025</v>
      </c>
      <c r="AY144" s="481">
        <v>2413.1614349775782</v>
      </c>
      <c r="AZ144" s="481">
        <v>2431.4496314496314</v>
      </c>
      <c r="BA144" s="481">
        <v>2293.8903732491299</v>
      </c>
      <c r="BB144" s="481">
        <v>2344.819097470061</v>
      </c>
      <c r="BC144" s="481">
        <v>2403.7633319021038</v>
      </c>
      <c r="BD144" s="481">
        <v>2239.8626248466794</v>
      </c>
      <c r="BE144" s="481">
        <v>2047.4737312365976</v>
      </c>
      <c r="BF144" s="481">
        <v>2052.8353243075835</v>
      </c>
      <c r="BG144" s="481">
        <v>1984.3233076189651</v>
      </c>
      <c r="BH144" s="481">
        <v>1967.3126347206103</v>
      </c>
      <c r="BI144" s="481">
        <v>1977.5348837209303</v>
      </c>
      <c r="BJ144" s="481">
        <v>2084.857469993683</v>
      </c>
      <c r="BK144" s="481">
        <v>2131.2999446158715</v>
      </c>
      <c r="BL144" s="481">
        <v>2143.6819436775263</v>
      </c>
      <c r="BM144" s="481">
        <v>2073.8563380281689</v>
      </c>
      <c r="BN144" s="481">
        <v>2300.7910402197972</v>
      </c>
      <c r="BO144" s="481">
        <v>2326.6164287385909</v>
      </c>
      <c r="BP144" s="481">
        <v>2307.9060786106033</v>
      </c>
      <c r="BQ144" s="481">
        <v>2344.6145362640732</v>
      </c>
      <c r="BR144" s="481">
        <v>2368.012116504854</v>
      </c>
      <c r="BS144" s="481">
        <v>2252.978437722139</v>
      </c>
      <c r="BT144" s="481">
        <v>2241.3179516972359</v>
      </c>
      <c r="BU144" s="481">
        <v>2297.6054466954502</v>
      </c>
      <c r="BV144" s="481">
        <v>2198.0522088353414</v>
      </c>
      <c r="BW144" s="481">
        <v>2021.5031326614003</v>
      </c>
      <c r="BX144" s="481">
        <v>2002.5265144540601</v>
      </c>
      <c r="BY144" s="481">
        <v>1890.3538506703198</v>
      </c>
      <c r="BZ144" s="481">
        <v>1822.7951142631994</v>
      </c>
      <c r="CA144" s="481">
        <v>1687.8206664564279</v>
      </c>
      <c r="CB144" s="481">
        <v>1588.8602704443015</v>
      </c>
      <c r="CC144" s="481">
        <v>1552.3684032476319</v>
      </c>
      <c r="CD144" s="481">
        <v>1527.1244533743056</v>
      </c>
      <c r="CE144" s="481">
        <v>1273.9034871433603</v>
      </c>
      <c r="CF144" s="481">
        <v>1290.2680573978055</v>
      </c>
      <c r="CG144" s="481">
        <v>1292.323121170439</v>
      </c>
      <c r="CH144" s="481">
        <v>1203.3575933400607</v>
      </c>
      <c r="CI144" s="481">
        <v>1137.5975561687032</v>
      </c>
      <c r="CJ144" s="481">
        <v>1181.2559576345984</v>
      </c>
      <c r="CK144" s="481">
        <v>1033.272138554217</v>
      </c>
      <c r="CL144" s="481">
        <v>966.99722735674675</v>
      </c>
      <c r="CM144" s="481">
        <v>986.02355350742448</v>
      </c>
      <c r="CN144" s="481">
        <v>974.00968523002427</v>
      </c>
      <c r="CO144" s="481">
        <v>796.9</v>
      </c>
      <c r="CP144" s="481">
        <v>696.19117288466236</v>
      </c>
      <c r="CQ144" s="481">
        <v>621.99595857539782</v>
      </c>
      <c r="CR144" s="481">
        <v>600.77992957746471</v>
      </c>
      <c r="CS144" s="481">
        <v>583.85111740635818</v>
      </c>
      <c r="CT144" s="481">
        <v>522.79582712369597</v>
      </c>
      <c r="CU144" s="481">
        <v>452.41860465116281</v>
      </c>
      <c r="CV144" s="481">
        <v>372.84571129707109</v>
      </c>
      <c r="CW144" s="481">
        <v>312.34061135371184</v>
      </c>
      <c r="CX144" s="481">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3">
      <c r="A145" s="59" t="s">
        <v>65</v>
      </c>
      <c r="B145" s="529"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3">
      <c r="A146" s="59" t="s">
        <v>65</v>
      </c>
      <c r="B146" s="529"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3">
      <c r="A147" s="59" t="s">
        <v>65</v>
      </c>
      <c r="B147" s="529"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3">
      <c r="A148" s="63" t="s">
        <v>65</v>
      </c>
      <c r="B148" s="530"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3">
      <c r="A149" s="117"/>
      <c r="B149" s="531"/>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3">
      <c r="A150" s="73" t="s">
        <v>60</v>
      </c>
      <c r="B150" s="532" t="s">
        <v>221</v>
      </c>
      <c r="C150" s="72" t="str">
        <f>CONCATENATE(A150," - ",B150)</f>
        <v>NHSE regions - East of England</v>
      </c>
      <c r="D150" s="61">
        <f t="shared" ref="D150:E156" si="35">I150</f>
        <v>2447757</v>
      </c>
      <c r="E150" s="61">
        <f t="shared" si="35"/>
        <v>2602371</v>
      </c>
      <c r="F150" s="480">
        <f t="shared" ref="F150:F156" si="36">G150+H150</f>
        <v>6398497</v>
      </c>
      <c r="G150" s="480">
        <f t="shared" ref="G150:G156" si="37">SUM(M150:CY150)</f>
        <v>3138914</v>
      </c>
      <c r="H150" s="62">
        <f t="shared" ref="H150:H156" si="38">SUM(CZ150:GL150)</f>
        <v>3259583</v>
      </c>
      <c r="I150" s="62">
        <f t="shared" ref="I150:I156" si="39">SUM(AE150:CY150)</f>
        <v>2447757</v>
      </c>
      <c r="J150" s="62">
        <f t="shared" ref="J150:J156" si="40">SUM(DR150:GL150)</f>
        <v>2602371</v>
      </c>
      <c r="K150" s="481">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3">
      <c r="A151" s="64" t="s">
        <v>60</v>
      </c>
      <c r="B151" s="532"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3">
      <c r="A152" s="64" t="s">
        <v>60</v>
      </c>
      <c r="B152" s="532"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3">
      <c r="A153" s="64" t="s">
        <v>60</v>
      </c>
      <c r="B153" s="532"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3">
      <c r="A154" s="64" t="s">
        <v>60</v>
      </c>
      <c r="B154" s="532"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3">
      <c r="A155" s="64" t="s">
        <v>60</v>
      </c>
      <c r="B155" s="532"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60</v>
      </c>
      <c r="B156" s="532"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533"/>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79"/>
      <c r="O157" s="479"/>
      <c r="P157" s="479"/>
      <c r="Q157" s="479"/>
      <c r="R157" s="479"/>
      <c r="S157" s="479"/>
      <c r="T157" s="479"/>
      <c r="U157" s="479"/>
      <c r="V157" s="479"/>
      <c r="W157" s="479"/>
      <c r="X157" s="479"/>
      <c r="Y157" s="479"/>
      <c r="Z157" s="479"/>
      <c r="AA157" s="479"/>
      <c r="AB157" s="479"/>
      <c r="AC157" s="479"/>
      <c r="AD157" s="479"/>
      <c r="AE157" s="479"/>
      <c r="AF157" s="479"/>
      <c r="AG157" s="479"/>
      <c r="AH157" s="479"/>
      <c r="AI157" s="479"/>
      <c r="AJ157" s="479"/>
      <c r="AK157" s="479"/>
      <c r="AL157" s="479"/>
      <c r="AM157" s="479"/>
      <c r="AN157" s="479"/>
      <c r="AO157" s="479"/>
      <c r="AP157" s="479"/>
      <c r="AQ157" s="479"/>
      <c r="AR157" s="479"/>
      <c r="AS157" s="479"/>
      <c r="AT157" s="479"/>
      <c r="AU157" s="479"/>
      <c r="AV157" s="479"/>
      <c r="AW157" s="479"/>
      <c r="AX157" s="479"/>
      <c r="AY157" s="479"/>
      <c r="AZ157" s="479"/>
      <c r="BA157" s="479"/>
      <c r="BB157" s="479"/>
      <c r="BC157" s="479"/>
      <c r="BD157" s="479"/>
      <c r="BE157" s="479"/>
      <c r="BF157" s="479"/>
      <c r="BG157" s="479"/>
      <c r="BH157" s="479"/>
      <c r="BI157" s="479"/>
      <c r="BJ157" s="479"/>
      <c r="BK157" s="479"/>
      <c r="BL157" s="479"/>
      <c r="BM157" s="479"/>
      <c r="BN157" s="479"/>
      <c r="BO157" s="479"/>
      <c r="BP157" s="479"/>
      <c r="BQ157" s="479"/>
      <c r="BR157" s="479"/>
      <c r="BS157" s="479"/>
      <c r="BT157" s="479"/>
      <c r="BU157" s="479"/>
      <c r="BV157" s="479"/>
      <c r="BW157" s="479"/>
      <c r="BX157" s="479"/>
      <c r="BY157" s="479"/>
      <c r="BZ157" s="479"/>
      <c r="CA157" s="479"/>
      <c r="CB157" s="479"/>
      <c r="CC157" s="479"/>
      <c r="CD157" s="479"/>
      <c r="CE157" s="479"/>
      <c r="CF157" s="479"/>
      <c r="CG157" s="479"/>
      <c r="CH157" s="479"/>
      <c r="CI157" s="479"/>
      <c r="CJ157" s="479"/>
      <c r="CK157" s="479"/>
      <c r="CL157" s="479"/>
      <c r="CM157" s="479"/>
      <c r="CN157" s="479"/>
      <c r="CO157" s="479"/>
      <c r="CP157" s="479"/>
      <c r="CQ157" s="479"/>
      <c r="CR157" s="479"/>
      <c r="CS157" s="479"/>
      <c r="CT157" s="479"/>
      <c r="CU157" s="479"/>
      <c r="CV157" s="479"/>
      <c r="CW157" s="479"/>
      <c r="CX157" s="479"/>
      <c r="CY157" s="77"/>
      <c r="CZ157" s="119"/>
      <c r="DA157" s="479"/>
      <c r="DB157" s="479"/>
      <c r="DC157" s="479"/>
      <c r="DD157" s="479"/>
      <c r="DE157" s="479"/>
      <c r="DF157" s="479"/>
      <c r="DG157" s="479"/>
      <c r="DH157" s="479"/>
      <c r="DI157" s="479"/>
      <c r="DJ157" s="479"/>
      <c r="DK157" s="479"/>
      <c r="DL157" s="479"/>
      <c r="DM157" s="479"/>
      <c r="DN157" s="479"/>
      <c r="DO157" s="479"/>
      <c r="DP157" s="479"/>
      <c r="DQ157" s="479"/>
      <c r="DR157" s="479"/>
      <c r="DS157" s="479"/>
      <c r="DT157" s="479"/>
      <c r="DU157" s="479"/>
      <c r="DV157" s="479"/>
      <c r="DW157" s="479"/>
      <c r="DX157" s="479"/>
      <c r="DY157" s="479"/>
      <c r="DZ157" s="479"/>
      <c r="EA157" s="479"/>
      <c r="EB157" s="479"/>
      <c r="EC157" s="479"/>
      <c r="ED157" s="479"/>
      <c r="EE157" s="479"/>
      <c r="EF157" s="479"/>
      <c r="EG157" s="479"/>
      <c r="EH157" s="479"/>
      <c r="EI157" s="479"/>
      <c r="EJ157" s="479"/>
      <c r="EK157" s="479"/>
      <c r="EL157" s="479"/>
      <c r="EM157" s="479"/>
      <c r="EN157" s="479"/>
      <c r="EO157" s="479"/>
      <c r="EP157" s="479"/>
      <c r="EQ157" s="479"/>
      <c r="ER157" s="479"/>
      <c r="ES157" s="479"/>
      <c r="ET157" s="479"/>
      <c r="EU157" s="479"/>
      <c r="EV157" s="479"/>
      <c r="EW157" s="479"/>
      <c r="EX157" s="479"/>
      <c r="EY157" s="479"/>
      <c r="EZ157" s="479"/>
      <c r="FA157" s="479"/>
      <c r="FB157" s="479"/>
      <c r="FC157" s="479"/>
      <c r="FD157" s="479"/>
      <c r="FE157" s="479"/>
      <c r="FF157" s="479"/>
      <c r="FG157" s="479"/>
      <c r="FH157" s="479"/>
      <c r="FI157" s="479"/>
      <c r="FJ157" s="479"/>
      <c r="FK157" s="479"/>
      <c r="FL157" s="479"/>
      <c r="FM157" s="479"/>
      <c r="FN157" s="479"/>
      <c r="FO157" s="479"/>
      <c r="FP157" s="479"/>
      <c r="FQ157" s="479"/>
      <c r="FR157" s="479"/>
      <c r="FS157" s="479"/>
      <c r="FT157" s="479"/>
      <c r="FU157" s="479"/>
      <c r="FV157" s="479"/>
      <c r="FW157" s="479"/>
      <c r="FX157" s="479"/>
      <c r="FY157" s="479"/>
      <c r="FZ157" s="479"/>
      <c r="GA157" s="479"/>
      <c r="GB157" s="479"/>
      <c r="GC157" s="479"/>
      <c r="GD157" s="479"/>
      <c r="GE157" s="479"/>
      <c r="GF157" s="479"/>
      <c r="GG157" s="479"/>
      <c r="GH157" s="479"/>
      <c r="GI157" s="479"/>
      <c r="GJ157" s="479"/>
      <c r="GK157" s="479"/>
      <c r="GL157" s="77"/>
    </row>
    <row r="158" spans="1:194" s="1" customFormat="1" x14ac:dyDescent="0.3">
      <c r="A158" s="108" t="s">
        <v>52</v>
      </c>
      <c r="B158" s="534" t="s">
        <v>228</v>
      </c>
      <c r="C158" s="482" t="str">
        <f t="shared" si="43"/>
        <v>England ICB - NHS Bath and North East Somerset, Swindon and Wiltshire Integrated Care Board</v>
      </c>
      <c r="D158" s="79">
        <f t="shared" ref="D158:E163" si="45">I158</f>
        <v>372192</v>
      </c>
      <c r="E158" s="79">
        <f t="shared" si="45"/>
        <v>388592</v>
      </c>
      <c r="F158" s="109">
        <f t="shared" ref="F158:F163" si="46">G158+H158</f>
        <v>953852</v>
      </c>
      <c r="G158" s="480">
        <f t="shared" ref="G158:G163" si="47">SUM(M158:CY158)</f>
        <v>470982</v>
      </c>
      <c r="H158" s="62">
        <f t="shared" ref="H158:H163" si="48">SUM(CZ158:GL158)</f>
        <v>482870</v>
      </c>
      <c r="I158" s="480">
        <f t="shared" ref="I158:I163" si="49">SUM(AE158:CY158)</f>
        <v>372192</v>
      </c>
      <c r="J158" s="104">
        <f t="shared" ref="J158:J163" si="50">SUM(DR158:GL158)</f>
        <v>388592</v>
      </c>
      <c r="K158" s="106">
        <f t="shared" ref="K158:K163" si="51">SUM(M158:AD158)</f>
        <v>98790</v>
      </c>
      <c r="L158" s="61">
        <f t="shared" ref="L158:L163" si="52">SUM(CZ158:DQ158)</f>
        <v>94278</v>
      </c>
      <c r="M158" s="106">
        <v>4647</v>
      </c>
      <c r="N158" s="481">
        <v>4706</v>
      </c>
      <c r="O158" s="481">
        <v>4907</v>
      </c>
      <c r="P158" s="481">
        <v>5108</v>
      </c>
      <c r="Q158" s="481">
        <v>5293</v>
      </c>
      <c r="R158" s="481">
        <v>5287</v>
      </c>
      <c r="S158" s="481">
        <v>5628</v>
      </c>
      <c r="T158" s="481">
        <v>5623</v>
      </c>
      <c r="U158" s="481">
        <v>5617</v>
      </c>
      <c r="V158" s="481">
        <v>5799</v>
      </c>
      <c r="W158" s="481">
        <v>6160</v>
      </c>
      <c r="X158" s="481">
        <v>6033</v>
      </c>
      <c r="Y158" s="481">
        <v>5955</v>
      </c>
      <c r="Z158" s="481">
        <v>5803</v>
      </c>
      <c r="AA158" s="481">
        <v>5710</v>
      </c>
      <c r="AB158" s="481">
        <v>5605</v>
      </c>
      <c r="AC158" s="481">
        <v>5496</v>
      </c>
      <c r="AD158" s="481">
        <v>5413</v>
      </c>
      <c r="AE158" s="481">
        <v>5967</v>
      </c>
      <c r="AF158" s="481">
        <v>6678</v>
      </c>
      <c r="AG158" s="481">
        <v>6216</v>
      </c>
      <c r="AH158" s="481">
        <v>5569</v>
      </c>
      <c r="AI158" s="481">
        <v>5932</v>
      </c>
      <c r="AJ158" s="481">
        <v>5961</v>
      </c>
      <c r="AK158" s="481">
        <v>5644</v>
      </c>
      <c r="AL158" s="481">
        <v>5569</v>
      </c>
      <c r="AM158" s="481">
        <v>5603</v>
      </c>
      <c r="AN158" s="481">
        <v>5436</v>
      </c>
      <c r="AO158" s="481">
        <v>5723</v>
      </c>
      <c r="AP158" s="481">
        <v>5509</v>
      </c>
      <c r="AQ158" s="481">
        <v>5906</v>
      </c>
      <c r="AR158" s="481">
        <v>5926</v>
      </c>
      <c r="AS158" s="481">
        <v>5999</v>
      </c>
      <c r="AT158" s="481">
        <v>5968</v>
      </c>
      <c r="AU158" s="481">
        <v>6124</v>
      </c>
      <c r="AV158" s="481">
        <v>6089</v>
      </c>
      <c r="AW158" s="481">
        <v>6037</v>
      </c>
      <c r="AX158" s="481">
        <v>5950</v>
      </c>
      <c r="AY158" s="481">
        <v>6029</v>
      </c>
      <c r="AZ158" s="481">
        <v>5880</v>
      </c>
      <c r="BA158" s="481">
        <v>5821</v>
      </c>
      <c r="BB158" s="481">
        <v>5960</v>
      </c>
      <c r="BC158" s="481">
        <v>6033</v>
      </c>
      <c r="BD158" s="481">
        <v>5922</v>
      </c>
      <c r="BE158" s="481">
        <v>5375</v>
      </c>
      <c r="BF158" s="481">
        <v>5274</v>
      </c>
      <c r="BG158" s="481">
        <v>5437</v>
      </c>
      <c r="BH158" s="481">
        <v>5820</v>
      </c>
      <c r="BI158" s="481">
        <v>5866</v>
      </c>
      <c r="BJ158" s="481">
        <v>6432</v>
      </c>
      <c r="BK158" s="481">
        <v>6631</v>
      </c>
      <c r="BL158" s="481">
        <v>6700</v>
      </c>
      <c r="BM158" s="481">
        <v>6536</v>
      </c>
      <c r="BN158" s="481">
        <v>6527</v>
      </c>
      <c r="BO158" s="481">
        <v>6586</v>
      </c>
      <c r="BP158" s="481">
        <v>6746</v>
      </c>
      <c r="BQ158" s="481">
        <v>6723</v>
      </c>
      <c r="BR158" s="481">
        <v>6887</v>
      </c>
      <c r="BS158" s="481">
        <v>6661</v>
      </c>
      <c r="BT158" s="481">
        <v>6550</v>
      </c>
      <c r="BU158" s="481">
        <v>6440</v>
      </c>
      <c r="BV158" s="481">
        <v>6192</v>
      </c>
      <c r="BW158" s="481">
        <v>5977</v>
      </c>
      <c r="BX158" s="481">
        <v>5691</v>
      </c>
      <c r="BY158" s="481">
        <v>5371</v>
      </c>
      <c r="BZ158" s="481">
        <v>5135</v>
      </c>
      <c r="CA158" s="481">
        <v>4863</v>
      </c>
      <c r="CB158" s="481">
        <v>4730</v>
      </c>
      <c r="CC158" s="481">
        <v>4797</v>
      </c>
      <c r="CD158" s="481">
        <v>4544</v>
      </c>
      <c r="CE158" s="481">
        <v>4485</v>
      </c>
      <c r="CF158" s="481">
        <v>4422</v>
      </c>
      <c r="CG158" s="481">
        <v>4421</v>
      </c>
      <c r="CH158" s="481">
        <v>4529</v>
      </c>
      <c r="CI158" s="481">
        <v>4861</v>
      </c>
      <c r="CJ158" s="481">
        <v>5197</v>
      </c>
      <c r="CK158" s="481">
        <v>3865</v>
      </c>
      <c r="CL158" s="481">
        <v>3773</v>
      </c>
      <c r="CM158" s="481">
        <v>3497</v>
      </c>
      <c r="CN158" s="481">
        <v>3141</v>
      </c>
      <c r="CO158" s="481">
        <v>2804</v>
      </c>
      <c r="CP158" s="481">
        <v>2380</v>
      </c>
      <c r="CQ158" s="481">
        <v>2335</v>
      </c>
      <c r="CR158" s="481">
        <v>2209</v>
      </c>
      <c r="CS158" s="481">
        <v>2008</v>
      </c>
      <c r="CT158" s="481">
        <v>1804</v>
      </c>
      <c r="CU158" s="481">
        <v>1625</v>
      </c>
      <c r="CV158" s="481">
        <v>1368</v>
      </c>
      <c r="CW158" s="481">
        <v>1144</v>
      </c>
      <c r="CX158" s="481">
        <v>1023</v>
      </c>
      <c r="CY158" s="61">
        <v>3359</v>
      </c>
      <c r="CZ158" s="106">
        <v>4395</v>
      </c>
      <c r="DA158" s="481">
        <v>4569</v>
      </c>
      <c r="DB158" s="481">
        <v>4724</v>
      </c>
      <c r="DC158" s="481">
        <v>4830</v>
      </c>
      <c r="DD158" s="481">
        <v>5033</v>
      </c>
      <c r="DE158" s="481">
        <v>5193</v>
      </c>
      <c r="DF158" s="481">
        <v>5362</v>
      </c>
      <c r="DG158" s="481">
        <v>5295</v>
      </c>
      <c r="DH158" s="481">
        <v>5344</v>
      </c>
      <c r="DI158" s="481">
        <v>5565</v>
      </c>
      <c r="DJ158" s="481">
        <v>5551</v>
      </c>
      <c r="DK158" s="481">
        <v>5719</v>
      </c>
      <c r="DL158" s="481">
        <v>5546</v>
      </c>
      <c r="DM158" s="481">
        <v>5549</v>
      </c>
      <c r="DN158" s="481">
        <v>5624</v>
      </c>
      <c r="DO158" s="481">
        <v>5574</v>
      </c>
      <c r="DP158" s="481">
        <v>5184</v>
      </c>
      <c r="DQ158" s="481">
        <v>5221</v>
      </c>
      <c r="DR158" s="481">
        <v>5415</v>
      </c>
      <c r="DS158" s="481">
        <v>5600</v>
      </c>
      <c r="DT158" s="481">
        <v>5189</v>
      </c>
      <c r="DU158" s="481">
        <v>4912</v>
      </c>
      <c r="DV158" s="481">
        <v>5426</v>
      </c>
      <c r="DW158" s="481">
        <v>5137</v>
      </c>
      <c r="DX158" s="481">
        <v>5128</v>
      </c>
      <c r="DY158" s="481">
        <v>5294</v>
      </c>
      <c r="DZ158" s="481">
        <v>5013</v>
      </c>
      <c r="EA158" s="481">
        <v>5302</v>
      </c>
      <c r="EB158" s="481">
        <v>5698</v>
      </c>
      <c r="EC158" s="481">
        <v>5815</v>
      </c>
      <c r="ED158" s="481">
        <v>5939</v>
      </c>
      <c r="EE158" s="481">
        <v>6272</v>
      </c>
      <c r="EF158" s="481">
        <v>6263</v>
      </c>
      <c r="EG158" s="481">
        <v>6313</v>
      </c>
      <c r="EH158" s="481">
        <v>6318</v>
      </c>
      <c r="EI158" s="481">
        <v>6535</v>
      </c>
      <c r="EJ158" s="481">
        <v>6131</v>
      </c>
      <c r="EK158" s="481">
        <v>6244</v>
      </c>
      <c r="EL158" s="481">
        <v>6165</v>
      </c>
      <c r="EM158" s="481">
        <v>5942</v>
      </c>
      <c r="EN158" s="481">
        <v>6211</v>
      </c>
      <c r="EO158" s="481">
        <v>6218</v>
      </c>
      <c r="EP158" s="481">
        <v>6104</v>
      </c>
      <c r="EQ158" s="481">
        <v>5799</v>
      </c>
      <c r="ER158" s="481">
        <v>5574</v>
      </c>
      <c r="ES158" s="481">
        <v>5586</v>
      </c>
      <c r="ET158" s="481">
        <v>5770</v>
      </c>
      <c r="EU158" s="481">
        <v>5831</v>
      </c>
      <c r="EV158" s="481">
        <v>6251</v>
      </c>
      <c r="EW158" s="481">
        <v>6563</v>
      </c>
      <c r="EX158" s="481">
        <v>6923</v>
      </c>
      <c r="EY158" s="481">
        <v>6736</v>
      </c>
      <c r="EZ158" s="481">
        <v>6661</v>
      </c>
      <c r="FA158" s="481">
        <v>6860</v>
      </c>
      <c r="FB158" s="481">
        <v>6795</v>
      </c>
      <c r="FC158" s="481">
        <v>7093</v>
      </c>
      <c r="FD158" s="481">
        <v>7056</v>
      </c>
      <c r="FE158" s="481">
        <v>6890</v>
      </c>
      <c r="FF158" s="481">
        <v>6926</v>
      </c>
      <c r="FG158" s="481">
        <v>6551</v>
      </c>
      <c r="FH158" s="481">
        <v>6513</v>
      </c>
      <c r="FI158" s="481">
        <v>6413</v>
      </c>
      <c r="FJ158" s="481">
        <v>5897</v>
      </c>
      <c r="FK158" s="481">
        <v>5838</v>
      </c>
      <c r="FL158" s="481">
        <v>5643</v>
      </c>
      <c r="FM158" s="481">
        <v>5384</v>
      </c>
      <c r="FN158" s="481">
        <v>5189</v>
      </c>
      <c r="FO158" s="481">
        <v>5034</v>
      </c>
      <c r="FP158" s="481">
        <v>5088</v>
      </c>
      <c r="FQ158" s="481">
        <v>5112</v>
      </c>
      <c r="FR158" s="481">
        <v>4845</v>
      </c>
      <c r="FS158" s="481">
        <v>4831</v>
      </c>
      <c r="FT158" s="481">
        <v>4917</v>
      </c>
      <c r="FU158" s="481">
        <v>5074</v>
      </c>
      <c r="FV158" s="481">
        <v>5409</v>
      </c>
      <c r="FW158" s="481">
        <v>5546</v>
      </c>
      <c r="FX158" s="481">
        <v>4375</v>
      </c>
      <c r="FY158" s="481">
        <v>4296</v>
      </c>
      <c r="FZ158" s="481">
        <v>4189</v>
      </c>
      <c r="GA158" s="481">
        <v>3718</v>
      </c>
      <c r="GB158" s="481">
        <v>3306</v>
      </c>
      <c r="GC158" s="481">
        <v>2846</v>
      </c>
      <c r="GD158" s="481">
        <v>2931</v>
      </c>
      <c r="GE158" s="481">
        <v>2828</v>
      </c>
      <c r="GF158" s="481">
        <v>2632</v>
      </c>
      <c r="GG158" s="481">
        <v>2327</v>
      </c>
      <c r="GH158" s="481">
        <v>2137</v>
      </c>
      <c r="GI158" s="481">
        <v>1982</v>
      </c>
      <c r="GJ158" s="481">
        <v>1693</v>
      </c>
      <c r="GK158" s="481">
        <v>1476</v>
      </c>
      <c r="GL158" s="61">
        <v>6674</v>
      </c>
    </row>
    <row r="159" spans="1:194" s="1" customFormat="1" x14ac:dyDescent="0.3">
      <c r="A159" s="110" t="s">
        <v>52</v>
      </c>
      <c r="B159" s="535"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52</v>
      </c>
      <c r="B160" s="535"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52</v>
      </c>
      <c r="B161" s="535"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52</v>
      </c>
      <c r="B162" s="535"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52</v>
      </c>
      <c r="B163" s="535"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52</v>
      </c>
      <c r="B164" s="535"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52</v>
      </c>
      <c r="B165" s="535"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52</v>
      </c>
      <c r="B166" s="535"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52</v>
      </c>
      <c r="B167" s="535"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52</v>
      </c>
      <c r="B168" s="535"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52</v>
      </c>
      <c r="B169" s="535"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52</v>
      </c>
      <c r="B170" s="535"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52</v>
      </c>
      <c r="B171" s="535"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52</v>
      </c>
      <c r="B172" s="535"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52</v>
      </c>
      <c r="B173" s="535"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52</v>
      </c>
      <c r="B174" s="535"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52</v>
      </c>
      <c r="B175" s="535"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52</v>
      </c>
      <c r="B176" s="535"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52</v>
      </c>
      <c r="B177" s="535"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52</v>
      </c>
      <c r="B178" s="535"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52</v>
      </c>
      <c r="B179" s="535"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52</v>
      </c>
      <c r="B180" s="535"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52</v>
      </c>
      <c r="B181" s="535"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52</v>
      </c>
      <c r="B182" s="535"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52</v>
      </c>
      <c r="B183" s="535"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52</v>
      </c>
      <c r="B184" s="535"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52</v>
      </c>
      <c r="B185" s="535"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52</v>
      </c>
      <c r="B186" s="535"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52</v>
      </c>
      <c r="B187" s="535"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52</v>
      </c>
      <c r="B188" s="535"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52</v>
      </c>
      <c r="B189" s="535"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52</v>
      </c>
      <c r="B190" s="535"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52</v>
      </c>
      <c r="B191" s="535"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52</v>
      </c>
      <c r="B192" s="535"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52</v>
      </c>
      <c r="B193" s="535"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52</v>
      </c>
      <c r="B194" s="535"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52</v>
      </c>
      <c r="B195" s="535"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52</v>
      </c>
      <c r="B196" s="535"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52</v>
      </c>
      <c r="B197" s="535"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52</v>
      </c>
      <c r="B198" s="535"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52</v>
      </c>
      <c r="B199" s="535"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536"/>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81</v>
      </c>
      <c r="B201" s="1" t="s">
        <v>270</v>
      </c>
      <c r="C201" s="72" t="str">
        <f>CONCATENATE(A201," - ",B201)</f>
        <v>LA England - Adur</v>
      </c>
      <c r="D201" s="61">
        <f t="shared" ref="D201:D265" si="73">I201</f>
        <v>24443</v>
      </c>
      <c r="E201" s="61">
        <f t="shared" ref="E201:E265" si="74">J201</f>
        <v>27108</v>
      </c>
      <c r="F201" s="480">
        <f t="shared" ref="F201:F265" si="75">G201+H201</f>
        <v>64688</v>
      </c>
      <c r="G201" s="480">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21">
        <v>391</v>
      </c>
      <c r="N498" s="521">
        <v>334</v>
      </c>
      <c r="O498" s="521">
        <v>374</v>
      </c>
      <c r="P498" s="521">
        <v>393</v>
      </c>
      <c r="Q498" s="521">
        <v>365</v>
      </c>
      <c r="R498" s="521">
        <v>333</v>
      </c>
      <c r="S498" s="521">
        <v>365</v>
      </c>
      <c r="T498" s="521">
        <v>388</v>
      </c>
      <c r="U498" s="521">
        <v>394</v>
      </c>
      <c r="V498" s="521">
        <v>392</v>
      </c>
      <c r="W498" s="521">
        <v>375</v>
      </c>
      <c r="X498" s="521">
        <v>423</v>
      </c>
      <c r="Y498" s="521">
        <v>403</v>
      </c>
      <c r="Z498" s="521">
        <v>425</v>
      </c>
      <c r="AA498" s="521">
        <v>394</v>
      </c>
      <c r="AB498" s="521">
        <v>319</v>
      </c>
      <c r="AC498" s="521">
        <v>337</v>
      </c>
      <c r="AD498" s="521">
        <v>363</v>
      </c>
      <c r="AE498" s="521">
        <v>363</v>
      </c>
      <c r="AF498" s="521">
        <v>317</v>
      </c>
      <c r="AG498" s="521">
        <v>288</v>
      </c>
      <c r="AH498" s="521">
        <v>332</v>
      </c>
      <c r="AI498" s="521">
        <v>374</v>
      </c>
      <c r="AJ498" s="521">
        <v>338</v>
      </c>
      <c r="AK498" s="521">
        <v>389</v>
      </c>
      <c r="AL498" s="521">
        <v>412</v>
      </c>
      <c r="AM498" s="521">
        <v>367</v>
      </c>
      <c r="AN498" s="521">
        <v>361</v>
      </c>
      <c r="AO498" s="521">
        <v>441</v>
      </c>
      <c r="AP498" s="521">
        <v>438</v>
      </c>
      <c r="AQ498" s="521">
        <v>468</v>
      </c>
      <c r="AR498" s="521">
        <v>465</v>
      </c>
      <c r="AS498" s="521">
        <v>442</v>
      </c>
      <c r="AT498" s="521">
        <v>467</v>
      </c>
      <c r="AU498" s="521">
        <v>398</v>
      </c>
      <c r="AV498" s="521">
        <v>423</v>
      </c>
      <c r="AW498" s="521">
        <v>418</v>
      </c>
      <c r="AX498" s="521">
        <v>449</v>
      </c>
      <c r="AY498" s="521">
        <v>389</v>
      </c>
      <c r="AZ498" s="521">
        <v>409</v>
      </c>
      <c r="BA498" s="521">
        <v>365</v>
      </c>
      <c r="BB498" s="521">
        <v>396</v>
      </c>
      <c r="BC498" s="521">
        <v>373</v>
      </c>
      <c r="BD498" s="521">
        <v>369</v>
      </c>
      <c r="BE498" s="521">
        <v>348</v>
      </c>
      <c r="BF498" s="521">
        <v>299</v>
      </c>
      <c r="BG498" s="521">
        <v>345</v>
      </c>
      <c r="BH498" s="521">
        <v>417</v>
      </c>
      <c r="BI498" s="521">
        <v>386</v>
      </c>
      <c r="BJ498" s="521">
        <v>430</v>
      </c>
      <c r="BK498" s="521">
        <v>495</v>
      </c>
      <c r="BL498" s="521">
        <v>469</v>
      </c>
      <c r="BM498" s="521">
        <v>471</v>
      </c>
      <c r="BN498" s="521">
        <v>521</v>
      </c>
      <c r="BO498" s="521">
        <v>498</v>
      </c>
      <c r="BP498" s="521">
        <v>491</v>
      </c>
      <c r="BQ498" s="521">
        <v>525</v>
      </c>
      <c r="BR498" s="521">
        <v>529</v>
      </c>
      <c r="BS498" s="521">
        <v>512</v>
      </c>
      <c r="BT498" s="521">
        <v>493</v>
      </c>
      <c r="BU498" s="521">
        <v>503</v>
      </c>
      <c r="BV498" s="521">
        <v>432</v>
      </c>
      <c r="BW498" s="521">
        <v>445</v>
      </c>
      <c r="BX498" s="521">
        <v>434</v>
      </c>
      <c r="BY498" s="521">
        <v>364</v>
      </c>
      <c r="BZ498" s="521">
        <v>441</v>
      </c>
      <c r="CA498" s="521">
        <v>389</v>
      </c>
      <c r="CB498" s="521">
        <v>372</v>
      </c>
      <c r="CC498" s="521">
        <v>364</v>
      </c>
      <c r="CD498" s="521">
        <v>375</v>
      </c>
      <c r="CE498" s="521">
        <v>341</v>
      </c>
      <c r="CF498" s="521">
        <v>358</v>
      </c>
      <c r="CG498" s="521">
        <v>351</v>
      </c>
      <c r="CH498" s="521">
        <v>359</v>
      </c>
      <c r="CI498" s="521">
        <v>343</v>
      </c>
      <c r="CJ498" s="521">
        <v>401</v>
      </c>
      <c r="CK498" s="521">
        <v>297</v>
      </c>
      <c r="CL498" s="521">
        <v>262</v>
      </c>
      <c r="CM498" s="521">
        <v>235</v>
      </c>
      <c r="CN498" s="521">
        <v>261</v>
      </c>
      <c r="CO498" s="521">
        <v>210</v>
      </c>
      <c r="CP498" s="521">
        <v>179</v>
      </c>
      <c r="CQ498" s="521">
        <v>155</v>
      </c>
      <c r="CR498" s="521">
        <v>164</v>
      </c>
      <c r="CS498" s="521">
        <v>135</v>
      </c>
      <c r="CT498" s="521">
        <v>101</v>
      </c>
      <c r="CU498" s="521">
        <v>100</v>
      </c>
      <c r="CV498" s="521">
        <v>87</v>
      </c>
      <c r="CW498" s="521">
        <v>55</v>
      </c>
      <c r="CX498" s="521">
        <v>58</v>
      </c>
      <c r="CY498" s="521">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21">
        <v>731</v>
      </c>
      <c r="N499" s="521">
        <v>689</v>
      </c>
      <c r="O499" s="521">
        <v>714</v>
      </c>
      <c r="P499" s="521">
        <v>751</v>
      </c>
      <c r="Q499" s="521">
        <v>788</v>
      </c>
      <c r="R499" s="521">
        <v>823</v>
      </c>
      <c r="S499" s="521">
        <v>811</v>
      </c>
      <c r="T499" s="521">
        <v>852</v>
      </c>
      <c r="U499" s="521">
        <v>862</v>
      </c>
      <c r="V499" s="521">
        <v>879</v>
      </c>
      <c r="W499" s="521">
        <v>884</v>
      </c>
      <c r="X499" s="521">
        <v>978</v>
      </c>
      <c r="Y499" s="521">
        <v>895</v>
      </c>
      <c r="Z499" s="521">
        <v>924</v>
      </c>
      <c r="AA499" s="521">
        <v>890</v>
      </c>
      <c r="AB499" s="521">
        <v>868</v>
      </c>
      <c r="AC499" s="521">
        <v>836</v>
      </c>
      <c r="AD499" s="521">
        <v>905</v>
      </c>
      <c r="AE499" s="521">
        <v>777</v>
      </c>
      <c r="AF499" s="521">
        <v>641</v>
      </c>
      <c r="AG499" s="521">
        <v>674</v>
      </c>
      <c r="AH499" s="521">
        <v>686</v>
      </c>
      <c r="AI499" s="521">
        <v>727</v>
      </c>
      <c r="AJ499" s="521">
        <v>840</v>
      </c>
      <c r="AK499" s="521">
        <v>858</v>
      </c>
      <c r="AL499" s="521">
        <v>945</v>
      </c>
      <c r="AM499" s="521">
        <v>890</v>
      </c>
      <c r="AN499" s="521">
        <v>816</v>
      </c>
      <c r="AO499" s="521">
        <v>944</v>
      </c>
      <c r="AP499" s="521">
        <v>857</v>
      </c>
      <c r="AQ499" s="521">
        <v>968</v>
      </c>
      <c r="AR499" s="521">
        <v>910</v>
      </c>
      <c r="AS499" s="521">
        <v>982</v>
      </c>
      <c r="AT499" s="521">
        <v>986</v>
      </c>
      <c r="AU499" s="521">
        <v>996</v>
      </c>
      <c r="AV499" s="521">
        <v>984</v>
      </c>
      <c r="AW499" s="521">
        <v>944</v>
      </c>
      <c r="AX499" s="521">
        <v>937</v>
      </c>
      <c r="AY499" s="521">
        <v>874</v>
      </c>
      <c r="AZ499" s="521">
        <v>882</v>
      </c>
      <c r="BA499" s="521">
        <v>860</v>
      </c>
      <c r="BB499" s="521">
        <v>916</v>
      </c>
      <c r="BC499" s="521">
        <v>935</v>
      </c>
      <c r="BD499" s="521">
        <v>885</v>
      </c>
      <c r="BE499" s="521">
        <v>798</v>
      </c>
      <c r="BF499" s="521">
        <v>764</v>
      </c>
      <c r="BG499" s="521">
        <v>821</v>
      </c>
      <c r="BH499" s="521">
        <v>816</v>
      </c>
      <c r="BI499" s="521">
        <v>884</v>
      </c>
      <c r="BJ499" s="521">
        <v>901</v>
      </c>
      <c r="BK499" s="521">
        <v>1009</v>
      </c>
      <c r="BL499" s="521">
        <v>1091</v>
      </c>
      <c r="BM499" s="521">
        <v>977</v>
      </c>
      <c r="BN499" s="521">
        <v>1017</v>
      </c>
      <c r="BO499" s="521">
        <v>1078</v>
      </c>
      <c r="BP499" s="521">
        <v>1056</v>
      </c>
      <c r="BQ499" s="521">
        <v>1081</v>
      </c>
      <c r="BR499" s="521">
        <v>1062</v>
      </c>
      <c r="BS499" s="521">
        <v>1067</v>
      </c>
      <c r="BT499" s="521">
        <v>1000</v>
      </c>
      <c r="BU499" s="521">
        <v>1035</v>
      </c>
      <c r="BV499" s="521">
        <v>984</v>
      </c>
      <c r="BW499" s="521">
        <v>918</v>
      </c>
      <c r="BX499" s="521">
        <v>903</v>
      </c>
      <c r="BY499" s="521">
        <v>907</v>
      </c>
      <c r="BZ499" s="521">
        <v>835</v>
      </c>
      <c r="CA499" s="521">
        <v>831</v>
      </c>
      <c r="CB499" s="521">
        <v>766</v>
      </c>
      <c r="CC499" s="521">
        <v>742</v>
      </c>
      <c r="CD499" s="521">
        <v>776</v>
      </c>
      <c r="CE499" s="521">
        <v>736</v>
      </c>
      <c r="CF499" s="521">
        <v>767</v>
      </c>
      <c r="CG499" s="521">
        <v>726</v>
      </c>
      <c r="CH499" s="521">
        <v>780</v>
      </c>
      <c r="CI499" s="521">
        <v>754</v>
      </c>
      <c r="CJ499" s="521">
        <v>809</v>
      </c>
      <c r="CK499" s="521">
        <v>632</v>
      </c>
      <c r="CL499" s="521">
        <v>617</v>
      </c>
      <c r="CM499" s="521">
        <v>572</v>
      </c>
      <c r="CN499" s="521">
        <v>506</v>
      </c>
      <c r="CO499" s="521">
        <v>443</v>
      </c>
      <c r="CP499" s="521">
        <v>449</v>
      </c>
      <c r="CQ499" s="521">
        <v>367</v>
      </c>
      <c r="CR499" s="521">
        <v>336</v>
      </c>
      <c r="CS499" s="521">
        <v>314</v>
      </c>
      <c r="CT499" s="521">
        <v>257</v>
      </c>
      <c r="CU499" s="521">
        <v>226</v>
      </c>
      <c r="CV499" s="521">
        <v>223</v>
      </c>
      <c r="CW499" s="521">
        <v>154</v>
      </c>
      <c r="CX499" s="521">
        <v>144</v>
      </c>
      <c r="CY499" s="521">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21">
        <v>834</v>
      </c>
      <c r="N500" s="521">
        <v>824</v>
      </c>
      <c r="O500" s="521">
        <v>908</v>
      </c>
      <c r="P500" s="521">
        <v>935</v>
      </c>
      <c r="Q500" s="521">
        <v>1007</v>
      </c>
      <c r="R500" s="521">
        <v>996</v>
      </c>
      <c r="S500" s="521">
        <v>1029</v>
      </c>
      <c r="T500" s="521">
        <v>1072</v>
      </c>
      <c r="U500" s="521">
        <v>1068</v>
      </c>
      <c r="V500" s="521">
        <v>1056</v>
      </c>
      <c r="W500" s="521">
        <v>1069</v>
      </c>
      <c r="X500" s="521">
        <v>1095</v>
      </c>
      <c r="Y500" s="521">
        <v>1148</v>
      </c>
      <c r="Z500" s="521">
        <v>1126</v>
      </c>
      <c r="AA500" s="521">
        <v>1141</v>
      </c>
      <c r="AB500" s="521">
        <v>1053</v>
      </c>
      <c r="AC500" s="521">
        <v>1026</v>
      </c>
      <c r="AD500" s="521">
        <v>1028</v>
      </c>
      <c r="AE500" s="521">
        <v>1108</v>
      </c>
      <c r="AF500" s="521">
        <v>875</v>
      </c>
      <c r="AG500" s="521">
        <v>817</v>
      </c>
      <c r="AH500" s="521">
        <v>888</v>
      </c>
      <c r="AI500" s="521">
        <v>942</v>
      </c>
      <c r="AJ500" s="521">
        <v>891</v>
      </c>
      <c r="AK500" s="521">
        <v>901</v>
      </c>
      <c r="AL500" s="521">
        <v>1103</v>
      </c>
      <c r="AM500" s="521">
        <v>1005</v>
      </c>
      <c r="AN500" s="521">
        <v>987</v>
      </c>
      <c r="AO500" s="521">
        <v>1032</v>
      </c>
      <c r="AP500" s="521">
        <v>1030</v>
      </c>
      <c r="AQ500" s="521">
        <v>1074</v>
      </c>
      <c r="AR500" s="521">
        <v>1182</v>
      </c>
      <c r="AS500" s="521">
        <v>1115</v>
      </c>
      <c r="AT500" s="521">
        <v>1132</v>
      </c>
      <c r="AU500" s="521">
        <v>1167</v>
      </c>
      <c r="AV500" s="521">
        <v>1071</v>
      </c>
      <c r="AW500" s="521">
        <v>1140</v>
      </c>
      <c r="AX500" s="521">
        <v>1077</v>
      </c>
      <c r="AY500" s="521">
        <v>1079</v>
      </c>
      <c r="AZ500" s="521">
        <v>1060</v>
      </c>
      <c r="BA500" s="521">
        <v>1012</v>
      </c>
      <c r="BB500" s="521">
        <v>1070</v>
      </c>
      <c r="BC500" s="521">
        <v>1085</v>
      </c>
      <c r="BD500" s="521">
        <v>1002</v>
      </c>
      <c r="BE500" s="521">
        <v>958</v>
      </c>
      <c r="BF500" s="521">
        <v>997</v>
      </c>
      <c r="BG500" s="521">
        <v>992</v>
      </c>
      <c r="BH500" s="521">
        <v>988</v>
      </c>
      <c r="BI500" s="521">
        <v>1077</v>
      </c>
      <c r="BJ500" s="521">
        <v>1113</v>
      </c>
      <c r="BK500" s="521">
        <v>1157</v>
      </c>
      <c r="BL500" s="521">
        <v>1232</v>
      </c>
      <c r="BM500" s="521">
        <v>1129</v>
      </c>
      <c r="BN500" s="521">
        <v>1299</v>
      </c>
      <c r="BO500" s="521">
        <v>1259</v>
      </c>
      <c r="BP500" s="521">
        <v>1214</v>
      </c>
      <c r="BQ500" s="521">
        <v>1265</v>
      </c>
      <c r="BR500" s="521">
        <v>1277</v>
      </c>
      <c r="BS500" s="521">
        <v>1255</v>
      </c>
      <c r="BT500" s="521">
        <v>1273</v>
      </c>
      <c r="BU500" s="521">
        <v>1181</v>
      </c>
      <c r="BV500" s="521">
        <v>1146</v>
      </c>
      <c r="BW500" s="521">
        <v>1118</v>
      </c>
      <c r="BX500" s="521">
        <v>1064</v>
      </c>
      <c r="BY500" s="521">
        <v>1058</v>
      </c>
      <c r="BZ500" s="521">
        <v>1029</v>
      </c>
      <c r="CA500" s="521">
        <v>925</v>
      </c>
      <c r="CB500" s="521">
        <v>870</v>
      </c>
      <c r="CC500" s="521">
        <v>989</v>
      </c>
      <c r="CD500" s="521">
        <v>948</v>
      </c>
      <c r="CE500" s="521">
        <v>880</v>
      </c>
      <c r="CF500" s="521">
        <v>910</v>
      </c>
      <c r="CG500" s="521">
        <v>938</v>
      </c>
      <c r="CH500" s="521">
        <v>837</v>
      </c>
      <c r="CI500" s="521">
        <v>970</v>
      </c>
      <c r="CJ500" s="521">
        <v>989</v>
      </c>
      <c r="CK500" s="521">
        <v>740</v>
      </c>
      <c r="CL500" s="521">
        <v>691</v>
      </c>
      <c r="CM500" s="521">
        <v>645</v>
      </c>
      <c r="CN500" s="521">
        <v>570</v>
      </c>
      <c r="CO500" s="521">
        <v>578</v>
      </c>
      <c r="CP500" s="521">
        <v>442</v>
      </c>
      <c r="CQ500" s="521">
        <v>426</v>
      </c>
      <c r="CR500" s="521">
        <v>410</v>
      </c>
      <c r="CS500" s="521">
        <v>355</v>
      </c>
      <c r="CT500" s="521">
        <v>296</v>
      </c>
      <c r="CU500" s="521">
        <v>259</v>
      </c>
      <c r="CV500" s="521">
        <v>215</v>
      </c>
      <c r="CW500" s="521">
        <v>176</v>
      </c>
      <c r="CX500" s="521">
        <v>150</v>
      </c>
      <c r="CY500" s="521">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21">
        <v>1950</v>
      </c>
      <c r="N501" s="521">
        <v>1875</v>
      </c>
      <c r="O501" s="521">
        <v>1880</v>
      </c>
      <c r="P501" s="521">
        <v>1977</v>
      </c>
      <c r="Q501" s="521">
        <v>2035</v>
      </c>
      <c r="R501" s="521">
        <v>2099</v>
      </c>
      <c r="S501" s="521">
        <v>2234</v>
      </c>
      <c r="T501" s="521">
        <v>2194</v>
      </c>
      <c r="U501" s="521">
        <v>2213</v>
      </c>
      <c r="V501" s="521">
        <v>2181</v>
      </c>
      <c r="W501" s="521">
        <v>2303</v>
      </c>
      <c r="X501" s="521">
        <v>2380</v>
      </c>
      <c r="Y501" s="521">
        <v>2271</v>
      </c>
      <c r="Z501" s="521">
        <v>2188</v>
      </c>
      <c r="AA501" s="521">
        <v>2173</v>
      </c>
      <c r="AB501" s="521">
        <v>2117</v>
      </c>
      <c r="AC501" s="521">
        <v>2130</v>
      </c>
      <c r="AD501" s="521">
        <v>2130</v>
      </c>
      <c r="AE501" s="521">
        <v>2327</v>
      </c>
      <c r="AF501" s="521">
        <v>4164</v>
      </c>
      <c r="AG501" s="521">
        <v>4565</v>
      </c>
      <c r="AH501" s="521">
        <v>4249</v>
      </c>
      <c r="AI501" s="521">
        <v>3797</v>
      </c>
      <c r="AJ501" s="521">
        <v>3628</v>
      </c>
      <c r="AK501" s="521">
        <v>3513</v>
      </c>
      <c r="AL501" s="521">
        <v>3439</v>
      </c>
      <c r="AM501" s="521">
        <v>3420</v>
      </c>
      <c r="AN501" s="521">
        <v>3228</v>
      </c>
      <c r="AO501" s="521">
        <v>3077</v>
      </c>
      <c r="AP501" s="521">
        <v>2999</v>
      </c>
      <c r="AQ501" s="521">
        <v>2824</v>
      </c>
      <c r="AR501" s="521">
        <v>2846</v>
      </c>
      <c r="AS501" s="521">
        <v>2776</v>
      </c>
      <c r="AT501" s="521">
        <v>2588</v>
      </c>
      <c r="AU501" s="521">
        <v>2705</v>
      </c>
      <c r="AV501" s="521">
        <v>2608</v>
      </c>
      <c r="AW501" s="521">
        <v>2669</v>
      </c>
      <c r="AX501" s="521">
        <v>2467</v>
      </c>
      <c r="AY501" s="521">
        <v>2494</v>
      </c>
      <c r="AZ501" s="521">
        <v>2498</v>
      </c>
      <c r="BA501" s="521">
        <v>2343</v>
      </c>
      <c r="BB501" s="521">
        <v>2361</v>
      </c>
      <c r="BC501" s="521">
        <v>2324</v>
      </c>
      <c r="BD501" s="521">
        <v>2260</v>
      </c>
      <c r="BE501" s="521">
        <v>2022</v>
      </c>
      <c r="BF501" s="521">
        <v>2128</v>
      </c>
      <c r="BG501" s="521">
        <v>2019</v>
      </c>
      <c r="BH501" s="521">
        <v>2027</v>
      </c>
      <c r="BI501" s="521">
        <v>2070</v>
      </c>
      <c r="BJ501" s="521">
        <v>1928</v>
      </c>
      <c r="BK501" s="521">
        <v>1966</v>
      </c>
      <c r="BL501" s="521">
        <v>2100</v>
      </c>
      <c r="BM501" s="521">
        <v>2061</v>
      </c>
      <c r="BN501" s="521">
        <v>2078</v>
      </c>
      <c r="BO501" s="521">
        <v>1992</v>
      </c>
      <c r="BP501" s="521">
        <v>2070</v>
      </c>
      <c r="BQ501" s="521">
        <v>1888</v>
      </c>
      <c r="BR501" s="521">
        <v>2027</v>
      </c>
      <c r="BS501" s="521">
        <v>1976</v>
      </c>
      <c r="BT501" s="521">
        <v>1918</v>
      </c>
      <c r="BU501" s="521">
        <v>1994</v>
      </c>
      <c r="BV501" s="521">
        <v>1814</v>
      </c>
      <c r="BW501" s="521">
        <v>1830</v>
      </c>
      <c r="BX501" s="521">
        <v>1808</v>
      </c>
      <c r="BY501" s="521">
        <v>1654</v>
      </c>
      <c r="BZ501" s="521">
        <v>1666</v>
      </c>
      <c r="CA501" s="521">
        <v>1538</v>
      </c>
      <c r="CB501" s="521">
        <v>1449</v>
      </c>
      <c r="CC501" s="521">
        <v>1467</v>
      </c>
      <c r="CD501" s="521">
        <v>1364</v>
      </c>
      <c r="CE501" s="521">
        <v>1286</v>
      </c>
      <c r="CF501" s="521">
        <v>1359</v>
      </c>
      <c r="CG501" s="521">
        <v>1353</v>
      </c>
      <c r="CH501" s="521">
        <v>1306</v>
      </c>
      <c r="CI501" s="521">
        <v>1244</v>
      </c>
      <c r="CJ501" s="521">
        <v>1342</v>
      </c>
      <c r="CK501" s="521">
        <v>991</v>
      </c>
      <c r="CL501" s="521">
        <v>942</v>
      </c>
      <c r="CM501" s="521">
        <v>905</v>
      </c>
      <c r="CN501" s="521">
        <v>742</v>
      </c>
      <c r="CO501" s="521">
        <v>691</v>
      </c>
      <c r="CP501" s="521">
        <v>611</v>
      </c>
      <c r="CQ501" s="521">
        <v>589</v>
      </c>
      <c r="CR501" s="521">
        <v>538</v>
      </c>
      <c r="CS501" s="521">
        <v>490</v>
      </c>
      <c r="CT501" s="521">
        <v>446</v>
      </c>
      <c r="CU501" s="521">
        <v>394</v>
      </c>
      <c r="CV501" s="521">
        <v>368</v>
      </c>
      <c r="CW501" s="521">
        <v>281</v>
      </c>
      <c r="CX501" s="521">
        <v>249</v>
      </c>
      <c r="CY501" s="521">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21">
        <v>856</v>
      </c>
      <c r="N502" s="521">
        <v>866</v>
      </c>
      <c r="O502" s="521">
        <v>854</v>
      </c>
      <c r="P502" s="521">
        <v>934</v>
      </c>
      <c r="Q502" s="521">
        <v>976</v>
      </c>
      <c r="R502" s="521">
        <v>1016</v>
      </c>
      <c r="S502" s="521">
        <v>1068</v>
      </c>
      <c r="T502" s="521">
        <v>1057</v>
      </c>
      <c r="U502" s="521">
        <v>1032</v>
      </c>
      <c r="V502" s="521">
        <v>1077</v>
      </c>
      <c r="W502" s="521">
        <v>1158</v>
      </c>
      <c r="X502" s="521">
        <v>1168</v>
      </c>
      <c r="Y502" s="521">
        <v>1148</v>
      </c>
      <c r="Z502" s="521">
        <v>1099</v>
      </c>
      <c r="AA502" s="521">
        <v>1137</v>
      </c>
      <c r="AB502" s="521">
        <v>1146</v>
      </c>
      <c r="AC502" s="521">
        <v>1150</v>
      </c>
      <c r="AD502" s="521">
        <v>1098</v>
      </c>
      <c r="AE502" s="521">
        <v>1071</v>
      </c>
      <c r="AF502" s="521">
        <v>898</v>
      </c>
      <c r="AG502" s="521">
        <v>829</v>
      </c>
      <c r="AH502" s="521">
        <v>834</v>
      </c>
      <c r="AI502" s="521">
        <v>847</v>
      </c>
      <c r="AJ502" s="521">
        <v>907</v>
      </c>
      <c r="AK502" s="521">
        <v>957</v>
      </c>
      <c r="AL502" s="521">
        <v>1013</v>
      </c>
      <c r="AM502" s="521">
        <v>1000</v>
      </c>
      <c r="AN502" s="521">
        <v>923</v>
      </c>
      <c r="AO502" s="521">
        <v>977</v>
      </c>
      <c r="AP502" s="521">
        <v>975</v>
      </c>
      <c r="AQ502" s="521">
        <v>1005</v>
      </c>
      <c r="AR502" s="521">
        <v>1049</v>
      </c>
      <c r="AS502" s="521">
        <v>1077</v>
      </c>
      <c r="AT502" s="521">
        <v>1035</v>
      </c>
      <c r="AU502" s="521">
        <v>1116</v>
      </c>
      <c r="AV502" s="521">
        <v>1060</v>
      </c>
      <c r="AW502" s="521">
        <v>1050</v>
      </c>
      <c r="AX502" s="521">
        <v>991</v>
      </c>
      <c r="AY502" s="521">
        <v>1021</v>
      </c>
      <c r="AZ502" s="521">
        <v>1015</v>
      </c>
      <c r="BA502" s="521">
        <v>996</v>
      </c>
      <c r="BB502" s="521">
        <v>1033</v>
      </c>
      <c r="BC502" s="521">
        <v>1042</v>
      </c>
      <c r="BD502" s="521">
        <v>1003</v>
      </c>
      <c r="BE502" s="521">
        <v>929</v>
      </c>
      <c r="BF502" s="521">
        <v>918</v>
      </c>
      <c r="BG502" s="521">
        <v>1008</v>
      </c>
      <c r="BH502" s="521">
        <v>1037</v>
      </c>
      <c r="BI502" s="521">
        <v>1074</v>
      </c>
      <c r="BJ502" s="521">
        <v>1130</v>
      </c>
      <c r="BK502" s="521">
        <v>1203</v>
      </c>
      <c r="BL502" s="521">
        <v>1281</v>
      </c>
      <c r="BM502" s="521">
        <v>1243</v>
      </c>
      <c r="BN502" s="521">
        <v>1231</v>
      </c>
      <c r="BO502" s="521">
        <v>1260</v>
      </c>
      <c r="BP502" s="521">
        <v>1356</v>
      </c>
      <c r="BQ502" s="521">
        <v>1372</v>
      </c>
      <c r="BR502" s="521">
        <v>1413</v>
      </c>
      <c r="BS502" s="521">
        <v>1455</v>
      </c>
      <c r="BT502" s="521">
        <v>1317</v>
      </c>
      <c r="BU502" s="521">
        <v>1416</v>
      </c>
      <c r="BV502" s="521">
        <v>1373</v>
      </c>
      <c r="BW502" s="521">
        <v>1349</v>
      </c>
      <c r="BX502" s="521">
        <v>1279</v>
      </c>
      <c r="BY502" s="521">
        <v>1311</v>
      </c>
      <c r="BZ502" s="521">
        <v>1261</v>
      </c>
      <c r="CA502" s="521">
        <v>1172</v>
      </c>
      <c r="CB502" s="521">
        <v>1270</v>
      </c>
      <c r="CC502" s="521">
        <v>1212</v>
      </c>
      <c r="CD502" s="521">
        <v>1197</v>
      </c>
      <c r="CE502" s="521">
        <v>1164</v>
      </c>
      <c r="CF502" s="521">
        <v>1112</v>
      </c>
      <c r="CG502" s="521">
        <v>1141</v>
      </c>
      <c r="CH502" s="521">
        <v>1175</v>
      </c>
      <c r="CI502" s="521">
        <v>1186</v>
      </c>
      <c r="CJ502" s="521">
        <v>1175</v>
      </c>
      <c r="CK502" s="521">
        <v>999</v>
      </c>
      <c r="CL502" s="521">
        <v>920</v>
      </c>
      <c r="CM502" s="521">
        <v>863</v>
      </c>
      <c r="CN502" s="521">
        <v>789</v>
      </c>
      <c r="CO502" s="521">
        <v>736</v>
      </c>
      <c r="CP502" s="521">
        <v>619</v>
      </c>
      <c r="CQ502" s="521">
        <v>561</v>
      </c>
      <c r="CR502" s="521">
        <v>506</v>
      </c>
      <c r="CS502" s="521">
        <v>445</v>
      </c>
      <c r="CT502" s="521">
        <v>454</v>
      </c>
      <c r="CU502" s="521">
        <v>361</v>
      </c>
      <c r="CV502" s="521">
        <v>330</v>
      </c>
      <c r="CW502" s="521">
        <v>265</v>
      </c>
      <c r="CX502" s="521">
        <v>198</v>
      </c>
      <c r="CY502" s="521">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21">
        <v>276</v>
      </c>
      <c r="N503" s="521">
        <v>237</v>
      </c>
      <c r="O503" s="521">
        <v>271</v>
      </c>
      <c r="P503" s="521">
        <v>294</v>
      </c>
      <c r="Q503" s="521">
        <v>285</v>
      </c>
      <c r="R503" s="521">
        <v>312</v>
      </c>
      <c r="S503" s="521">
        <v>341</v>
      </c>
      <c r="T503" s="521">
        <v>317</v>
      </c>
      <c r="U503" s="521">
        <v>309</v>
      </c>
      <c r="V503" s="521">
        <v>360</v>
      </c>
      <c r="W503" s="521">
        <v>360</v>
      </c>
      <c r="X503" s="521">
        <v>370</v>
      </c>
      <c r="Y503" s="521">
        <v>368</v>
      </c>
      <c r="Z503" s="521">
        <v>326</v>
      </c>
      <c r="AA503" s="521">
        <v>334</v>
      </c>
      <c r="AB503" s="521">
        <v>346</v>
      </c>
      <c r="AC503" s="521">
        <v>355</v>
      </c>
      <c r="AD503" s="521">
        <v>378</v>
      </c>
      <c r="AE503" s="521">
        <v>435</v>
      </c>
      <c r="AF503" s="521">
        <v>855</v>
      </c>
      <c r="AG503" s="521">
        <v>809</v>
      </c>
      <c r="AH503" s="521">
        <v>767</v>
      </c>
      <c r="AI503" s="521">
        <v>615</v>
      </c>
      <c r="AJ503" s="521">
        <v>548</v>
      </c>
      <c r="AK503" s="521">
        <v>432</v>
      </c>
      <c r="AL503" s="521">
        <v>350</v>
      </c>
      <c r="AM503" s="521">
        <v>336</v>
      </c>
      <c r="AN503" s="521">
        <v>361</v>
      </c>
      <c r="AO503" s="521">
        <v>363</v>
      </c>
      <c r="AP503" s="521">
        <v>307</v>
      </c>
      <c r="AQ503" s="521">
        <v>338</v>
      </c>
      <c r="AR503" s="521">
        <v>347</v>
      </c>
      <c r="AS503" s="521">
        <v>354</v>
      </c>
      <c r="AT503" s="521">
        <v>356</v>
      </c>
      <c r="AU503" s="521">
        <v>352</v>
      </c>
      <c r="AV503" s="521">
        <v>311</v>
      </c>
      <c r="AW503" s="521">
        <v>316</v>
      </c>
      <c r="AX503" s="521">
        <v>334</v>
      </c>
      <c r="AY503" s="521">
        <v>320</v>
      </c>
      <c r="AZ503" s="521">
        <v>335</v>
      </c>
      <c r="BA503" s="521">
        <v>353</v>
      </c>
      <c r="BB503" s="521">
        <v>347</v>
      </c>
      <c r="BC503" s="521">
        <v>316</v>
      </c>
      <c r="BD503" s="521">
        <v>308</v>
      </c>
      <c r="BE503" s="521">
        <v>280</v>
      </c>
      <c r="BF503" s="521">
        <v>309</v>
      </c>
      <c r="BG503" s="521">
        <v>342</v>
      </c>
      <c r="BH503" s="521">
        <v>348</v>
      </c>
      <c r="BI503" s="521">
        <v>356</v>
      </c>
      <c r="BJ503" s="521">
        <v>339</v>
      </c>
      <c r="BK503" s="521">
        <v>402</v>
      </c>
      <c r="BL503" s="521">
        <v>431</v>
      </c>
      <c r="BM503" s="521">
        <v>435</v>
      </c>
      <c r="BN503" s="521">
        <v>504</v>
      </c>
      <c r="BO503" s="521">
        <v>475</v>
      </c>
      <c r="BP503" s="521">
        <v>496</v>
      </c>
      <c r="BQ503" s="521">
        <v>511</v>
      </c>
      <c r="BR503" s="521">
        <v>501</v>
      </c>
      <c r="BS503" s="521">
        <v>541</v>
      </c>
      <c r="BT503" s="521">
        <v>553</v>
      </c>
      <c r="BU503" s="521">
        <v>538</v>
      </c>
      <c r="BV503" s="521">
        <v>517</v>
      </c>
      <c r="BW503" s="521">
        <v>495</v>
      </c>
      <c r="BX503" s="521">
        <v>529</v>
      </c>
      <c r="BY503" s="521">
        <v>518</v>
      </c>
      <c r="BZ503" s="521">
        <v>495</v>
      </c>
      <c r="CA503" s="521">
        <v>519</v>
      </c>
      <c r="CB503" s="521">
        <v>491</v>
      </c>
      <c r="CC503" s="521">
        <v>490</v>
      </c>
      <c r="CD503" s="521">
        <v>448</v>
      </c>
      <c r="CE503" s="521">
        <v>472</v>
      </c>
      <c r="CF503" s="521">
        <v>453</v>
      </c>
      <c r="CG503" s="521">
        <v>454</v>
      </c>
      <c r="CH503" s="521">
        <v>509</v>
      </c>
      <c r="CI503" s="521">
        <v>531</v>
      </c>
      <c r="CJ503" s="521">
        <v>500</v>
      </c>
      <c r="CK503" s="521">
        <v>376</v>
      </c>
      <c r="CL503" s="521">
        <v>376</v>
      </c>
      <c r="CM503" s="521">
        <v>354</v>
      </c>
      <c r="CN503" s="521">
        <v>347</v>
      </c>
      <c r="CO503" s="521">
        <v>289</v>
      </c>
      <c r="CP503" s="521">
        <v>213</v>
      </c>
      <c r="CQ503" s="521">
        <v>241</v>
      </c>
      <c r="CR503" s="521">
        <v>198</v>
      </c>
      <c r="CS503" s="521">
        <v>175</v>
      </c>
      <c r="CT503" s="521">
        <v>168</v>
      </c>
      <c r="CU503" s="521">
        <v>134</v>
      </c>
      <c r="CV503" s="521">
        <v>115</v>
      </c>
      <c r="CW503" s="521">
        <v>97</v>
      </c>
      <c r="CX503" s="521">
        <v>84</v>
      </c>
      <c r="CY503" s="521">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21">
        <v>483</v>
      </c>
      <c r="N504" s="521">
        <v>469</v>
      </c>
      <c r="O504" s="521">
        <v>522</v>
      </c>
      <c r="P504" s="521">
        <v>523</v>
      </c>
      <c r="Q504" s="521">
        <v>549</v>
      </c>
      <c r="R504" s="521">
        <v>540</v>
      </c>
      <c r="S504" s="521">
        <v>563</v>
      </c>
      <c r="T504" s="521">
        <v>620</v>
      </c>
      <c r="U504" s="521">
        <v>583</v>
      </c>
      <c r="V504" s="521">
        <v>622</v>
      </c>
      <c r="W504" s="521">
        <v>611</v>
      </c>
      <c r="X504" s="521">
        <v>686</v>
      </c>
      <c r="Y504" s="521">
        <v>621</v>
      </c>
      <c r="Z504" s="521">
        <v>634</v>
      </c>
      <c r="AA504" s="521">
        <v>601</v>
      </c>
      <c r="AB504" s="521">
        <v>642</v>
      </c>
      <c r="AC504" s="521">
        <v>627</v>
      </c>
      <c r="AD504" s="521">
        <v>641</v>
      </c>
      <c r="AE504" s="521">
        <v>613</v>
      </c>
      <c r="AF504" s="521">
        <v>404</v>
      </c>
      <c r="AG504" s="521">
        <v>422</v>
      </c>
      <c r="AH504" s="521">
        <v>441</v>
      </c>
      <c r="AI504" s="521">
        <v>543</v>
      </c>
      <c r="AJ504" s="521">
        <v>525</v>
      </c>
      <c r="AK504" s="521">
        <v>583</v>
      </c>
      <c r="AL504" s="521">
        <v>572</v>
      </c>
      <c r="AM504" s="521">
        <v>471</v>
      </c>
      <c r="AN504" s="521">
        <v>561</v>
      </c>
      <c r="AO504" s="521">
        <v>538</v>
      </c>
      <c r="AP504" s="521">
        <v>526</v>
      </c>
      <c r="AQ504" s="521">
        <v>576</v>
      </c>
      <c r="AR504" s="521">
        <v>623</v>
      </c>
      <c r="AS504" s="521">
        <v>576</v>
      </c>
      <c r="AT504" s="521">
        <v>615</v>
      </c>
      <c r="AU504" s="521">
        <v>597</v>
      </c>
      <c r="AV504" s="521">
        <v>594</v>
      </c>
      <c r="AW504" s="521">
        <v>552</v>
      </c>
      <c r="AX504" s="521">
        <v>589</v>
      </c>
      <c r="AY504" s="521">
        <v>559</v>
      </c>
      <c r="AZ504" s="521">
        <v>543</v>
      </c>
      <c r="BA504" s="521">
        <v>551</v>
      </c>
      <c r="BB504" s="521">
        <v>596</v>
      </c>
      <c r="BC504" s="521">
        <v>626</v>
      </c>
      <c r="BD504" s="521">
        <v>555</v>
      </c>
      <c r="BE504" s="521">
        <v>470</v>
      </c>
      <c r="BF504" s="521">
        <v>555</v>
      </c>
      <c r="BG504" s="521">
        <v>559</v>
      </c>
      <c r="BH504" s="521">
        <v>569</v>
      </c>
      <c r="BI504" s="521">
        <v>603</v>
      </c>
      <c r="BJ504" s="521">
        <v>679</v>
      </c>
      <c r="BK504" s="521">
        <v>788</v>
      </c>
      <c r="BL504" s="521">
        <v>775</v>
      </c>
      <c r="BM504" s="521">
        <v>750</v>
      </c>
      <c r="BN504" s="521">
        <v>805</v>
      </c>
      <c r="BO504" s="521">
        <v>775</v>
      </c>
      <c r="BP504" s="521">
        <v>819</v>
      </c>
      <c r="BQ504" s="521">
        <v>862</v>
      </c>
      <c r="BR504" s="521">
        <v>890</v>
      </c>
      <c r="BS504" s="521">
        <v>870</v>
      </c>
      <c r="BT504" s="521">
        <v>881</v>
      </c>
      <c r="BU504" s="521">
        <v>879</v>
      </c>
      <c r="BV504" s="521">
        <v>894</v>
      </c>
      <c r="BW504" s="521">
        <v>876</v>
      </c>
      <c r="BX504" s="521">
        <v>830</v>
      </c>
      <c r="BY504" s="521">
        <v>792</v>
      </c>
      <c r="BZ504" s="521">
        <v>785</v>
      </c>
      <c r="CA504" s="521">
        <v>740</v>
      </c>
      <c r="CB504" s="521">
        <v>717</v>
      </c>
      <c r="CC504" s="521">
        <v>789</v>
      </c>
      <c r="CD504" s="521">
        <v>744</v>
      </c>
      <c r="CE504" s="521">
        <v>734</v>
      </c>
      <c r="CF504" s="521">
        <v>780</v>
      </c>
      <c r="CG504" s="521">
        <v>723</v>
      </c>
      <c r="CH504" s="521">
        <v>809</v>
      </c>
      <c r="CI504" s="521">
        <v>853</v>
      </c>
      <c r="CJ504" s="521">
        <v>851</v>
      </c>
      <c r="CK504" s="521">
        <v>673</v>
      </c>
      <c r="CL504" s="521">
        <v>628</v>
      </c>
      <c r="CM504" s="521">
        <v>602</v>
      </c>
      <c r="CN504" s="521">
        <v>548</v>
      </c>
      <c r="CO504" s="521">
        <v>479</v>
      </c>
      <c r="CP504" s="521">
        <v>400</v>
      </c>
      <c r="CQ504" s="521">
        <v>367</v>
      </c>
      <c r="CR504" s="521">
        <v>373</v>
      </c>
      <c r="CS504" s="521">
        <v>296</v>
      </c>
      <c r="CT504" s="521">
        <v>289</v>
      </c>
      <c r="CU504" s="521">
        <v>267</v>
      </c>
      <c r="CV504" s="521">
        <v>251</v>
      </c>
      <c r="CW504" s="521">
        <v>195</v>
      </c>
      <c r="CX504" s="521">
        <v>194</v>
      </c>
      <c r="CY504" s="521">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21">
        <v>457</v>
      </c>
      <c r="N505" s="521">
        <v>493</v>
      </c>
      <c r="O505" s="521">
        <v>520</v>
      </c>
      <c r="P505" s="521">
        <v>480</v>
      </c>
      <c r="Q505" s="521">
        <v>486</v>
      </c>
      <c r="R505" s="521">
        <v>551</v>
      </c>
      <c r="S505" s="521">
        <v>523</v>
      </c>
      <c r="T505" s="521">
        <v>558</v>
      </c>
      <c r="U505" s="521">
        <v>524</v>
      </c>
      <c r="V505" s="521">
        <v>561</v>
      </c>
      <c r="W505" s="521">
        <v>567</v>
      </c>
      <c r="X505" s="521">
        <v>592</v>
      </c>
      <c r="Y505" s="521">
        <v>615</v>
      </c>
      <c r="Z505" s="521">
        <v>593</v>
      </c>
      <c r="AA505" s="521">
        <v>609</v>
      </c>
      <c r="AB505" s="521">
        <v>587</v>
      </c>
      <c r="AC505" s="521">
        <v>587</v>
      </c>
      <c r="AD505" s="521">
        <v>627</v>
      </c>
      <c r="AE505" s="521">
        <v>551</v>
      </c>
      <c r="AF505" s="521">
        <v>439</v>
      </c>
      <c r="AG505" s="521">
        <v>422</v>
      </c>
      <c r="AH505" s="521">
        <v>434</v>
      </c>
      <c r="AI505" s="521">
        <v>423</v>
      </c>
      <c r="AJ505" s="521">
        <v>470</v>
      </c>
      <c r="AK505" s="521">
        <v>490</v>
      </c>
      <c r="AL505" s="521">
        <v>482</v>
      </c>
      <c r="AM505" s="521">
        <v>514</v>
      </c>
      <c r="AN505" s="521">
        <v>470</v>
      </c>
      <c r="AO505" s="521">
        <v>500</v>
      </c>
      <c r="AP505" s="521">
        <v>483</v>
      </c>
      <c r="AQ505" s="521">
        <v>507</v>
      </c>
      <c r="AR505" s="521">
        <v>516</v>
      </c>
      <c r="AS505" s="521">
        <v>511</v>
      </c>
      <c r="AT505" s="521">
        <v>471</v>
      </c>
      <c r="AU505" s="521">
        <v>530</v>
      </c>
      <c r="AV505" s="521">
        <v>513</v>
      </c>
      <c r="AW505" s="521">
        <v>510</v>
      </c>
      <c r="AX505" s="521">
        <v>477</v>
      </c>
      <c r="AY505" s="521">
        <v>509</v>
      </c>
      <c r="AZ505" s="521">
        <v>424</v>
      </c>
      <c r="BA505" s="521">
        <v>488</v>
      </c>
      <c r="BB505" s="521">
        <v>496</v>
      </c>
      <c r="BC505" s="521">
        <v>500</v>
      </c>
      <c r="BD505" s="521">
        <v>478</v>
      </c>
      <c r="BE505" s="521">
        <v>422</v>
      </c>
      <c r="BF505" s="521">
        <v>464</v>
      </c>
      <c r="BG505" s="521">
        <v>515</v>
      </c>
      <c r="BH505" s="521">
        <v>516</v>
      </c>
      <c r="BI505" s="521">
        <v>525</v>
      </c>
      <c r="BJ505" s="521">
        <v>532</v>
      </c>
      <c r="BK505" s="521">
        <v>646</v>
      </c>
      <c r="BL505" s="521">
        <v>654</v>
      </c>
      <c r="BM505" s="521">
        <v>645</v>
      </c>
      <c r="BN505" s="521">
        <v>662</v>
      </c>
      <c r="BO505" s="521">
        <v>643</v>
      </c>
      <c r="BP505" s="521">
        <v>715</v>
      </c>
      <c r="BQ505" s="521">
        <v>681</v>
      </c>
      <c r="BR505" s="521">
        <v>758</v>
      </c>
      <c r="BS505" s="521">
        <v>746</v>
      </c>
      <c r="BT505" s="521">
        <v>697</v>
      </c>
      <c r="BU505" s="521">
        <v>737</v>
      </c>
      <c r="BV505" s="521">
        <v>654</v>
      </c>
      <c r="BW505" s="521">
        <v>713</v>
      </c>
      <c r="BX505" s="521">
        <v>665</v>
      </c>
      <c r="BY505" s="521">
        <v>635</v>
      </c>
      <c r="BZ505" s="521">
        <v>637</v>
      </c>
      <c r="CA505" s="521">
        <v>603</v>
      </c>
      <c r="CB505" s="521">
        <v>603</v>
      </c>
      <c r="CC505" s="521">
        <v>596</v>
      </c>
      <c r="CD505" s="521">
        <v>599</v>
      </c>
      <c r="CE505" s="521">
        <v>543</v>
      </c>
      <c r="CF505" s="521">
        <v>547</v>
      </c>
      <c r="CG505" s="521">
        <v>614</v>
      </c>
      <c r="CH505" s="521">
        <v>653</v>
      </c>
      <c r="CI505" s="521">
        <v>674</v>
      </c>
      <c r="CJ505" s="521">
        <v>666</v>
      </c>
      <c r="CK505" s="521">
        <v>469</v>
      </c>
      <c r="CL505" s="521">
        <v>446</v>
      </c>
      <c r="CM505" s="521">
        <v>473</v>
      </c>
      <c r="CN505" s="521">
        <v>443</v>
      </c>
      <c r="CO505" s="521">
        <v>359</v>
      </c>
      <c r="CP505" s="521">
        <v>328</v>
      </c>
      <c r="CQ505" s="521">
        <v>290</v>
      </c>
      <c r="CR505" s="521">
        <v>259</v>
      </c>
      <c r="CS505" s="521">
        <v>236</v>
      </c>
      <c r="CT505" s="521">
        <v>224</v>
      </c>
      <c r="CU505" s="521">
        <v>181</v>
      </c>
      <c r="CV505" s="521">
        <v>162</v>
      </c>
      <c r="CW505" s="521">
        <v>127</v>
      </c>
      <c r="CX505" s="521">
        <v>108</v>
      </c>
      <c r="CY505" s="521">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21">
        <v>701</v>
      </c>
      <c r="N506" s="521">
        <v>780</v>
      </c>
      <c r="O506" s="521">
        <v>775</v>
      </c>
      <c r="P506" s="521">
        <v>770</v>
      </c>
      <c r="Q506" s="521">
        <v>817</v>
      </c>
      <c r="R506" s="521">
        <v>825</v>
      </c>
      <c r="S506" s="521">
        <v>849</v>
      </c>
      <c r="T506" s="521">
        <v>888</v>
      </c>
      <c r="U506" s="521">
        <v>904</v>
      </c>
      <c r="V506" s="521">
        <v>899</v>
      </c>
      <c r="W506" s="521">
        <v>971</v>
      </c>
      <c r="X506" s="521">
        <v>933</v>
      </c>
      <c r="Y506" s="521">
        <v>1008</v>
      </c>
      <c r="Z506" s="521">
        <v>933</v>
      </c>
      <c r="AA506" s="521">
        <v>1033</v>
      </c>
      <c r="AB506" s="521">
        <v>950</v>
      </c>
      <c r="AC506" s="521">
        <v>903</v>
      </c>
      <c r="AD506" s="521">
        <v>944</v>
      </c>
      <c r="AE506" s="521">
        <v>881</v>
      </c>
      <c r="AF506" s="521">
        <v>661</v>
      </c>
      <c r="AG506" s="521">
        <v>648</v>
      </c>
      <c r="AH506" s="521">
        <v>673</v>
      </c>
      <c r="AI506" s="521">
        <v>728</v>
      </c>
      <c r="AJ506" s="521">
        <v>844</v>
      </c>
      <c r="AK506" s="521">
        <v>853</v>
      </c>
      <c r="AL506" s="521">
        <v>829</v>
      </c>
      <c r="AM506" s="521">
        <v>799</v>
      </c>
      <c r="AN506" s="521">
        <v>822</v>
      </c>
      <c r="AO506" s="521">
        <v>837</v>
      </c>
      <c r="AP506" s="521">
        <v>879</v>
      </c>
      <c r="AQ506" s="521">
        <v>1004</v>
      </c>
      <c r="AR506" s="521">
        <v>928</v>
      </c>
      <c r="AS506" s="521">
        <v>919</v>
      </c>
      <c r="AT506" s="521">
        <v>961</v>
      </c>
      <c r="AU506" s="521">
        <v>970</v>
      </c>
      <c r="AV506" s="521">
        <v>947</v>
      </c>
      <c r="AW506" s="521">
        <v>978</v>
      </c>
      <c r="AX506" s="521">
        <v>903</v>
      </c>
      <c r="AY506" s="521">
        <v>860</v>
      </c>
      <c r="AZ506" s="521">
        <v>889</v>
      </c>
      <c r="BA506" s="521">
        <v>925</v>
      </c>
      <c r="BB506" s="521">
        <v>916</v>
      </c>
      <c r="BC506" s="521">
        <v>930</v>
      </c>
      <c r="BD506" s="521">
        <v>875</v>
      </c>
      <c r="BE506" s="521">
        <v>855</v>
      </c>
      <c r="BF506" s="521">
        <v>802</v>
      </c>
      <c r="BG506" s="521">
        <v>825</v>
      </c>
      <c r="BH506" s="521">
        <v>925</v>
      </c>
      <c r="BI506" s="521">
        <v>970</v>
      </c>
      <c r="BJ506" s="521">
        <v>989</v>
      </c>
      <c r="BK506" s="521">
        <v>1124</v>
      </c>
      <c r="BL506" s="521">
        <v>1159</v>
      </c>
      <c r="BM506" s="521">
        <v>1172</v>
      </c>
      <c r="BN506" s="521">
        <v>1222</v>
      </c>
      <c r="BO506" s="521">
        <v>1193</v>
      </c>
      <c r="BP506" s="521">
        <v>1115</v>
      </c>
      <c r="BQ506" s="521">
        <v>1116</v>
      </c>
      <c r="BR506" s="521">
        <v>1156</v>
      </c>
      <c r="BS506" s="521">
        <v>1196</v>
      </c>
      <c r="BT506" s="521">
        <v>1096</v>
      </c>
      <c r="BU506" s="521">
        <v>1149</v>
      </c>
      <c r="BV506" s="521">
        <v>1060</v>
      </c>
      <c r="BW506" s="521">
        <v>1024</v>
      </c>
      <c r="BX506" s="521">
        <v>1036</v>
      </c>
      <c r="BY506" s="521">
        <v>912</v>
      </c>
      <c r="BZ506" s="521">
        <v>883</v>
      </c>
      <c r="CA506" s="521">
        <v>867</v>
      </c>
      <c r="CB506" s="521">
        <v>793</v>
      </c>
      <c r="CC506" s="521">
        <v>812</v>
      </c>
      <c r="CD506" s="521">
        <v>850</v>
      </c>
      <c r="CE506" s="521">
        <v>761</v>
      </c>
      <c r="CF506" s="521">
        <v>877</v>
      </c>
      <c r="CG506" s="521">
        <v>832</v>
      </c>
      <c r="CH506" s="521">
        <v>891</v>
      </c>
      <c r="CI506" s="521">
        <v>922</v>
      </c>
      <c r="CJ506" s="521">
        <v>1006</v>
      </c>
      <c r="CK506" s="521">
        <v>637</v>
      </c>
      <c r="CL506" s="521">
        <v>646</v>
      </c>
      <c r="CM506" s="521">
        <v>660</v>
      </c>
      <c r="CN506" s="521">
        <v>553</v>
      </c>
      <c r="CO506" s="521">
        <v>481</v>
      </c>
      <c r="CP506" s="521">
        <v>430</v>
      </c>
      <c r="CQ506" s="521">
        <v>426</v>
      </c>
      <c r="CR506" s="521">
        <v>354</v>
      </c>
      <c r="CS506" s="521">
        <v>350</v>
      </c>
      <c r="CT506" s="521">
        <v>287</v>
      </c>
      <c r="CU506" s="521">
        <v>257</v>
      </c>
      <c r="CV506" s="521">
        <v>212</v>
      </c>
      <c r="CW506" s="521">
        <v>170</v>
      </c>
      <c r="CX506" s="521">
        <v>138</v>
      </c>
      <c r="CY506" s="521">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21">
        <v>554</v>
      </c>
      <c r="N507" s="521">
        <v>518</v>
      </c>
      <c r="O507" s="521">
        <v>550</v>
      </c>
      <c r="P507" s="521">
        <v>548</v>
      </c>
      <c r="Q507" s="521">
        <v>593</v>
      </c>
      <c r="R507" s="521">
        <v>563</v>
      </c>
      <c r="S507" s="521">
        <v>656</v>
      </c>
      <c r="T507" s="521">
        <v>596</v>
      </c>
      <c r="U507" s="521">
        <v>662</v>
      </c>
      <c r="V507" s="521">
        <v>660</v>
      </c>
      <c r="W507" s="521">
        <v>664</v>
      </c>
      <c r="X507" s="521">
        <v>666</v>
      </c>
      <c r="Y507" s="521">
        <v>714</v>
      </c>
      <c r="Z507" s="521">
        <v>665</v>
      </c>
      <c r="AA507" s="521">
        <v>674</v>
      </c>
      <c r="AB507" s="521">
        <v>671</v>
      </c>
      <c r="AC507" s="521">
        <v>653</v>
      </c>
      <c r="AD507" s="521">
        <v>618</v>
      </c>
      <c r="AE507" s="521">
        <v>660</v>
      </c>
      <c r="AF507" s="521">
        <v>869</v>
      </c>
      <c r="AG507" s="521">
        <v>893</v>
      </c>
      <c r="AH507" s="521">
        <v>930</v>
      </c>
      <c r="AI507" s="521">
        <v>871</v>
      </c>
      <c r="AJ507" s="521">
        <v>777</v>
      </c>
      <c r="AK507" s="521">
        <v>709</v>
      </c>
      <c r="AL507" s="521">
        <v>648</v>
      </c>
      <c r="AM507" s="521">
        <v>637</v>
      </c>
      <c r="AN507" s="521">
        <v>635</v>
      </c>
      <c r="AO507" s="521">
        <v>676</v>
      </c>
      <c r="AP507" s="521">
        <v>659</v>
      </c>
      <c r="AQ507" s="521">
        <v>661</v>
      </c>
      <c r="AR507" s="521">
        <v>643</v>
      </c>
      <c r="AS507" s="521">
        <v>663</v>
      </c>
      <c r="AT507" s="521">
        <v>677</v>
      </c>
      <c r="AU507" s="521">
        <v>680</v>
      </c>
      <c r="AV507" s="521">
        <v>704</v>
      </c>
      <c r="AW507" s="521">
        <v>572</v>
      </c>
      <c r="AX507" s="521">
        <v>595</v>
      </c>
      <c r="AY507" s="521">
        <v>582</v>
      </c>
      <c r="AZ507" s="521">
        <v>586</v>
      </c>
      <c r="BA507" s="521">
        <v>589</v>
      </c>
      <c r="BB507" s="521">
        <v>603</v>
      </c>
      <c r="BC507" s="521">
        <v>613</v>
      </c>
      <c r="BD507" s="521">
        <v>569</v>
      </c>
      <c r="BE507" s="521">
        <v>557</v>
      </c>
      <c r="BF507" s="521">
        <v>575</v>
      </c>
      <c r="BG507" s="521">
        <v>581</v>
      </c>
      <c r="BH507" s="521">
        <v>606</v>
      </c>
      <c r="BI507" s="521">
        <v>678</v>
      </c>
      <c r="BJ507" s="521">
        <v>722</v>
      </c>
      <c r="BK507" s="521">
        <v>767</v>
      </c>
      <c r="BL507" s="521">
        <v>811</v>
      </c>
      <c r="BM507" s="521">
        <v>804</v>
      </c>
      <c r="BN507" s="521">
        <v>775</v>
      </c>
      <c r="BO507" s="521">
        <v>801</v>
      </c>
      <c r="BP507" s="521">
        <v>799</v>
      </c>
      <c r="BQ507" s="521">
        <v>858</v>
      </c>
      <c r="BR507" s="521">
        <v>866</v>
      </c>
      <c r="BS507" s="521">
        <v>874</v>
      </c>
      <c r="BT507" s="521">
        <v>888</v>
      </c>
      <c r="BU507" s="521">
        <v>867</v>
      </c>
      <c r="BV507" s="521">
        <v>849</v>
      </c>
      <c r="BW507" s="521">
        <v>771</v>
      </c>
      <c r="BX507" s="521">
        <v>768</v>
      </c>
      <c r="BY507" s="521">
        <v>811</v>
      </c>
      <c r="BZ507" s="521">
        <v>756</v>
      </c>
      <c r="CA507" s="521">
        <v>711</v>
      </c>
      <c r="CB507" s="521">
        <v>727</v>
      </c>
      <c r="CC507" s="521">
        <v>675</v>
      </c>
      <c r="CD507" s="521">
        <v>709</v>
      </c>
      <c r="CE507" s="521">
        <v>650</v>
      </c>
      <c r="CF507" s="521">
        <v>649</v>
      </c>
      <c r="CG507" s="521">
        <v>649</v>
      </c>
      <c r="CH507" s="521">
        <v>729</v>
      </c>
      <c r="CI507" s="521">
        <v>764</v>
      </c>
      <c r="CJ507" s="521">
        <v>736</v>
      </c>
      <c r="CK507" s="521">
        <v>589</v>
      </c>
      <c r="CL507" s="521">
        <v>522</v>
      </c>
      <c r="CM507" s="521">
        <v>521</v>
      </c>
      <c r="CN507" s="521">
        <v>483</v>
      </c>
      <c r="CO507" s="521">
        <v>379</v>
      </c>
      <c r="CP507" s="521">
        <v>308</v>
      </c>
      <c r="CQ507" s="521">
        <v>331</v>
      </c>
      <c r="CR507" s="521">
        <v>327</v>
      </c>
      <c r="CS507" s="521">
        <v>274</v>
      </c>
      <c r="CT507" s="521">
        <v>248</v>
      </c>
      <c r="CU507" s="521">
        <v>221</v>
      </c>
      <c r="CV507" s="521">
        <v>181</v>
      </c>
      <c r="CW507" s="521">
        <v>162</v>
      </c>
      <c r="CX507" s="521">
        <v>135</v>
      </c>
      <c r="CY507" s="521">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21">
        <v>273</v>
      </c>
      <c r="N508" s="521">
        <v>322</v>
      </c>
      <c r="O508" s="521">
        <v>305</v>
      </c>
      <c r="P508" s="521">
        <v>320</v>
      </c>
      <c r="Q508" s="521">
        <v>334</v>
      </c>
      <c r="R508" s="521">
        <v>383</v>
      </c>
      <c r="S508" s="521">
        <v>383</v>
      </c>
      <c r="T508" s="521">
        <v>361</v>
      </c>
      <c r="U508" s="521">
        <v>383</v>
      </c>
      <c r="V508" s="521">
        <v>411</v>
      </c>
      <c r="W508" s="521">
        <v>394</v>
      </c>
      <c r="X508" s="521">
        <v>440</v>
      </c>
      <c r="Y508" s="521">
        <v>405</v>
      </c>
      <c r="Z508" s="521">
        <v>438</v>
      </c>
      <c r="AA508" s="521">
        <v>385</v>
      </c>
      <c r="AB508" s="521">
        <v>392</v>
      </c>
      <c r="AC508" s="521">
        <v>391</v>
      </c>
      <c r="AD508" s="521">
        <v>389</v>
      </c>
      <c r="AE508" s="521">
        <v>348</v>
      </c>
      <c r="AF508" s="521">
        <v>299</v>
      </c>
      <c r="AG508" s="521">
        <v>302</v>
      </c>
      <c r="AH508" s="521">
        <v>273</v>
      </c>
      <c r="AI508" s="521">
        <v>297</v>
      </c>
      <c r="AJ508" s="521">
        <v>367</v>
      </c>
      <c r="AK508" s="521">
        <v>299</v>
      </c>
      <c r="AL508" s="521">
        <v>316</v>
      </c>
      <c r="AM508" s="521">
        <v>341</v>
      </c>
      <c r="AN508" s="521">
        <v>319</v>
      </c>
      <c r="AO508" s="521">
        <v>363</v>
      </c>
      <c r="AP508" s="521">
        <v>338</v>
      </c>
      <c r="AQ508" s="521">
        <v>332</v>
      </c>
      <c r="AR508" s="521">
        <v>349</v>
      </c>
      <c r="AS508" s="521">
        <v>346</v>
      </c>
      <c r="AT508" s="521">
        <v>349</v>
      </c>
      <c r="AU508" s="521">
        <v>381</v>
      </c>
      <c r="AV508" s="521">
        <v>373</v>
      </c>
      <c r="AW508" s="521">
        <v>310</v>
      </c>
      <c r="AX508" s="521">
        <v>347</v>
      </c>
      <c r="AY508" s="521">
        <v>371</v>
      </c>
      <c r="AZ508" s="521">
        <v>328</v>
      </c>
      <c r="BA508" s="521">
        <v>331</v>
      </c>
      <c r="BB508" s="521">
        <v>346</v>
      </c>
      <c r="BC508" s="521">
        <v>345</v>
      </c>
      <c r="BD508" s="521">
        <v>373</v>
      </c>
      <c r="BE508" s="521">
        <v>321</v>
      </c>
      <c r="BF508" s="521">
        <v>306</v>
      </c>
      <c r="BG508" s="521">
        <v>326</v>
      </c>
      <c r="BH508" s="521">
        <v>357</v>
      </c>
      <c r="BI508" s="521">
        <v>373</v>
      </c>
      <c r="BJ508" s="521">
        <v>436</v>
      </c>
      <c r="BK508" s="521">
        <v>448</v>
      </c>
      <c r="BL508" s="521">
        <v>493</v>
      </c>
      <c r="BM508" s="521">
        <v>440</v>
      </c>
      <c r="BN508" s="521">
        <v>466</v>
      </c>
      <c r="BO508" s="521">
        <v>481</v>
      </c>
      <c r="BP508" s="521">
        <v>523</v>
      </c>
      <c r="BQ508" s="521">
        <v>490</v>
      </c>
      <c r="BR508" s="521">
        <v>546</v>
      </c>
      <c r="BS508" s="521">
        <v>515</v>
      </c>
      <c r="BT508" s="521">
        <v>563</v>
      </c>
      <c r="BU508" s="521">
        <v>503</v>
      </c>
      <c r="BV508" s="521">
        <v>511</v>
      </c>
      <c r="BW508" s="521">
        <v>539</v>
      </c>
      <c r="BX508" s="521">
        <v>521</v>
      </c>
      <c r="BY508" s="521">
        <v>482</v>
      </c>
      <c r="BZ508" s="521">
        <v>468</v>
      </c>
      <c r="CA508" s="521">
        <v>489</v>
      </c>
      <c r="CB508" s="521">
        <v>476</v>
      </c>
      <c r="CC508" s="521">
        <v>458</v>
      </c>
      <c r="CD508" s="521">
        <v>460</v>
      </c>
      <c r="CE508" s="521">
        <v>458</v>
      </c>
      <c r="CF508" s="521">
        <v>438</v>
      </c>
      <c r="CG508" s="521">
        <v>468</v>
      </c>
      <c r="CH508" s="521">
        <v>490</v>
      </c>
      <c r="CI508" s="521">
        <v>504</v>
      </c>
      <c r="CJ508" s="521">
        <v>484</v>
      </c>
      <c r="CK508" s="521">
        <v>343</v>
      </c>
      <c r="CL508" s="521">
        <v>365</v>
      </c>
      <c r="CM508" s="521">
        <v>374</v>
      </c>
      <c r="CN508" s="521">
        <v>344</v>
      </c>
      <c r="CO508" s="521">
        <v>273</v>
      </c>
      <c r="CP508" s="521">
        <v>244</v>
      </c>
      <c r="CQ508" s="521">
        <v>233</v>
      </c>
      <c r="CR508" s="521">
        <v>249</v>
      </c>
      <c r="CS508" s="521">
        <v>194</v>
      </c>
      <c r="CT508" s="521">
        <v>174</v>
      </c>
      <c r="CU508" s="521">
        <v>143</v>
      </c>
      <c r="CV508" s="521">
        <v>115</v>
      </c>
      <c r="CW508" s="521">
        <v>82</v>
      </c>
      <c r="CX508" s="521">
        <v>77</v>
      </c>
      <c r="CY508" s="521">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21">
        <v>322</v>
      </c>
      <c r="N509" s="521">
        <v>325</v>
      </c>
      <c r="O509" s="521">
        <v>329</v>
      </c>
      <c r="P509" s="521">
        <v>309</v>
      </c>
      <c r="Q509" s="521">
        <v>371</v>
      </c>
      <c r="R509" s="521">
        <v>402</v>
      </c>
      <c r="S509" s="521">
        <v>381</v>
      </c>
      <c r="T509" s="521">
        <v>384</v>
      </c>
      <c r="U509" s="521">
        <v>350</v>
      </c>
      <c r="V509" s="521">
        <v>355</v>
      </c>
      <c r="W509" s="521">
        <v>378</v>
      </c>
      <c r="X509" s="521">
        <v>405</v>
      </c>
      <c r="Y509" s="521">
        <v>360</v>
      </c>
      <c r="Z509" s="521">
        <v>363</v>
      </c>
      <c r="AA509" s="521">
        <v>375</v>
      </c>
      <c r="AB509" s="521">
        <v>379</v>
      </c>
      <c r="AC509" s="521">
        <v>337</v>
      </c>
      <c r="AD509" s="521">
        <v>307</v>
      </c>
      <c r="AE509" s="521">
        <v>319</v>
      </c>
      <c r="AF509" s="521">
        <v>333</v>
      </c>
      <c r="AG509" s="521">
        <v>297</v>
      </c>
      <c r="AH509" s="521">
        <v>289</v>
      </c>
      <c r="AI509" s="521">
        <v>333</v>
      </c>
      <c r="AJ509" s="521">
        <v>329</v>
      </c>
      <c r="AK509" s="521">
        <v>314</v>
      </c>
      <c r="AL509" s="521">
        <v>356</v>
      </c>
      <c r="AM509" s="521">
        <v>342</v>
      </c>
      <c r="AN509" s="521">
        <v>329</v>
      </c>
      <c r="AO509" s="521">
        <v>375</v>
      </c>
      <c r="AP509" s="521">
        <v>373</v>
      </c>
      <c r="AQ509" s="521">
        <v>362</v>
      </c>
      <c r="AR509" s="521">
        <v>382</v>
      </c>
      <c r="AS509" s="521">
        <v>390</v>
      </c>
      <c r="AT509" s="521">
        <v>371</v>
      </c>
      <c r="AU509" s="521">
        <v>386</v>
      </c>
      <c r="AV509" s="521">
        <v>397</v>
      </c>
      <c r="AW509" s="521">
        <v>396</v>
      </c>
      <c r="AX509" s="521">
        <v>417</v>
      </c>
      <c r="AY509" s="521">
        <v>405</v>
      </c>
      <c r="AZ509" s="521">
        <v>353</v>
      </c>
      <c r="BA509" s="521">
        <v>345</v>
      </c>
      <c r="BB509" s="521">
        <v>368</v>
      </c>
      <c r="BC509" s="521">
        <v>386</v>
      </c>
      <c r="BD509" s="521">
        <v>340</v>
      </c>
      <c r="BE509" s="521">
        <v>284</v>
      </c>
      <c r="BF509" s="521">
        <v>280</v>
      </c>
      <c r="BG509" s="521">
        <v>319</v>
      </c>
      <c r="BH509" s="521">
        <v>331</v>
      </c>
      <c r="BI509" s="521">
        <v>303</v>
      </c>
      <c r="BJ509" s="521">
        <v>340</v>
      </c>
      <c r="BK509" s="521">
        <v>362</v>
      </c>
      <c r="BL509" s="521">
        <v>394</v>
      </c>
      <c r="BM509" s="521">
        <v>378</v>
      </c>
      <c r="BN509" s="521">
        <v>423</v>
      </c>
      <c r="BO509" s="521">
        <v>387</v>
      </c>
      <c r="BP509" s="521">
        <v>385</v>
      </c>
      <c r="BQ509" s="521">
        <v>419</v>
      </c>
      <c r="BR509" s="521">
        <v>416</v>
      </c>
      <c r="BS509" s="521">
        <v>421</v>
      </c>
      <c r="BT509" s="521">
        <v>381</v>
      </c>
      <c r="BU509" s="521">
        <v>405</v>
      </c>
      <c r="BV509" s="521">
        <v>379</v>
      </c>
      <c r="BW509" s="521">
        <v>383</v>
      </c>
      <c r="BX509" s="521">
        <v>405</v>
      </c>
      <c r="BY509" s="521">
        <v>393</v>
      </c>
      <c r="BZ509" s="521">
        <v>324</v>
      </c>
      <c r="CA509" s="521">
        <v>306</v>
      </c>
      <c r="CB509" s="521">
        <v>295</v>
      </c>
      <c r="CC509" s="521">
        <v>323</v>
      </c>
      <c r="CD509" s="521">
        <v>301</v>
      </c>
      <c r="CE509" s="521">
        <v>295</v>
      </c>
      <c r="CF509" s="521">
        <v>300</v>
      </c>
      <c r="CG509" s="521">
        <v>276</v>
      </c>
      <c r="CH509" s="521">
        <v>314</v>
      </c>
      <c r="CI509" s="521">
        <v>295</v>
      </c>
      <c r="CJ509" s="521">
        <v>264</v>
      </c>
      <c r="CK509" s="521">
        <v>208</v>
      </c>
      <c r="CL509" s="521">
        <v>225</v>
      </c>
      <c r="CM509" s="521">
        <v>219</v>
      </c>
      <c r="CN509" s="521">
        <v>190</v>
      </c>
      <c r="CO509" s="521">
        <v>177</v>
      </c>
      <c r="CP509" s="521">
        <v>123</v>
      </c>
      <c r="CQ509" s="521">
        <v>131</v>
      </c>
      <c r="CR509" s="521">
        <v>119</v>
      </c>
      <c r="CS509" s="521">
        <v>109</v>
      </c>
      <c r="CT509" s="521">
        <v>95</v>
      </c>
      <c r="CU509" s="521">
        <v>84</v>
      </c>
      <c r="CV509" s="521">
        <v>76</v>
      </c>
      <c r="CW509" s="521">
        <v>50</v>
      </c>
      <c r="CX509" s="521">
        <v>44</v>
      </c>
      <c r="CY509" s="521">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21">
        <v>377</v>
      </c>
      <c r="N510" s="521">
        <v>383</v>
      </c>
      <c r="O510" s="521">
        <v>404</v>
      </c>
      <c r="P510" s="521">
        <v>394</v>
      </c>
      <c r="Q510" s="521">
        <v>447</v>
      </c>
      <c r="R510" s="521">
        <v>478</v>
      </c>
      <c r="S510" s="521">
        <v>490</v>
      </c>
      <c r="T510" s="521">
        <v>485</v>
      </c>
      <c r="U510" s="521">
        <v>489</v>
      </c>
      <c r="V510" s="521">
        <v>501</v>
      </c>
      <c r="W510" s="521">
        <v>531</v>
      </c>
      <c r="X510" s="521">
        <v>542</v>
      </c>
      <c r="Y510" s="521">
        <v>515</v>
      </c>
      <c r="Z510" s="521">
        <v>563</v>
      </c>
      <c r="AA510" s="521">
        <v>550</v>
      </c>
      <c r="AB510" s="521">
        <v>559</v>
      </c>
      <c r="AC510" s="521">
        <v>524</v>
      </c>
      <c r="AD510" s="521">
        <v>545</v>
      </c>
      <c r="AE510" s="521">
        <v>490</v>
      </c>
      <c r="AF510" s="521">
        <v>319</v>
      </c>
      <c r="AG510" s="521">
        <v>335</v>
      </c>
      <c r="AH510" s="521">
        <v>372</v>
      </c>
      <c r="AI510" s="521">
        <v>418</v>
      </c>
      <c r="AJ510" s="521">
        <v>441</v>
      </c>
      <c r="AK510" s="521">
        <v>398</v>
      </c>
      <c r="AL510" s="521">
        <v>495</v>
      </c>
      <c r="AM510" s="521">
        <v>449</v>
      </c>
      <c r="AN510" s="521">
        <v>462</v>
      </c>
      <c r="AO510" s="521">
        <v>457</v>
      </c>
      <c r="AP510" s="521">
        <v>442</v>
      </c>
      <c r="AQ510" s="521">
        <v>500</v>
      </c>
      <c r="AR510" s="521">
        <v>537</v>
      </c>
      <c r="AS510" s="521">
        <v>477</v>
      </c>
      <c r="AT510" s="521">
        <v>516</v>
      </c>
      <c r="AU510" s="521">
        <v>453</v>
      </c>
      <c r="AV510" s="521">
        <v>485</v>
      </c>
      <c r="AW510" s="521">
        <v>490</v>
      </c>
      <c r="AX510" s="521">
        <v>484</v>
      </c>
      <c r="AY510" s="521">
        <v>482</v>
      </c>
      <c r="AZ510" s="521">
        <v>486</v>
      </c>
      <c r="BA510" s="521">
        <v>499</v>
      </c>
      <c r="BB510" s="521">
        <v>471</v>
      </c>
      <c r="BC510" s="521">
        <v>509</v>
      </c>
      <c r="BD510" s="521">
        <v>520</v>
      </c>
      <c r="BE510" s="521">
        <v>463</v>
      </c>
      <c r="BF510" s="521">
        <v>519</v>
      </c>
      <c r="BG510" s="521">
        <v>496</v>
      </c>
      <c r="BH510" s="521">
        <v>549</v>
      </c>
      <c r="BI510" s="521">
        <v>538</v>
      </c>
      <c r="BJ510" s="521">
        <v>592</v>
      </c>
      <c r="BK510" s="521">
        <v>667</v>
      </c>
      <c r="BL510" s="521">
        <v>708</v>
      </c>
      <c r="BM510" s="521">
        <v>648</v>
      </c>
      <c r="BN510" s="521">
        <v>693</v>
      </c>
      <c r="BO510" s="521">
        <v>749</v>
      </c>
      <c r="BP510" s="521">
        <v>752</v>
      </c>
      <c r="BQ510" s="521">
        <v>784</v>
      </c>
      <c r="BR510" s="521">
        <v>766</v>
      </c>
      <c r="BS510" s="521">
        <v>756</v>
      </c>
      <c r="BT510" s="521">
        <v>782</v>
      </c>
      <c r="BU510" s="521">
        <v>721</v>
      </c>
      <c r="BV510" s="521">
        <v>717</v>
      </c>
      <c r="BW510" s="521">
        <v>665</v>
      </c>
      <c r="BX510" s="521">
        <v>635</v>
      </c>
      <c r="BY510" s="521">
        <v>685</v>
      </c>
      <c r="BZ510" s="521">
        <v>628</v>
      </c>
      <c r="CA510" s="521">
        <v>575</v>
      </c>
      <c r="CB510" s="521">
        <v>602</v>
      </c>
      <c r="CC510" s="521">
        <v>554</v>
      </c>
      <c r="CD510" s="521">
        <v>603</v>
      </c>
      <c r="CE510" s="521">
        <v>611</v>
      </c>
      <c r="CF510" s="521">
        <v>578</v>
      </c>
      <c r="CG510" s="521">
        <v>625</v>
      </c>
      <c r="CH510" s="521">
        <v>605</v>
      </c>
      <c r="CI510" s="521">
        <v>606</v>
      </c>
      <c r="CJ510" s="521">
        <v>658</v>
      </c>
      <c r="CK510" s="521">
        <v>487</v>
      </c>
      <c r="CL510" s="521">
        <v>470</v>
      </c>
      <c r="CM510" s="521">
        <v>490</v>
      </c>
      <c r="CN510" s="521">
        <v>437</v>
      </c>
      <c r="CO510" s="521">
        <v>368</v>
      </c>
      <c r="CP510" s="521">
        <v>310</v>
      </c>
      <c r="CQ510" s="521">
        <v>342</v>
      </c>
      <c r="CR510" s="521">
        <v>275</v>
      </c>
      <c r="CS510" s="521">
        <v>241</v>
      </c>
      <c r="CT510" s="521">
        <v>224</v>
      </c>
      <c r="CU510" s="521">
        <v>217</v>
      </c>
      <c r="CV510" s="521">
        <v>168</v>
      </c>
      <c r="CW510" s="521">
        <v>170</v>
      </c>
      <c r="CX510" s="521">
        <v>145</v>
      </c>
      <c r="CY510" s="521">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21">
        <v>636</v>
      </c>
      <c r="N511" s="521">
        <v>642</v>
      </c>
      <c r="O511" s="521">
        <v>647</v>
      </c>
      <c r="P511" s="521">
        <v>707</v>
      </c>
      <c r="Q511" s="521">
        <v>762</v>
      </c>
      <c r="R511" s="521">
        <v>761</v>
      </c>
      <c r="S511" s="521">
        <v>825</v>
      </c>
      <c r="T511" s="521">
        <v>811</v>
      </c>
      <c r="U511" s="521">
        <v>818</v>
      </c>
      <c r="V511" s="521">
        <v>783</v>
      </c>
      <c r="W511" s="521">
        <v>915</v>
      </c>
      <c r="X511" s="521">
        <v>922</v>
      </c>
      <c r="Y511" s="521">
        <v>869</v>
      </c>
      <c r="Z511" s="521">
        <v>864</v>
      </c>
      <c r="AA511" s="521">
        <v>873</v>
      </c>
      <c r="AB511" s="521">
        <v>854</v>
      </c>
      <c r="AC511" s="521">
        <v>858</v>
      </c>
      <c r="AD511" s="521">
        <v>823</v>
      </c>
      <c r="AE511" s="521">
        <v>958</v>
      </c>
      <c r="AF511" s="521">
        <v>1502</v>
      </c>
      <c r="AG511" s="521">
        <v>878</v>
      </c>
      <c r="AH511" s="521">
        <v>667</v>
      </c>
      <c r="AI511" s="521">
        <v>607</v>
      </c>
      <c r="AJ511" s="521">
        <v>701</v>
      </c>
      <c r="AK511" s="521">
        <v>688</v>
      </c>
      <c r="AL511" s="521">
        <v>776</v>
      </c>
      <c r="AM511" s="521">
        <v>789</v>
      </c>
      <c r="AN511" s="521">
        <v>806</v>
      </c>
      <c r="AO511" s="521">
        <v>797</v>
      </c>
      <c r="AP511" s="521">
        <v>829</v>
      </c>
      <c r="AQ511" s="521">
        <v>904</v>
      </c>
      <c r="AR511" s="521">
        <v>851</v>
      </c>
      <c r="AS511" s="521">
        <v>855</v>
      </c>
      <c r="AT511" s="521">
        <v>855</v>
      </c>
      <c r="AU511" s="521">
        <v>825</v>
      </c>
      <c r="AV511" s="521">
        <v>845</v>
      </c>
      <c r="AW511" s="521">
        <v>903</v>
      </c>
      <c r="AX511" s="521">
        <v>859</v>
      </c>
      <c r="AY511" s="521">
        <v>868</v>
      </c>
      <c r="AZ511" s="521">
        <v>830</v>
      </c>
      <c r="BA511" s="521">
        <v>830</v>
      </c>
      <c r="BB511" s="521">
        <v>850</v>
      </c>
      <c r="BC511" s="521">
        <v>826</v>
      </c>
      <c r="BD511" s="521">
        <v>853</v>
      </c>
      <c r="BE511" s="521">
        <v>809</v>
      </c>
      <c r="BF511" s="521">
        <v>756</v>
      </c>
      <c r="BG511" s="521">
        <v>746</v>
      </c>
      <c r="BH511" s="521">
        <v>825</v>
      </c>
      <c r="BI511" s="521">
        <v>777</v>
      </c>
      <c r="BJ511" s="521">
        <v>849</v>
      </c>
      <c r="BK511" s="521">
        <v>862</v>
      </c>
      <c r="BL511" s="521">
        <v>954</v>
      </c>
      <c r="BM511" s="521">
        <v>904</v>
      </c>
      <c r="BN511" s="521">
        <v>948</v>
      </c>
      <c r="BO511" s="521">
        <v>1003</v>
      </c>
      <c r="BP511" s="521">
        <v>945</v>
      </c>
      <c r="BQ511" s="521">
        <v>984</v>
      </c>
      <c r="BR511" s="521">
        <v>991</v>
      </c>
      <c r="BS511" s="521">
        <v>1043</v>
      </c>
      <c r="BT511" s="521">
        <v>992</v>
      </c>
      <c r="BU511" s="521">
        <v>975</v>
      </c>
      <c r="BV511" s="521">
        <v>943</v>
      </c>
      <c r="BW511" s="521">
        <v>960</v>
      </c>
      <c r="BX511" s="521">
        <v>888</v>
      </c>
      <c r="BY511" s="521">
        <v>1006</v>
      </c>
      <c r="BZ511" s="521">
        <v>870</v>
      </c>
      <c r="CA511" s="521">
        <v>796</v>
      </c>
      <c r="CB511" s="521">
        <v>802</v>
      </c>
      <c r="CC511" s="521">
        <v>793</v>
      </c>
      <c r="CD511" s="521">
        <v>815</v>
      </c>
      <c r="CE511" s="521">
        <v>772</v>
      </c>
      <c r="CF511" s="521">
        <v>725</v>
      </c>
      <c r="CG511" s="521">
        <v>778</v>
      </c>
      <c r="CH511" s="521">
        <v>746</v>
      </c>
      <c r="CI511" s="521">
        <v>847</v>
      </c>
      <c r="CJ511" s="521">
        <v>799</v>
      </c>
      <c r="CK511" s="521">
        <v>579</v>
      </c>
      <c r="CL511" s="521">
        <v>577</v>
      </c>
      <c r="CM511" s="521">
        <v>556</v>
      </c>
      <c r="CN511" s="521">
        <v>505</v>
      </c>
      <c r="CO511" s="521">
        <v>452</v>
      </c>
      <c r="CP511" s="521">
        <v>360</v>
      </c>
      <c r="CQ511" s="521">
        <v>384</v>
      </c>
      <c r="CR511" s="521">
        <v>318</v>
      </c>
      <c r="CS511" s="521">
        <v>294</v>
      </c>
      <c r="CT511" s="521">
        <v>260</v>
      </c>
      <c r="CU511" s="521">
        <v>226</v>
      </c>
      <c r="CV511" s="521">
        <v>183</v>
      </c>
      <c r="CW511" s="521">
        <v>177</v>
      </c>
      <c r="CX511" s="521">
        <v>127</v>
      </c>
      <c r="CY511" s="521">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21">
        <v>1002</v>
      </c>
      <c r="N512" s="521">
        <v>958</v>
      </c>
      <c r="O512" s="521">
        <v>993</v>
      </c>
      <c r="P512" s="521">
        <v>1033</v>
      </c>
      <c r="Q512" s="521">
        <v>1002</v>
      </c>
      <c r="R512" s="521">
        <v>1014</v>
      </c>
      <c r="S512" s="521">
        <v>1196</v>
      </c>
      <c r="T512" s="521">
        <v>1083</v>
      </c>
      <c r="U512" s="521">
        <v>1043</v>
      </c>
      <c r="V512" s="521">
        <v>1089</v>
      </c>
      <c r="W512" s="521">
        <v>1039</v>
      </c>
      <c r="X512" s="521">
        <v>1059</v>
      </c>
      <c r="Y512" s="521">
        <v>1048</v>
      </c>
      <c r="Z512" s="521">
        <v>1123</v>
      </c>
      <c r="AA512" s="521">
        <v>1128</v>
      </c>
      <c r="AB512" s="521">
        <v>945</v>
      </c>
      <c r="AC512" s="521">
        <v>940</v>
      </c>
      <c r="AD512" s="521">
        <v>952</v>
      </c>
      <c r="AE512" s="521">
        <v>969</v>
      </c>
      <c r="AF512" s="521">
        <v>782</v>
      </c>
      <c r="AG512" s="521">
        <v>699</v>
      </c>
      <c r="AH512" s="521">
        <v>774</v>
      </c>
      <c r="AI512" s="521">
        <v>881</v>
      </c>
      <c r="AJ512" s="521">
        <v>985</v>
      </c>
      <c r="AK512" s="521">
        <v>959</v>
      </c>
      <c r="AL512" s="521">
        <v>1027</v>
      </c>
      <c r="AM512" s="521">
        <v>1005</v>
      </c>
      <c r="AN512" s="521">
        <v>1020</v>
      </c>
      <c r="AO512" s="521">
        <v>1076</v>
      </c>
      <c r="AP512" s="521">
        <v>1245</v>
      </c>
      <c r="AQ512" s="521">
        <v>1220</v>
      </c>
      <c r="AR512" s="521">
        <v>1265</v>
      </c>
      <c r="AS512" s="521">
        <v>1169</v>
      </c>
      <c r="AT512" s="521">
        <v>1279</v>
      </c>
      <c r="AU512" s="521">
        <v>1332</v>
      </c>
      <c r="AV512" s="521">
        <v>1215</v>
      </c>
      <c r="AW512" s="521">
        <v>1185</v>
      </c>
      <c r="AX512" s="521">
        <v>1259</v>
      </c>
      <c r="AY512" s="521">
        <v>1143</v>
      </c>
      <c r="AZ512" s="521">
        <v>1017</v>
      </c>
      <c r="BA512" s="521">
        <v>1038</v>
      </c>
      <c r="BB512" s="521">
        <v>1044</v>
      </c>
      <c r="BC512" s="521">
        <v>1120</v>
      </c>
      <c r="BD512" s="521">
        <v>1055</v>
      </c>
      <c r="BE512" s="521">
        <v>942</v>
      </c>
      <c r="BF512" s="521">
        <v>907</v>
      </c>
      <c r="BG512" s="521">
        <v>917</v>
      </c>
      <c r="BH512" s="521">
        <v>953</v>
      </c>
      <c r="BI512" s="521">
        <v>944</v>
      </c>
      <c r="BJ512" s="521">
        <v>996</v>
      </c>
      <c r="BK512" s="521">
        <v>980</v>
      </c>
      <c r="BL512" s="521">
        <v>1095</v>
      </c>
      <c r="BM512" s="521">
        <v>1067</v>
      </c>
      <c r="BN512" s="521">
        <v>1100</v>
      </c>
      <c r="BO512" s="521">
        <v>948</v>
      </c>
      <c r="BP512" s="521">
        <v>1070</v>
      </c>
      <c r="BQ512" s="521">
        <v>1067</v>
      </c>
      <c r="BR512" s="521">
        <v>1053</v>
      </c>
      <c r="BS512" s="521">
        <v>1041</v>
      </c>
      <c r="BT512" s="521">
        <v>1021</v>
      </c>
      <c r="BU512" s="521">
        <v>935</v>
      </c>
      <c r="BV512" s="521">
        <v>982</v>
      </c>
      <c r="BW512" s="521">
        <v>893</v>
      </c>
      <c r="BX512" s="521">
        <v>964</v>
      </c>
      <c r="BY512" s="521">
        <v>829</v>
      </c>
      <c r="BZ512" s="521">
        <v>800</v>
      </c>
      <c r="CA512" s="521">
        <v>680</v>
      </c>
      <c r="CB512" s="521">
        <v>675</v>
      </c>
      <c r="CC512" s="521">
        <v>724</v>
      </c>
      <c r="CD512" s="521">
        <v>751</v>
      </c>
      <c r="CE512" s="521">
        <v>678</v>
      </c>
      <c r="CF512" s="521">
        <v>607</v>
      </c>
      <c r="CG512" s="521">
        <v>654</v>
      </c>
      <c r="CH512" s="521">
        <v>620</v>
      </c>
      <c r="CI512" s="521">
        <v>701</v>
      </c>
      <c r="CJ512" s="521">
        <v>753</v>
      </c>
      <c r="CK512" s="521">
        <v>517</v>
      </c>
      <c r="CL512" s="521">
        <v>519</v>
      </c>
      <c r="CM512" s="521">
        <v>492</v>
      </c>
      <c r="CN512" s="521">
        <v>470</v>
      </c>
      <c r="CO512" s="521">
        <v>374</v>
      </c>
      <c r="CP512" s="521">
        <v>319</v>
      </c>
      <c r="CQ512" s="521">
        <v>324</v>
      </c>
      <c r="CR512" s="521">
        <v>314</v>
      </c>
      <c r="CS512" s="521">
        <v>256</v>
      </c>
      <c r="CT512" s="521">
        <v>240</v>
      </c>
      <c r="CU512" s="521">
        <v>230</v>
      </c>
      <c r="CV512" s="521">
        <v>172</v>
      </c>
      <c r="CW512" s="521">
        <v>142</v>
      </c>
      <c r="CX512" s="521">
        <v>117</v>
      </c>
      <c r="CY512" s="521">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21">
        <v>547</v>
      </c>
      <c r="N513" s="521">
        <v>541</v>
      </c>
      <c r="O513" s="521">
        <v>560</v>
      </c>
      <c r="P513" s="521">
        <v>587</v>
      </c>
      <c r="Q513" s="521">
        <v>646</v>
      </c>
      <c r="R513" s="521">
        <v>630</v>
      </c>
      <c r="S513" s="521">
        <v>657</v>
      </c>
      <c r="T513" s="521">
        <v>695</v>
      </c>
      <c r="U513" s="521">
        <v>700</v>
      </c>
      <c r="V513" s="521">
        <v>693</v>
      </c>
      <c r="W513" s="521">
        <v>704</v>
      </c>
      <c r="X513" s="521">
        <v>745</v>
      </c>
      <c r="Y513" s="521">
        <v>723</v>
      </c>
      <c r="Z513" s="521">
        <v>691</v>
      </c>
      <c r="AA513" s="521">
        <v>785</v>
      </c>
      <c r="AB513" s="521">
        <v>690</v>
      </c>
      <c r="AC513" s="521">
        <v>779</v>
      </c>
      <c r="AD513" s="521">
        <v>726</v>
      </c>
      <c r="AE513" s="521">
        <v>659</v>
      </c>
      <c r="AF513" s="521">
        <v>545</v>
      </c>
      <c r="AG513" s="521">
        <v>505</v>
      </c>
      <c r="AH513" s="521">
        <v>573</v>
      </c>
      <c r="AI513" s="521">
        <v>608</v>
      </c>
      <c r="AJ513" s="521">
        <v>603</v>
      </c>
      <c r="AK513" s="521">
        <v>650</v>
      </c>
      <c r="AL513" s="521">
        <v>681</v>
      </c>
      <c r="AM513" s="521">
        <v>604</v>
      </c>
      <c r="AN513" s="521">
        <v>539</v>
      </c>
      <c r="AO513" s="521">
        <v>615</v>
      </c>
      <c r="AP513" s="521">
        <v>649</v>
      </c>
      <c r="AQ513" s="521">
        <v>715</v>
      </c>
      <c r="AR513" s="521">
        <v>687</v>
      </c>
      <c r="AS513" s="521">
        <v>631</v>
      </c>
      <c r="AT513" s="521">
        <v>601</v>
      </c>
      <c r="AU513" s="521">
        <v>686</v>
      </c>
      <c r="AV513" s="521">
        <v>659</v>
      </c>
      <c r="AW513" s="521">
        <v>623</v>
      </c>
      <c r="AX513" s="521">
        <v>623</v>
      </c>
      <c r="AY513" s="521">
        <v>614</v>
      </c>
      <c r="AZ513" s="521">
        <v>608</v>
      </c>
      <c r="BA513" s="521">
        <v>609</v>
      </c>
      <c r="BB513" s="521">
        <v>629</v>
      </c>
      <c r="BC513" s="521">
        <v>647</v>
      </c>
      <c r="BD513" s="521">
        <v>626</v>
      </c>
      <c r="BE513" s="521">
        <v>583</v>
      </c>
      <c r="BF513" s="521">
        <v>542</v>
      </c>
      <c r="BG513" s="521">
        <v>580</v>
      </c>
      <c r="BH513" s="521">
        <v>603</v>
      </c>
      <c r="BI513" s="521">
        <v>639</v>
      </c>
      <c r="BJ513" s="521">
        <v>703</v>
      </c>
      <c r="BK513" s="521">
        <v>754</v>
      </c>
      <c r="BL513" s="521">
        <v>757</v>
      </c>
      <c r="BM513" s="521">
        <v>818</v>
      </c>
      <c r="BN513" s="521">
        <v>808</v>
      </c>
      <c r="BO513" s="521">
        <v>855</v>
      </c>
      <c r="BP513" s="521">
        <v>905</v>
      </c>
      <c r="BQ513" s="521">
        <v>926</v>
      </c>
      <c r="BR513" s="521">
        <v>915</v>
      </c>
      <c r="BS513" s="521">
        <v>887</v>
      </c>
      <c r="BT513" s="521">
        <v>1009</v>
      </c>
      <c r="BU513" s="521">
        <v>967</v>
      </c>
      <c r="BV513" s="521">
        <v>914</v>
      </c>
      <c r="BW513" s="521">
        <v>904</v>
      </c>
      <c r="BX513" s="521">
        <v>952</v>
      </c>
      <c r="BY513" s="521">
        <v>893</v>
      </c>
      <c r="BZ513" s="521">
        <v>866</v>
      </c>
      <c r="CA513" s="521">
        <v>855</v>
      </c>
      <c r="CB513" s="521">
        <v>857</v>
      </c>
      <c r="CC513" s="521">
        <v>882</v>
      </c>
      <c r="CD513" s="521">
        <v>875</v>
      </c>
      <c r="CE513" s="521">
        <v>807</v>
      </c>
      <c r="CF513" s="521">
        <v>838</v>
      </c>
      <c r="CG513" s="521">
        <v>832</v>
      </c>
      <c r="CH513" s="521">
        <v>800</v>
      </c>
      <c r="CI513" s="521">
        <v>838</v>
      </c>
      <c r="CJ513" s="521">
        <v>882</v>
      </c>
      <c r="CK513" s="521">
        <v>614</v>
      </c>
      <c r="CL513" s="521">
        <v>659</v>
      </c>
      <c r="CM513" s="521">
        <v>627</v>
      </c>
      <c r="CN513" s="521">
        <v>545</v>
      </c>
      <c r="CO513" s="521">
        <v>490</v>
      </c>
      <c r="CP513" s="521">
        <v>469</v>
      </c>
      <c r="CQ513" s="521">
        <v>418</v>
      </c>
      <c r="CR513" s="521">
        <v>376</v>
      </c>
      <c r="CS513" s="521">
        <v>328</v>
      </c>
      <c r="CT513" s="521">
        <v>268</v>
      </c>
      <c r="CU513" s="521">
        <v>254</v>
      </c>
      <c r="CV513" s="521">
        <v>224</v>
      </c>
      <c r="CW513" s="521">
        <v>142</v>
      </c>
      <c r="CX513" s="521">
        <v>181</v>
      </c>
      <c r="CY513" s="521">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21">
        <v>542</v>
      </c>
      <c r="N514" s="521">
        <v>558</v>
      </c>
      <c r="O514" s="521">
        <v>557</v>
      </c>
      <c r="P514" s="521">
        <v>623</v>
      </c>
      <c r="Q514" s="521">
        <v>680</v>
      </c>
      <c r="R514" s="521">
        <v>640</v>
      </c>
      <c r="S514" s="521">
        <v>636</v>
      </c>
      <c r="T514" s="521">
        <v>702</v>
      </c>
      <c r="U514" s="521">
        <v>710</v>
      </c>
      <c r="V514" s="521">
        <v>708</v>
      </c>
      <c r="W514" s="521">
        <v>684</v>
      </c>
      <c r="X514" s="521">
        <v>699</v>
      </c>
      <c r="Y514" s="521">
        <v>687</v>
      </c>
      <c r="Z514" s="521">
        <v>724</v>
      </c>
      <c r="AA514" s="521">
        <v>813</v>
      </c>
      <c r="AB514" s="521">
        <v>726</v>
      </c>
      <c r="AC514" s="521">
        <v>720</v>
      </c>
      <c r="AD514" s="521">
        <v>759</v>
      </c>
      <c r="AE514" s="521">
        <v>677</v>
      </c>
      <c r="AF514" s="521">
        <v>546</v>
      </c>
      <c r="AG514" s="521">
        <v>497</v>
      </c>
      <c r="AH514" s="521">
        <v>540</v>
      </c>
      <c r="AI514" s="521">
        <v>576</v>
      </c>
      <c r="AJ514" s="521">
        <v>708</v>
      </c>
      <c r="AK514" s="521">
        <v>659</v>
      </c>
      <c r="AL514" s="521">
        <v>640</v>
      </c>
      <c r="AM514" s="521">
        <v>700</v>
      </c>
      <c r="AN514" s="521">
        <v>643</v>
      </c>
      <c r="AO514" s="521">
        <v>676</v>
      </c>
      <c r="AP514" s="521">
        <v>655</v>
      </c>
      <c r="AQ514" s="521">
        <v>689</v>
      </c>
      <c r="AR514" s="521">
        <v>681</v>
      </c>
      <c r="AS514" s="521">
        <v>678</v>
      </c>
      <c r="AT514" s="521">
        <v>691</v>
      </c>
      <c r="AU514" s="521">
        <v>706</v>
      </c>
      <c r="AV514" s="521">
        <v>621</v>
      </c>
      <c r="AW514" s="521">
        <v>641</v>
      </c>
      <c r="AX514" s="521">
        <v>683</v>
      </c>
      <c r="AY514" s="521">
        <v>629</v>
      </c>
      <c r="AZ514" s="521">
        <v>628</v>
      </c>
      <c r="BA514" s="521">
        <v>668</v>
      </c>
      <c r="BB514" s="521">
        <v>643</v>
      </c>
      <c r="BC514" s="521">
        <v>674</v>
      </c>
      <c r="BD514" s="521">
        <v>652</v>
      </c>
      <c r="BE514" s="521">
        <v>622</v>
      </c>
      <c r="BF514" s="521">
        <v>638</v>
      </c>
      <c r="BG514" s="521">
        <v>646</v>
      </c>
      <c r="BH514" s="521">
        <v>721</v>
      </c>
      <c r="BI514" s="521">
        <v>733</v>
      </c>
      <c r="BJ514" s="521">
        <v>732</v>
      </c>
      <c r="BK514" s="521">
        <v>904</v>
      </c>
      <c r="BL514" s="521">
        <v>916</v>
      </c>
      <c r="BM514" s="521">
        <v>874</v>
      </c>
      <c r="BN514" s="521">
        <v>967</v>
      </c>
      <c r="BO514" s="521">
        <v>918</v>
      </c>
      <c r="BP514" s="521">
        <v>1049</v>
      </c>
      <c r="BQ514" s="521">
        <v>1027</v>
      </c>
      <c r="BR514" s="521">
        <v>1085</v>
      </c>
      <c r="BS514" s="521">
        <v>1055</v>
      </c>
      <c r="BT514" s="521">
        <v>1079</v>
      </c>
      <c r="BU514" s="521">
        <v>1083</v>
      </c>
      <c r="BV514" s="521">
        <v>1072</v>
      </c>
      <c r="BW514" s="521">
        <v>1062</v>
      </c>
      <c r="BX514" s="521">
        <v>1068</v>
      </c>
      <c r="BY514" s="521">
        <v>970</v>
      </c>
      <c r="BZ514" s="521">
        <v>1004</v>
      </c>
      <c r="CA514" s="521">
        <v>1048</v>
      </c>
      <c r="CB514" s="521">
        <v>920</v>
      </c>
      <c r="CC514" s="521">
        <v>981</v>
      </c>
      <c r="CD514" s="521">
        <v>986</v>
      </c>
      <c r="CE514" s="521">
        <v>946</v>
      </c>
      <c r="CF514" s="521">
        <v>909</v>
      </c>
      <c r="CG514" s="521">
        <v>957</v>
      </c>
      <c r="CH514" s="521">
        <v>966</v>
      </c>
      <c r="CI514" s="521">
        <v>1053</v>
      </c>
      <c r="CJ514" s="521">
        <v>1016</v>
      </c>
      <c r="CK514" s="521">
        <v>762</v>
      </c>
      <c r="CL514" s="521">
        <v>697</v>
      </c>
      <c r="CM514" s="521">
        <v>815</v>
      </c>
      <c r="CN514" s="521">
        <v>676</v>
      </c>
      <c r="CO514" s="521">
        <v>565</v>
      </c>
      <c r="CP514" s="521">
        <v>480</v>
      </c>
      <c r="CQ514" s="521">
        <v>484</v>
      </c>
      <c r="CR514" s="521">
        <v>421</v>
      </c>
      <c r="CS514" s="521">
        <v>402</v>
      </c>
      <c r="CT514" s="521">
        <v>348</v>
      </c>
      <c r="CU514" s="521">
        <v>295</v>
      </c>
      <c r="CV514" s="521">
        <v>283</v>
      </c>
      <c r="CW514" s="521">
        <v>234</v>
      </c>
      <c r="CX514" s="521">
        <v>151</v>
      </c>
      <c r="CY514" s="521">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21">
        <v>1182</v>
      </c>
      <c r="N515" s="521">
        <v>1192</v>
      </c>
      <c r="O515" s="521">
        <v>1246</v>
      </c>
      <c r="P515" s="521">
        <v>1330</v>
      </c>
      <c r="Q515" s="521">
        <v>1390</v>
      </c>
      <c r="R515" s="521">
        <v>1335</v>
      </c>
      <c r="S515" s="521">
        <v>1349</v>
      </c>
      <c r="T515" s="521">
        <v>1424</v>
      </c>
      <c r="U515" s="521">
        <v>1454</v>
      </c>
      <c r="V515" s="521">
        <v>1448</v>
      </c>
      <c r="W515" s="521">
        <v>1470</v>
      </c>
      <c r="X515" s="521">
        <v>1500</v>
      </c>
      <c r="Y515" s="521">
        <v>1414</v>
      </c>
      <c r="Z515" s="521">
        <v>1599</v>
      </c>
      <c r="AA515" s="521">
        <v>1471</v>
      </c>
      <c r="AB515" s="521">
        <v>1487</v>
      </c>
      <c r="AC515" s="521">
        <v>1400</v>
      </c>
      <c r="AD515" s="521">
        <v>1425</v>
      </c>
      <c r="AE515" s="521">
        <v>1383</v>
      </c>
      <c r="AF515" s="521">
        <v>1430</v>
      </c>
      <c r="AG515" s="521">
        <v>1361</v>
      </c>
      <c r="AH515" s="521">
        <v>1470</v>
      </c>
      <c r="AI515" s="521">
        <v>1333</v>
      </c>
      <c r="AJ515" s="521">
        <v>1508</v>
      </c>
      <c r="AK515" s="521">
        <v>1349</v>
      </c>
      <c r="AL515" s="521">
        <v>1510</v>
      </c>
      <c r="AM515" s="521">
        <v>1397</v>
      </c>
      <c r="AN515" s="521">
        <v>1501</v>
      </c>
      <c r="AO515" s="521">
        <v>1440</v>
      </c>
      <c r="AP515" s="521">
        <v>1561</v>
      </c>
      <c r="AQ515" s="521">
        <v>1531</v>
      </c>
      <c r="AR515" s="521">
        <v>1507</v>
      </c>
      <c r="AS515" s="521">
        <v>1666</v>
      </c>
      <c r="AT515" s="521">
        <v>1646</v>
      </c>
      <c r="AU515" s="521">
        <v>1508</v>
      </c>
      <c r="AV515" s="521">
        <v>1576</v>
      </c>
      <c r="AW515" s="521">
        <v>1511</v>
      </c>
      <c r="AX515" s="521">
        <v>1573</v>
      </c>
      <c r="AY515" s="521">
        <v>1526</v>
      </c>
      <c r="AZ515" s="521">
        <v>1487</v>
      </c>
      <c r="BA515" s="521">
        <v>1448</v>
      </c>
      <c r="BB515" s="521">
        <v>1387</v>
      </c>
      <c r="BC515" s="521">
        <v>1473</v>
      </c>
      <c r="BD515" s="521">
        <v>1436</v>
      </c>
      <c r="BE515" s="521">
        <v>1292</v>
      </c>
      <c r="BF515" s="521">
        <v>1234</v>
      </c>
      <c r="BG515" s="521">
        <v>1228</v>
      </c>
      <c r="BH515" s="521">
        <v>1344</v>
      </c>
      <c r="BI515" s="521">
        <v>1265</v>
      </c>
      <c r="BJ515" s="521">
        <v>1525</v>
      </c>
      <c r="BK515" s="521">
        <v>1616</v>
      </c>
      <c r="BL515" s="521">
        <v>1695</v>
      </c>
      <c r="BM515" s="521">
        <v>1558</v>
      </c>
      <c r="BN515" s="521">
        <v>1611</v>
      </c>
      <c r="BO515" s="521">
        <v>1667</v>
      </c>
      <c r="BP515" s="521">
        <v>1659</v>
      </c>
      <c r="BQ515" s="521">
        <v>1692</v>
      </c>
      <c r="BR515" s="521">
        <v>1734</v>
      </c>
      <c r="BS515" s="521">
        <v>1649</v>
      </c>
      <c r="BT515" s="521">
        <v>1594</v>
      </c>
      <c r="BU515" s="521">
        <v>1607</v>
      </c>
      <c r="BV515" s="521">
        <v>1496</v>
      </c>
      <c r="BW515" s="521">
        <v>1364</v>
      </c>
      <c r="BX515" s="521">
        <v>1434</v>
      </c>
      <c r="BY515" s="521">
        <v>1372</v>
      </c>
      <c r="BZ515" s="521">
        <v>1354</v>
      </c>
      <c r="CA515" s="521">
        <v>1261</v>
      </c>
      <c r="CB515" s="521">
        <v>1184</v>
      </c>
      <c r="CC515" s="521">
        <v>1223</v>
      </c>
      <c r="CD515" s="521">
        <v>1163</v>
      </c>
      <c r="CE515" s="521">
        <v>1238</v>
      </c>
      <c r="CF515" s="521">
        <v>1171</v>
      </c>
      <c r="CG515" s="521">
        <v>1232</v>
      </c>
      <c r="CH515" s="521">
        <v>1244</v>
      </c>
      <c r="CI515" s="521">
        <v>1280</v>
      </c>
      <c r="CJ515" s="521">
        <v>1272</v>
      </c>
      <c r="CK515" s="521">
        <v>1071</v>
      </c>
      <c r="CL515" s="521">
        <v>988</v>
      </c>
      <c r="CM515" s="521">
        <v>843</v>
      </c>
      <c r="CN515" s="521">
        <v>708</v>
      </c>
      <c r="CO515" s="521">
        <v>680</v>
      </c>
      <c r="CP515" s="521">
        <v>591</v>
      </c>
      <c r="CQ515" s="521">
        <v>536</v>
      </c>
      <c r="CR515" s="521">
        <v>480</v>
      </c>
      <c r="CS515" s="521">
        <v>454</v>
      </c>
      <c r="CT515" s="521">
        <v>366</v>
      </c>
      <c r="CU515" s="521">
        <v>342</v>
      </c>
      <c r="CV515" s="521">
        <v>288</v>
      </c>
      <c r="CW515" s="521">
        <v>231</v>
      </c>
      <c r="CX515" s="521">
        <v>183</v>
      </c>
      <c r="CY515" s="521">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21">
        <v>1134</v>
      </c>
      <c r="N516" s="521">
        <v>1063</v>
      </c>
      <c r="O516" s="521">
        <v>1133</v>
      </c>
      <c r="P516" s="521">
        <v>1224</v>
      </c>
      <c r="Q516" s="521">
        <v>1266</v>
      </c>
      <c r="R516" s="521">
        <v>1252</v>
      </c>
      <c r="S516" s="521">
        <v>1374</v>
      </c>
      <c r="T516" s="521">
        <v>1363</v>
      </c>
      <c r="U516" s="521">
        <v>1342</v>
      </c>
      <c r="V516" s="521">
        <v>1419</v>
      </c>
      <c r="W516" s="521">
        <v>1459</v>
      </c>
      <c r="X516" s="521">
        <v>1510</v>
      </c>
      <c r="Y516" s="521">
        <v>1407</v>
      </c>
      <c r="Z516" s="521">
        <v>1464</v>
      </c>
      <c r="AA516" s="521">
        <v>1527</v>
      </c>
      <c r="AB516" s="521">
        <v>1392</v>
      </c>
      <c r="AC516" s="521">
        <v>1385</v>
      </c>
      <c r="AD516" s="521">
        <v>1426</v>
      </c>
      <c r="AE516" s="521">
        <v>1459</v>
      </c>
      <c r="AF516" s="521">
        <v>1896</v>
      </c>
      <c r="AG516" s="521">
        <v>2522</v>
      </c>
      <c r="AH516" s="521">
        <v>2615</v>
      </c>
      <c r="AI516" s="521">
        <v>2280</v>
      </c>
      <c r="AJ516" s="521">
        <v>1910</v>
      </c>
      <c r="AK516" s="521">
        <v>1501</v>
      </c>
      <c r="AL516" s="521">
        <v>1507</v>
      </c>
      <c r="AM516" s="521">
        <v>1486</v>
      </c>
      <c r="AN516" s="521">
        <v>1351</v>
      </c>
      <c r="AO516" s="521">
        <v>1422</v>
      </c>
      <c r="AP516" s="521">
        <v>1448</v>
      </c>
      <c r="AQ516" s="521">
        <v>1520</v>
      </c>
      <c r="AR516" s="521">
        <v>1551</v>
      </c>
      <c r="AS516" s="521">
        <v>1644</v>
      </c>
      <c r="AT516" s="521">
        <v>1442</v>
      </c>
      <c r="AU516" s="521">
        <v>1501</v>
      </c>
      <c r="AV516" s="521">
        <v>1514</v>
      </c>
      <c r="AW516" s="521">
        <v>1498</v>
      </c>
      <c r="AX516" s="521">
        <v>1597</v>
      </c>
      <c r="AY516" s="521">
        <v>1396</v>
      </c>
      <c r="AZ516" s="521">
        <v>1455</v>
      </c>
      <c r="BA516" s="521">
        <v>1397</v>
      </c>
      <c r="BB516" s="521">
        <v>1417</v>
      </c>
      <c r="BC516" s="521">
        <v>1584</v>
      </c>
      <c r="BD516" s="521">
        <v>1343</v>
      </c>
      <c r="BE516" s="521">
        <v>1273</v>
      </c>
      <c r="BF516" s="521">
        <v>1289</v>
      </c>
      <c r="BG516" s="521">
        <v>1339</v>
      </c>
      <c r="BH516" s="521">
        <v>1379</v>
      </c>
      <c r="BI516" s="521">
        <v>1335</v>
      </c>
      <c r="BJ516" s="521">
        <v>1336</v>
      </c>
      <c r="BK516" s="521">
        <v>1462</v>
      </c>
      <c r="BL516" s="521">
        <v>1510</v>
      </c>
      <c r="BM516" s="521">
        <v>1509</v>
      </c>
      <c r="BN516" s="521">
        <v>1691</v>
      </c>
      <c r="BO516" s="521">
        <v>1552</v>
      </c>
      <c r="BP516" s="521">
        <v>1528</v>
      </c>
      <c r="BQ516" s="521">
        <v>1522</v>
      </c>
      <c r="BR516" s="521">
        <v>1665</v>
      </c>
      <c r="BS516" s="521">
        <v>1640</v>
      </c>
      <c r="BT516" s="521">
        <v>1484</v>
      </c>
      <c r="BU516" s="521">
        <v>1519</v>
      </c>
      <c r="BV516" s="521">
        <v>1456</v>
      </c>
      <c r="BW516" s="521">
        <v>1447</v>
      </c>
      <c r="BX516" s="521">
        <v>1394</v>
      </c>
      <c r="BY516" s="521">
        <v>1349</v>
      </c>
      <c r="BZ516" s="521">
        <v>1273</v>
      </c>
      <c r="CA516" s="521">
        <v>1240</v>
      </c>
      <c r="CB516" s="521">
        <v>1189</v>
      </c>
      <c r="CC516" s="521">
        <v>1181</v>
      </c>
      <c r="CD516" s="521">
        <v>1218</v>
      </c>
      <c r="CE516" s="521">
        <v>1171</v>
      </c>
      <c r="CF516" s="521">
        <v>1093</v>
      </c>
      <c r="CG516" s="521">
        <v>1212</v>
      </c>
      <c r="CH516" s="521">
        <v>1187</v>
      </c>
      <c r="CI516" s="521">
        <v>1233</v>
      </c>
      <c r="CJ516" s="521">
        <v>1340</v>
      </c>
      <c r="CK516" s="521">
        <v>889</v>
      </c>
      <c r="CL516" s="521">
        <v>905</v>
      </c>
      <c r="CM516" s="521">
        <v>899</v>
      </c>
      <c r="CN516" s="521">
        <v>852</v>
      </c>
      <c r="CO516" s="521">
        <v>748</v>
      </c>
      <c r="CP516" s="521">
        <v>612</v>
      </c>
      <c r="CQ516" s="521">
        <v>591</v>
      </c>
      <c r="CR516" s="521">
        <v>524</v>
      </c>
      <c r="CS516" s="521">
        <v>525</v>
      </c>
      <c r="CT516" s="521">
        <v>455</v>
      </c>
      <c r="CU516" s="521">
        <v>393</v>
      </c>
      <c r="CV516" s="521">
        <v>348</v>
      </c>
      <c r="CW516" s="521">
        <v>276</v>
      </c>
      <c r="CX516" s="521">
        <v>244</v>
      </c>
      <c r="CY516" s="521">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21">
        <v>514</v>
      </c>
      <c r="N517" s="521">
        <v>466</v>
      </c>
      <c r="O517" s="521">
        <v>537</v>
      </c>
      <c r="P517" s="521">
        <v>540</v>
      </c>
      <c r="Q517" s="521">
        <v>516</v>
      </c>
      <c r="R517" s="521">
        <v>556</v>
      </c>
      <c r="S517" s="521">
        <v>581</v>
      </c>
      <c r="T517" s="521">
        <v>514</v>
      </c>
      <c r="U517" s="521">
        <v>551</v>
      </c>
      <c r="V517" s="521">
        <v>551</v>
      </c>
      <c r="W517" s="521">
        <v>588</v>
      </c>
      <c r="X517" s="521">
        <v>600</v>
      </c>
      <c r="Y517" s="521">
        <v>586</v>
      </c>
      <c r="Z517" s="521">
        <v>625</v>
      </c>
      <c r="AA517" s="521">
        <v>581</v>
      </c>
      <c r="AB517" s="521">
        <v>557</v>
      </c>
      <c r="AC517" s="521">
        <v>592</v>
      </c>
      <c r="AD517" s="521">
        <v>585</v>
      </c>
      <c r="AE517" s="521">
        <v>488</v>
      </c>
      <c r="AF517" s="521">
        <v>425</v>
      </c>
      <c r="AG517" s="521">
        <v>404</v>
      </c>
      <c r="AH517" s="521">
        <v>418</v>
      </c>
      <c r="AI517" s="521">
        <v>438</v>
      </c>
      <c r="AJ517" s="521">
        <v>462</v>
      </c>
      <c r="AK517" s="521">
        <v>507</v>
      </c>
      <c r="AL517" s="521">
        <v>598</v>
      </c>
      <c r="AM517" s="521">
        <v>533</v>
      </c>
      <c r="AN517" s="521">
        <v>576</v>
      </c>
      <c r="AO517" s="521">
        <v>555</v>
      </c>
      <c r="AP517" s="521">
        <v>540</v>
      </c>
      <c r="AQ517" s="521">
        <v>596</v>
      </c>
      <c r="AR517" s="521">
        <v>615</v>
      </c>
      <c r="AS517" s="521">
        <v>622</v>
      </c>
      <c r="AT517" s="521">
        <v>617</v>
      </c>
      <c r="AU517" s="521">
        <v>553</v>
      </c>
      <c r="AV517" s="521">
        <v>586</v>
      </c>
      <c r="AW517" s="521">
        <v>593</v>
      </c>
      <c r="AX517" s="521">
        <v>574</v>
      </c>
      <c r="AY517" s="521">
        <v>532</v>
      </c>
      <c r="AZ517" s="521">
        <v>548</v>
      </c>
      <c r="BA517" s="521">
        <v>555</v>
      </c>
      <c r="BB517" s="521">
        <v>493</v>
      </c>
      <c r="BC517" s="521">
        <v>523</v>
      </c>
      <c r="BD517" s="521">
        <v>539</v>
      </c>
      <c r="BE517" s="521">
        <v>428</v>
      </c>
      <c r="BF517" s="521">
        <v>504</v>
      </c>
      <c r="BG517" s="521">
        <v>432</v>
      </c>
      <c r="BH517" s="521">
        <v>497</v>
      </c>
      <c r="BI517" s="521">
        <v>493</v>
      </c>
      <c r="BJ517" s="521">
        <v>561</v>
      </c>
      <c r="BK517" s="521">
        <v>569</v>
      </c>
      <c r="BL517" s="521">
        <v>636</v>
      </c>
      <c r="BM517" s="521">
        <v>634</v>
      </c>
      <c r="BN517" s="521">
        <v>601</v>
      </c>
      <c r="BO517" s="521">
        <v>597</v>
      </c>
      <c r="BP517" s="521">
        <v>623</v>
      </c>
      <c r="BQ517" s="521">
        <v>631</v>
      </c>
      <c r="BR517" s="521">
        <v>707</v>
      </c>
      <c r="BS517" s="521">
        <v>646</v>
      </c>
      <c r="BT517" s="521">
        <v>672</v>
      </c>
      <c r="BU517" s="521">
        <v>661</v>
      </c>
      <c r="BV517" s="521">
        <v>655</v>
      </c>
      <c r="BW517" s="521">
        <v>574</v>
      </c>
      <c r="BX517" s="521">
        <v>580</v>
      </c>
      <c r="BY517" s="521">
        <v>594</v>
      </c>
      <c r="BZ517" s="521">
        <v>511</v>
      </c>
      <c r="CA517" s="521">
        <v>490</v>
      </c>
      <c r="CB517" s="521">
        <v>470</v>
      </c>
      <c r="CC517" s="521">
        <v>535</v>
      </c>
      <c r="CD517" s="521">
        <v>469</v>
      </c>
      <c r="CE517" s="521">
        <v>488</v>
      </c>
      <c r="CF517" s="521">
        <v>479</v>
      </c>
      <c r="CG517" s="521">
        <v>457</v>
      </c>
      <c r="CH517" s="521">
        <v>484</v>
      </c>
      <c r="CI517" s="521">
        <v>455</v>
      </c>
      <c r="CJ517" s="521">
        <v>541</v>
      </c>
      <c r="CK517" s="521">
        <v>404</v>
      </c>
      <c r="CL517" s="521">
        <v>398</v>
      </c>
      <c r="CM517" s="521">
        <v>348</v>
      </c>
      <c r="CN517" s="521">
        <v>298</v>
      </c>
      <c r="CO517" s="521">
        <v>266</v>
      </c>
      <c r="CP517" s="521">
        <v>246</v>
      </c>
      <c r="CQ517" s="521">
        <v>224</v>
      </c>
      <c r="CR517" s="521">
        <v>223</v>
      </c>
      <c r="CS517" s="521">
        <v>187</v>
      </c>
      <c r="CT517" s="521">
        <v>157</v>
      </c>
      <c r="CU517" s="521">
        <v>143</v>
      </c>
      <c r="CV517" s="521">
        <v>129</v>
      </c>
      <c r="CW517" s="521">
        <v>118</v>
      </c>
      <c r="CX517" s="521">
        <v>110</v>
      </c>
      <c r="CY517" s="521">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21">
        <v>642</v>
      </c>
      <c r="N518" s="521">
        <v>670</v>
      </c>
      <c r="O518" s="521">
        <v>666</v>
      </c>
      <c r="P518" s="521">
        <v>745</v>
      </c>
      <c r="Q518" s="521">
        <v>708</v>
      </c>
      <c r="R518" s="521">
        <v>814</v>
      </c>
      <c r="S518" s="521">
        <v>772</v>
      </c>
      <c r="T518" s="521">
        <v>756</v>
      </c>
      <c r="U518" s="521">
        <v>790</v>
      </c>
      <c r="V518" s="521">
        <v>869</v>
      </c>
      <c r="W518" s="521">
        <v>878</v>
      </c>
      <c r="X518" s="521">
        <v>861</v>
      </c>
      <c r="Y518" s="521">
        <v>888</v>
      </c>
      <c r="Z518" s="521">
        <v>889</v>
      </c>
      <c r="AA518" s="521">
        <v>863</v>
      </c>
      <c r="AB518" s="521">
        <v>841</v>
      </c>
      <c r="AC518" s="521">
        <v>775</v>
      </c>
      <c r="AD518" s="521">
        <v>759</v>
      </c>
      <c r="AE518" s="521">
        <v>728</v>
      </c>
      <c r="AF518" s="521">
        <v>587</v>
      </c>
      <c r="AG518" s="521">
        <v>503</v>
      </c>
      <c r="AH518" s="521">
        <v>620</v>
      </c>
      <c r="AI518" s="521">
        <v>676</v>
      </c>
      <c r="AJ518" s="521">
        <v>666</v>
      </c>
      <c r="AK518" s="521">
        <v>621</v>
      </c>
      <c r="AL518" s="521">
        <v>702</v>
      </c>
      <c r="AM518" s="521">
        <v>663</v>
      </c>
      <c r="AN518" s="521">
        <v>711</v>
      </c>
      <c r="AO518" s="521">
        <v>738</v>
      </c>
      <c r="AP518" s="521">
        <v>687</v>
      </c>
      <c r="AQ518" s="521">
        <v>701</v>
      </c>
      <c r="AR518" s="521">
        <v>728</v>
      </c>
      <c r="AS518" s="521">
        <v>706</v>
      </c>
      <c r="AT518" s="521">
        <v>774</v>
      </c>
      <c r="AU518" s="521">
        <v>806</v>
      </c>
      <c r="AV518" s="521">
        <v>800</v>
      </c>
      <c r="AW518" s="521">
        <v>846</v>
      </c>
      <c r="AX518" s="521">
        <v>741</v>
      </c>
      <c r="AY518" s="521">
        <v>762</v>
      </c>
      <c r="AZ518" s="521">
        <v>802</v>
      </c>
      <c r="BA518" s="521">
        <v>818</v>
      </c>
      <c r="BB518" s="521">
        <v>893</v>
      </c>
      <c r="BC518" s="521">
        <v>884</v>
      </c>
      <c r="BD518" s="521">
        <v>832</v>
      </c>
      <c r="BE518" s="521">
        <v>669</v>
      </c>
      <c r="BF518" s="521">
        <v>732</v>
      </c>
      <c r="BG518" s="521">
        <v>722</v>
      </c>
      <c r="BH518" s="521">
        <v>807</v>
      </c>
      <c r="BI518" s="521">
        <v>781</v>
      </c>
      <c r="BJ518" s="521">
        <v>815</v>
      </c>
      <c r="BK518" s="521">
        <v>842</v>
      </c>
      <c r="BL518" s="521">
        <v>880</v>
      </c>
      <c r="BM518" s="521">
        <v>853</v>
      </c>
      <c r="BN518" s="521">
        <v>916</v>
      </c>
      <c r="BO518" s="521">
        <v>871</v>
      </c>
      <c r="BP518" s="521">
        <v>920</v>
      </c>
      <c r="BQ518" s="521">
        <v>867</v>
      </c>
      <c r="BR518" s="521">
        <v>906</v>
      </c>
      <c r="BS518" s="521">
        <v>932</v>
      </c>
      <c r="BT518" s="521">
        <v>907</v>
      </c>
      <c r="BU518" s="521">
        <v>934</v>
      </c>
      <c r="BV518" s="521">
        <v>904</v>
      </c>
      <c r="BW518" s="521">
        <v>828</v>
      </c>
      <c r="BX518" s="521">
        <v>857</v>
      </c>
      <c r="BY518" s="521">
        <v>763</v>
      </c>
      <c r="BZ518" s="521">
        <v>786</v>
      </c>
      <c r="CA518" s="521">
        <v>761</v>
      </c>
      <c r="CB518" s="521">
        <v>745</v>
      </c>
      <c r="CC518" s="521">
        <v>753</v>
      </c>
      <c r="CD518" s="521">
        <v>754</v>
      </c>
      <c r="CE518" s="521">
        <v>696</v>
      </c>
      <c r="CF518" s="521">
        <v>706</v>
      </c>
      <c r="CG518" s="521">
        <v>707</v>
      </c>
      <c r="CH518" s="521">
        <v>714</v>
      </c>
      <c r="CI518" s="521">
        <v>737</v>
      </c>
      <c r="CJ518" s="521">
        <v>775</v>
      </c>
      <c r="CK518" s="521">
        <v>562</v>
      </c>
      <c r="CL518" s="521">
        <v>555</v>
      </c>
      <c r="CM518" s="521">
        <v>563</v>
      </c>
      <c r="CN518" s="521">
        <v>468</v>
      </c>
      <c r="CO518" s="521">
        <v>410</v>
      </c>
      <c r="CP518" s="521">
        <v>391</v>
      </c>
      <c r="CQ518" s="521">
        <v>349</v>
      </c>
      <c r="CR518" s="521">
        <v>336</v>
      </c>
      <c r="CS518" s="521">
        <v>307</v>
      </c>
      <c r="CT518" s="521">
        <v>239</v>
      </c>
      <c r="CU518" s="521">
        <v>231</v>
      </c>
      <c r="CV518" s="521">
        <v>180</v>
      </c>
      <c r="CW518" s="521">
        <v>170</v>
      </c>
      <c r="CX518" s="521">
        <v>135</v>
      </c>
      <c r="CY518" s="521">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21">
        <v>673</v>
      </c>
      <c r="N519" s="521">
        <v>647</v>
      </c>
      <c r="O519" s="521">
        <v>740</v>
      </c>
      <c r="P519" s="521">
        <v>723</v>
      </c>
      <c r="Q519" s="521">
        <v>730</v>
      </c>
      <c r="R519" s="521">
        <v>761</v>
      </c>
      <c r="S519" s="521">
        <v>793</v>
      </c>
      <c r="T519" s="521">
        <v>761</v>
      </c>
      <c r="U519" s="521">
        <v>814</v>
      </c>
      <c r="V519" s="521">
        <v>862</v>
      </c>
      <c r="W519" s="521">
        <v>831</v>
      </c>
      <c r="X519" s="521">
        <v>858</v>
      </c>
      <c r="Y519" s="521">
        <v>859</v>
      </c>
      <c r="Z519" s="521">
        <v>879</v>
      </c>
      <c r="AA519" s="521">
        <v>845</v>
      </c>
      <c r="AB519" s="521">
        <v>853</v>
      </c>
      <c r="AC519" s="521">
        <v>831</v>
      </c>
      <c r="AD519" s="521">
        <v>839</v>
      </c>
      <c r="AE519" s="521">
        <v>753</v>
      </c>
      <c r="AF519" s="521">
        <v>630</v>
      </c>
      <c r="AG519" s="521">
        <v>619</v>
      </c>
      <c r="AH519" s="521">
        <v>629</v>
      </c>
      <c r="AI519" s="521">
        <v>670</v>
      </c>
      <c r="AJ519" s="521">
        <v>758</v>
      </c>
      <c r="AK519" s="521">
        <v>790</v>
      </c>
      <c r="AL519" s="521">
        <v>832</v>
      </c>
      <c r="AM519" s="521">
        <v>753</v>
      </c>
      <c r="AN519" s="521">
        <v>823</v>
      </c>
      <c r="AO519" s="521">
        <v>819</v>
      </c>
      <c r="AP519" s="521">
        <v>821</v>
      </c>
      <c r="AQ519" s="521">
        <v>786</v>
      </c>
      <c r="AR519" s="521">
        <v>853</v>
      </c>
      <c r="AS519" s="521">
        <v>859</v>
      </c>
      <c r="AT519" s="521">
        <v>835</v>
      </c>
      <c r="AU519" s="521">
        <v>874</v>
      </c>
      <c r="AV519" s="521">
        <v>850</v>
      </c>
      <c r="AW519" s="521">
        <v>902</v>
      </c>
      <c r="AX519" s="521">
        <v>921</v>
      </c>
      <c r="AY519" s="521">
        <v>825</v>
      </c>
      <c r="AZ519" s="521">
        <v>847</v>
      </c>
      <c r="BA519" s="521">
        <v>842</v>
      </c>
      <c r="BB519" s="521">
        <v>901</v>
      </c>
      <c r="BC519" s="521">
        <v>918</v>
      </c>
      <c r="BD519" s="521">
        <v>874</v>
      </c>
      <c r="BE519" s="521">
        <v>746</v>
      </c>
      <c r="BF519" s="521">
        <v>759</v>
      </c>
      <c r="BG519" s="521">
        <v>795</v>
      </c>
      <c r="BH519" s="521">
        <v>790</v>
      </c>
      <c r="BI519" s="521">
        <v>799</v>
      </c>
      <c r="BJ519" s="521">
        <v>915</v>
      </c>
      <c r="BK519" s="521">
        <v>955</v>
      </c>
      <c r="BL519" s="521">
        <v>1013</v>
      </c>
      <c r="BM519" s="521">
        <v>995</v>
      </c>
      <c r="BN519" s="521">
        <v>1003</v>
      </c>
      <c r="BO519" s="521">
        <v>969</v>
      </c>
      <c r="BP519" s="521">
        <v>960</v>
      </c>
      <c r="BQ519" s="521">
        <v>1007</v>
      </c>
      <c r="BR519" s="521">
        <v>986</v>
      </c>
      <c r="BS519" s="521">
        <v>968</v>
      </c>
      <c r="BT519" s="521">
        <v>965</v>
      </c>
      <c r="BU519" s="521">
        <v>916</v>
      </c>
      <c r="BV519" s="521">
        <v>884</v>
      </c>
      <c r="BW519" s="521">
        <v>833</v>
      </c>
      <c r="BX519" s="521">
        <v>743</v>
      </c>
      <c r="BY519" s="521">
        <v>790</v>
      </c>
      <c r="BZ519" s="521">
        <v>795</v>
      </c>
      <c r="CA519" s="521">
        <v>774</v>
      </c>
      <c r="CB519" s="521">
        <v>688</v>
      </c>
      <c r="CC519" s="521">
        <v>698</v>
      </c>
      <c r="CD519" s="521">
        <v>716</v>
      </c>
      <c r="CE519" s="521">
        <v>688</v>
      </c>
      <c r="CF519" s="521">
        <v>667</v>
      </c>
      <c r="CG519" s="521">
        <v>680</v>
      </c>
      <c r="CH519" s="521">
        <v>708</v>
      </c>
      <c r="CI519" s="521">
        <v>706</v>
      </c>
      <c r="CJ519" s="521">
        <v>754</v>
      </c>
      <c r="CK519" s="521">
        <v>572</v>
      </c>
      <c r="CL519" s="521">
        <v>512</v>
      </c>
      <c r="CM519" s="521">
        <v>519</v>
      </c>
      <c r="CN519" s="521">
        <v>494</v>
      </c>
      <c r="CO519" s="521">
        <v>429</v>
      </c>
      <c r="CP519" s="521">
        <v>357</v>
      </c>
      <c r="CQ519" s="521">
        <v>308</v>
      </c>
      <c r="CR519" s="521">
        <v>275</v>
      </c>
      <c r="CS519" s="521">
        <v>281</v>
      </c>
      <c r="CT519" s="521">
        <v>235</v>
      </c>
      <c r="CU519" s="521">
        <v>217</v>
      </c>
      <c r="CV519" s="521">
        <v>176</v>
      </c>
      <c r="CW519" s="521">
        <v>132</v>
      </c>
      <c r="CX519" s="521">
        <v>132</v>
      </c>
      <c r="CY519" s="521">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541" t="s">
        <v>600</v>
      </c>
      <c r="B535" s="542"/>
      <c r="C535" s="543"/>
      <c r="D535" s="544"/>
      <c r="E535" s="544"/>
      <c r="F535" s="544"/>
      <c r="G535" s="545"/>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546" t="s">
        <v>601</v>
      </c>
      <c r="E537" s="547" t="s">
        <v>602</v>
      </c>
      <c r="F537" s="546"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548" t="s">
        <v>604</v>
      </c>
      <c r="E538" s="549" t="s">
        <v>605</v>
      </c>
      <c r="F538" s="548"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548" t="s">
        <v>607</v>
      </c>
      <c r="E539" s="549" t="s">
        <v>608</v>
      </c>
      <c r="F539" s="548"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610</v>
      </c>
      <c r="D540" s="550">
        <v>60238038</v>
      </c>
      <c r="E540" s="551"/>
      <c r="F540" s="552"/>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553" t="s">
        <v>611</v>
      </c>
      <c r="D541" s="554"/>
      <c r="E541" s="555">
        <v>60856434</v>
      </c>
      <c r="F541" s="550">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553" t="s">
        <v>612</v>
      </c>
      <c r="D542" s="554"/>
      <c r="E542" s="556">
        <f>(E541-D540)/D540</f>
        <v>1.0265872205200309E-2</v>
      </c>
      <c r="F542" s="557">
        <f>(F541-D540)/D540</f>
        <v>2.0553358660187437E-2</v>
      </c>
      <c r="G542" s="558">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553" t="s">
        <v>613</v>
      </c>
      <c r="D543" s="554"/>
      <c r="E543" s="559"/>
      <c r="F543" s="550">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553" t="s">
        <v>614</v>
      </c>
      <c r="D544" s="554"/>
      <c r="E544" s="559"/>
      <c r="F544" s="550">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537"/>
      <c r="B547" s="538"/>
      <c r="C547" s="21" t="s">
        <v>615</v>
      </c>
      <c r="D547" s="139" t="s">
        <v>616</v>
      </c>
      <c r="E547" s="139" t="s">
        <v>617</v>
      </c>
      <c r="F547" s="139" t="s">
        <v>618</v>
      </c>
      <c r="G547" s="139" t="s">
        <v>619</v>
      </c>
      <c r="H547" s="139" t="s">
        <v>620</v>
      </c>
      <c r="I547" s="139" t="s">
        <v>621</v>
      </c>
      <c r="J547" s="459" t="s">
        <v>622</v>
      </c>
      <c r="K547" s="462" t="s">
        <v>623</v>
      </c>
      <c r="L547" s="313"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539" t="s">
        <v>625</v>
      </c>
      <c r="C548" s="21" t="s">
        <v>626</v>
      </c>
      <c r="D548" s="844" t="s">
        <v>627</v>
      </c>
      <c r="E548" s="845"/>
      <c r="F548" s="845"/>
      <c r="G548" s="845"/>
      <c r="H548" s="845"/>
      <c r="I548" s="846"/>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539"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539" t="s">
        <v>625</v>
      </c>
      <c r="B550" s="11">
        <v>1</v>
      </c>
      <c r="C550" s="138" t="s">
        <v>629</v>
      </c>
      <c r="D550" s="142"/>
      <c r="E550" s="142">
        <v>1.0090702843828887</v>
      </c>
      <c r="F550" s="142">
        <v>1.0170393771683619</v>
      </c>
      <c r="G550" s="142">
        <v>1.0238793000184203</v>
      </c>
      <c r="H550" s="142">
        <v>1.0295635385778663</v>
      </c>
      <c r="I550" s="142">
        <v>1.0351195322438309</v>
      </c>
      <c r="J550" s="460">
        <f>(I550-100%)/5</f>
        <v>7.0239064487661821E-3</v>
      </c>
      <c r="K550" s="463">
        <f t="shared" ref="K550:K563" si="144">(I550/100%)^(1/5)-1</f>
        <v>6.9272652964273984E-3</v>
      </c>
      <c r="L550" s="458">
        <v>6.9272652964273984E-3</v>
      </c>
      <c r="M550" s="454"/>
      <c r="N550" s="454"/>
      <c r="O550" s="455"/>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539" t="s">
        <v>625</v>
      </c>
      <c r="B551" s="11">
        <v>2</v>
      </c>
      <c r="C551" s="138" t="s">
        <v>630</v>
      </c>
      <c r="D551" s="142"/>
      <c r="E551" s="142">
        <v>0.96173452499784384</v>
      </c>
      <c r="F551" s="142">
        <v>0.949547172001034</v>
      </c>
      <c r="G551" s="142">
        <v>0.93849673400054612</v>
      </c>
      <c r="H551" s="142">
        <v>0.92766778564091124</v>
      </c>
      <c r="I551" s="142">
        <v>0.91680012001884892</v>
      </c>
      <c r="J551" s="460">
        <f t="shared" ref="J551:J563" si="145">(I551-100%)/5</f>
        <v>-1.6639975996230218E-2</v>
      </c>
      <c r="K551" s="463">
        <f t="shared" si="144"/>
        <v>-1.7223117235316776E-2</v>
      </c>
      <c r="L551" s="458">
        <v>-1.7223117235316776E-2</v>
      </c>
      <c r="M551" s="454"/>
      <c r="N551" s="454"/>
      <c r="O551" s="455"/>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539" t="s">
        <v>625</v>
      </c>
      <c r="B552" s="11">
        <v>3</v>
      </c>
      <c r="C552" s="138" t="s">
        <v>631</v>
      </c>
      <c r="D552" s="142"/>
      <c r="E552" s="142">
        <v>1.0707061745580608</v>
      </c>
      <c r="F552" s="142">
        <v>1.0961797739954167</v>
      </c>
      <c r="G552" s="142">
        <v>1.1120352164720533</v>
      </c>
      <c r="H552" s="142">
        <v>1.1172916519636134</v>
      </c>
      <c r="I552" s="142">
        <v>1.1228072524832799</v>
      </c>
      <c r="J552" s="460">
        <f t="shared" si="145"/>
        <v>2.4561450496655989E-2</v>
      </c>
      <c r="K552" s="463">
        <f t="shared" si="144"/>
        <v>2.3436830336478032E-2</v>
      </c>
      <c r="L552" s="458">
        <v>2.3436830336478032E-2</v>
      </c>
      <c r="M552" s="454"/>
      <c r="N552" s="454"/>
      <c r="O552" s="455"/>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539" t="s">
        <v>625</v>
      </c>
      <c r="B553" s="11">
        <v>4</v>
      </c>
      <c r="C553" s="138" t="s">
        <v>632</v>
      </c>
      <c r="D553" s="142"/>
      <c r="E553" s="142">
        <v>0.99704312080608826</v>
      </c>
      <c r="F553" s="142">
        <v>0.99705853203848904</v>
      </c>
      <c r="G553" s="142">
        <v>0.99472603914083957</v>
      </c>
      <c r="H553" s="142">
        <v>0.9891090180954597</v>
      </c>
      <c r="I553" s="142">
        <v>0.98354979851924307</v>
      </c>
      <c r="J553" s="460">
        <f t="shared" si="145"/>
        <v>-3.2900402961513866E-3</v>
      </c>
      <c r="K553" s="463">
        <f t="shared" si="144"/>
        <v>-3.3119051937137156E-3</v>
      </c>
      <c r="L553" s="458">
        <v>-3.3119051937137156E-3</v>
      </c>
      <c r="M553" s="454"/>
      <c r="N553" s="454"/>
      <c r="O553" s="455"/>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539" t="s">
        <v>625</v>
      </c>
      <c r="B554" s="11">
        <v>5</v>
      </c>
      <c r="C554" s="138" t="s">
        <v>633</v>
      </c>
      <c r="D554" s="142"/>
      <c r="E554" s="142">
        <v>0.99263087643060499</v>
      </c>
      <c r="F554" s="142">
        <v>0.99530151668079492</v>
      </c>
      <c r="G554" s="142">
        <v>0.99708461172748208</v>
      </c>
      <c r="H554" s="142">
        <v>0.99857946574262668</v>
      </c>
      <c r="I554" s="142">
        <v>1.0006058081967233</v>
      </c>
      <c r="J554" s="460">
        <f t="shared" si="145"/>
        <v>1.2116163934465796E-4</v>
      </c>
      <c r="K554" s="463">
        <f t="shared" si="144"/>
        <v>1.2113228972654433E-4</v>
      </c>
      <c r="L554" s="458">
        <v>1.2113228972654433E-4</v>
      </c>
      <c r="M554" s="454"/>
      <c r="N554" s="454"/>
      <c r="O554" s="455"/>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539" t="s">
        <v>625</v>
      </c>
      <c r="B555" s="11">
        <v>6</v>
      </c>
      <c r="C555" s="452" t="s">
        <v>634</v>
      </c>
      <c r="D555" s="453"/>
      <c r="E555" s="453">
        <v>1.0123419501207302</v>
      </c>
      <c r="F555" s="453">
        <v>1.0224746276334522</v>
      </c>
      <c r="G555" s="453">
        <v>1.0318096590054313</v>
      </c>
      <c r="H555" s="453">
        <v>1.040568100689119</v>
      </c>
      <c r="I555" s="453">
        <v>1.0491476885800255</v>
      </c>
      <c r="J555" s="469">
        <f t="shared" si="145"/>
        <v>9.8295377160050983E-3</v>
      </c>
      <c r="K555" s="470">
        <f t="shared" si="144"/>
        <v>9.641807463928842E-3</v>
      </c>
      <c r="L555" s="540">
        <v>9.6418074639288403E-3</v>
      </c>
      <c r="M555" s="454"/>
      <c r="N555" s="454"/>
      <c r="O555" s="455"/>
      <c r="P555" s="13"/>
      <c r="Q555" s="456"/>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539" t="s">
        <v>625</v>
      </c>
      <c r="B556" s="11">
        <v>7</v>
      </c>
      <c r="C556" s="138" t="s">
        <v>635</v>
      </c>
      <c r="D556" s="142"/>
      <c r="E556" s="142">
        <v>1.0234861902526262</v>
      </c>
      <c r="F556" s="142">
        <v>1.0362595252458171</v>
      </c>
      <c r="G556" s="142">
        <v>1.0484007089616401</v>
      </c>
      <c r="H556" s="142">
        <v>1.0594741481215733</v>
      </c>
      <c r="I556" s="142">
        <v>1.0705464348984648</v>
      </c>
      <c r="J556" s="460">
        <f t="shared" si="145"/>
        <v>1.4109286979692959E-2</v>
      </c>
      <c r="K556" s="463">
        <f t="shared" si="144"/>
        <v>1.372720562144969E-2</v>
      </c>
      <c r="L556" s="458">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539" t="s">
        <v>625</v>
      </c>
      <c r="B557" s="11">
        <v>8</v>
      </c>
      <c r="C557" s="138" t="s">
        <v>636</v>
      </c>
      <c r="D557" s="142"/>
      <c r="E557" s="142">
        <v>1.0327181385810218</v>
      </c>
      <c r="F557" s="142">
        <v>1.0462000918268668</v>
      </c>
      <c r="G557" s="142">
        <v>1.0579618766687933</v>
      </c>
      <c r="H557" s="142">
        <v>1.0679645783102321</v>
      </c>
      <c r="I557" s="142">
        <v>1.0772361012999514</v>
      </c>
      <c r="J557" s="460">
        <f t="shared" si="145"/>
        <v>1.544722025999028E-2</v>
      </c>
      <c r="K557" s="463">
        <f t="shared" si="144"/>
        <v>1.4990973227517745E-2</v>
      </c>
      <c r="L557" s="458">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539" t="s">
        <v>625</v>
      </c>
      <c r="B558" s="11">
        <v>9</v>
      </c>
      <c r="C558" s="138" t="s">
        <v>637</v>
      </c>
      <c r="D558" s="142"/>
      <c r="E558" s="142">
        <v>1.0231841082591016</v>
      </c>
      <c r="F558" s="142">
        <v>1.0358890289056439</v>
      </c>
      <c r="G558" s="142">
        <v>1.0481652070229122</v>
      </c>
      <c r="H558" s="142">
        <v>1.0592891805745575</v>
      </c>
      <c r="I558" s="142">
        <v>1.069681907109314</v>
      </c>
      <c r="J558" s="460">
        <f t="shared" si="145"/>
        <v>1.3936381421862798E-2</v>
      </c>
      <c r="K558" s="463">
        <f t="shared" si="144"/>
        <v>1.3563424108683053E-2</v>
      </c>
      <c r="L558" s="458">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539" t="s">
        <v>625</v>
      </c>
      <c r="B559" s="11">
        <v>10</v>
      </c>
      <c r="C559" s="138" t="s">
        <v>638</v>
      </c>
      <c r="D559" s="142"/>
      <c r="E559" s="142">
        <v>1.0341666734322146</v>
      </c>
      <c r="F559" s="142">
        <v>1.0480179725760268</v>
      </c>
      <c r="G559" s="142">
        <v>1.0601012155156095</v>
      </c>
      <c r="H559" s="142">
        <v>1.0702848288878077</v>
      </c>
      <c r="I559" s="142">
        <v>1.0797421461131422</v>
      </c>
      <c r="J559" s="460">
        <f t="shared" si="145"/>
        <v>1.5948429222628447E-2</v>
      </c>
      <c r="K559" s="463">
        <f t="shared" si="144"/>
        <v>1.5462782371323147E-2</v>
      </c>
      <c r="L559" s="458">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539" t="s">
        <v>625</v>
      </c>
      <c r="B560" s="11">
        <v>11</v>
      </c>
      <c r="C560" s="138" t="s">
        <v>639</v>
      </c>
      <c r="D560" s="142"/>
      <c r="E560" s="142">
        <v>1.0233409873632719</v>
      </c>
      <c r="F560" s="142">
        <v>1.0360814373748364</v>
      </c>
      <c r="G560" s="142">
        <v>1.0482875093579402</v>
      </c>
      <c r="H560" s="142">
        <v>1.0593852390742311</v>
      </c>
      <c r="I560" s="142">
        <v>1.0701308790705675</v>
      </c>
      <c r="J560" s="460">
        <f t="shared" si="145"/>
        <v>1.4026175814113495E-2</v>
      </c>
      <c r="K560" s="463">
        <f t="shared" si="144"/>
        <v>1.364849335671825E-2</v>
      </c>
      <c r="L560" s="458">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539" t="s">
        <v>625</v>
      </c>
      <c r="B561" s="11">
        <v>12</v>
      </c>
      <c r="C561" s="138" t="s">
        <v>640</v>
      </c>
      <c r="D561" s="142"/>
      <c r="E561" s="142">
        <v>1.0334066911438702</v>
      </c>
      <c r="F561" s="142">
        <v>1.0470642108004322</v>
      </c>
      <c r="G561" s="142">
        <v>1.0589787988674986</v>
      </c>
      <c r="H561" s="142">
        <v>1.0690674958412283</v>
      </c>
      <c r="I561" s="142">
        <v>1.0784273350333435</v>
      </c>
      <c r="J561" s="460">
        <f t="shared" si="145"/>
        <v>1.5685467006668709E-2</v>
      </c>
      <c r="K561" s="463">
        <f t="shared" si="144"/>
        <v>1.5215354312122953E-2</v>
      </c>
      <c r="L561" s="458">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539" t="s">
        <v>625</v>
      </c>
      <c r="B562" s="11">
        <v>13</v>
      </c>
      <c r="C562" s="138" t="s">
        <v>641</v>
      </c>
      <c r="D562" s="142"/>
      <c r="E562" s="142">
        <v>1.0535754755454367</v>
      </c>
      <c r="F562" s="142">
        <v>1.079128927735721</v>
      </c>
      <c r="G562" s="142">
        <v>1.10377830980113</v>
      </c>
      <c r="H562" s="142">
        <v>1.1267313398994689</v>
      </c>
      <c r="I562" s="142">
        <v>1.1493400902365778</v>
      </c>
      <c r="J562" s="460">
        <f t="shared" si="145"/>
        <v>2.9868018047315557E-2</v>
      </c>
      <c r="K562" s="463">
        <f t="shared" si="144"/>
        <v>2.8228674820024224E-2</v>
      </c>
      <c r="L562" s="458">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370">
        <v>14</v>
      </c>
      <c r="C563" s="138" t="s">
        <v>642</v>
      </c>
      <c r="D563" s="142"/>
      <c r="E563" s="142">
        <v>1.0081055095898279</v>
      </c>
      <c r="F563" s="142">
        <v>1.0157451629461605</v>
      </c>
      <c r="G563" s="142">
        <v>1.0222827798035592</v>
      </c>
      <c r="H563" s="142">
        <v>1.0276922014787842</v>
      </c>
      <c r="I563" s="142">
        <v>1.032997413899986</v>
      </c>
      <c r="J563" s="460">
        <f t="shared" si="145"/>
        <v>6.5994827799972008E-3</v>
      </c>
      <c r="K563" s="463">
        <f t="shared" si="144"/>
        <v>6.5140621434043311E-3</v>
      </c>
      <c r="L563" s="458">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461" t="s">
        <v>643</v>
      </c>
      <c r="K564" s="6"/>
      <c r="L564" s="312"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312"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312" t="s">
        <v>646</v>
      </c>
      <c r="M566" s="13"/>
      <c r="N566" s="13"/>
      <c r="O566" s="13"/>
      <c r="P566" s="13"/>
      <c r="Q566" s="13"/>
      <c r="R566" s="457"/>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471" t="s">
        <v>647</v>
      </c>
      <c r="E567" s="15"/>
      <c r="L567" s="312" t="s">
        <v>648</v>
      </c>
      <c r="M567" s="13"/>
      <c r="N567" s="13"/>
      <c r="O567" s="13"/>
      <c r="P567" s="13"/>
      <c r="Q567" s="13"/>
      <c r="R567" s="457"/>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312"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312"/>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312"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312" t="s">
        <v>651</v>
      </c>
      <c r="M571" s="13"/>
      <c r="N571" s="13"/>
      <c r="O571" s="561"/>
      <c r="P571" s="562" t="s">
        <v>652</v>
      </c>
      <c r="Q571" s="56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75" customHeight="1" x14ac:dyDescent="0.3">
      <c r="C572" s="11"/>
      <c r="M572" s="13"/>
      <c r="N572" s="13"/>
      <c r="O572" s="566" t="s">
        <v>622</v>
      </c>
      <c r="P572" s="566" t="s">
        <v>623</v>
      </c>
      <c r="Q572" s="567"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537"/>
      <c r="B573" s="538"/>
      <c r="C573" s="138" t="s">
        <v>629</v>
      </c>
      <c r="D573" s="560"/>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60">
        <f>(N573-100%)/10</f>
        <v>6.0996339197137541E-3</v>
      </c>
      <c r="P573" s="463">
        <f>(N573/100%)^(1/10)-1</f>
        <v>5.9384037531065026E-3</v>
      </c>
      <c r="Q573" s="564">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539" t="s">
        <v>654</v>
      </c>
      <c r="C574" s="138" t="s">
        <v>630</v>
      </c>
      <c r="D574" s="560"/>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60">
        <f t="shared" ref="O574:O586" si="146">(N574-100%)/10</f>
        <v>-6.0280923298853817E-3</v>
      </c>
      <c r="P574" s="463">
        <f t="shared" ref="P574:P586" si="147">(N574/100%)^(1/10)-1</f>
        <v>-6.1981420710855994E-3</v>
      </c>
      <c r="Q574" s="564">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539" t="s">
        <v>654</v>
      </c>
      <c r="C575" s="138" t="s">
        <v>631</v>
      </c>
      <c r="D575" s="560"/>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60">
        <f t="shared" si="146"/>
        <v>1.5087615236704566E-2</v>
      </c>
      <c r="P575" s="463">
        <f t="shared" si="147"/>
        <v>1.4151550808456648E-2</v>
      </c>
      <c r="Q575" s="564">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539" t="s">
        <v>654</v>
      </c>
      <c r="C576" s="138" t="s">
        <v>632</v>
      </c>
      <c r="D576" s="560"/>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60">
        <f t="shared" si="146"/>
        <v>8.1374209845206378E-4</v>
      </c>
      <c r="P576" s="463">
        <f t="shared" si="147"/>
        <v>8.1077757246905691E-4</v>
      </c>
      <c r="Q576" s="564">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539" t="s">
        <v>654</v>
      </c>
      <c r="C577" s="138" t="s">
        <v>633</v>
      </c>
      <c r="D577" s="560"/>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60">
        <f t="shared" si="146"/>
        <v>2.5619811438394092E-3</v>
      </c>
      <c r="P577" s="463">
        <f t="shared" si="147"/>
        <v>2.5329148145079028E-3</v>
      </c>
      <c r="Q577" s="564">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539" t="s">
        <v>654</v>
      </c>
      <c r="C578" s="452" t="s">
        <v>634</v>
      </c>
      <c r="D578" s="453"/>
      <c r="E578" s="453">
        <v>1.0123419501207302</v>
      </c>
      <c r="F578" s="453">
        <v>1.0224746276334522</v>
      </c>
      <c r="G578" s="453">
        <v>1.0318096590054313</v>
      </c>
      <c r="H578" s="453">
        <v>1.040568100689119</v>
      </c>
      <c r="I578" s="453">
        <v>1.0491476885800255</v>
      </c>
      <c r="J578" s="453">
        <v>1.0546473961073131</v>
      </c>
      <c r="K578" s="453">
        <v>1.0600156863772707</v>
      </c>
      <c r="L578" s="453">
        <v>1.0652587749595908</v>
      </c>
      <c r="M578" s="453">
        <v>1.0703773048442411</v>
      </c>
      <c r="N578" s="453">
        <v>1.0753751834317971</v>
      </c>
      <c r="O578" s="469">
        <f t="shared" si="146"/>
        <v>7.5375183431797051E-3</v>
      </c>
      <c r="P578" s="470">
        <f t="shared" si="147"/>
        <v>7.2934292896156272E-3</v>
      </c>
      <c r="Q578" s="470">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539" t="s">
        <v>654</v>
      </c>
      <c r="C579" s="138" t="s">
        <v>635</v>
      </c>
      <c r="D579" s="560"/>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60">
        <f t="shared" si="146"/>
        <v>9.7308873986410305E-3</v>
      </c>
      <c r="P579" s="463">
        <f t="shared" si="147"/>
        <v>9.3293197294876951E-3</v>
      </c>
      <c r="Q579" s="564">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539" t="s">
        <v>654</v>
      </c>
      <c r="C580" s="138" t="s">
        <v>636</v>
      </c>
      <c r="D580" s="560"/>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60">
        <f t="shared" si="146"/>
        <v>1.0416577441320607E-2</v>
      </c>
      <c r="P580" s="463">
        <f t="shared" si="147"/>
        <v>9.95826625164975E-3</v>
      </c>
      <c r="Q580" s="564">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539" t="s">
        <v>654</v>
      </c>
      <c r="C581" s="138" t="s">
        <v>637</v>
      </c>
      <c r="D581" s="560"/>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60">
        <f t="shared" si="146"/>
        <v>9.64227339891921E-3</v>
      </c>
      <c r="P581" s="463">
        <f t="shared" si="147"/>
        <v>9.2477809488915597E-3</v>
      </c>
      <c r="Q581" s="564">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539" t="s">
        <v>654</v>
      </c>
      <c r="C582" s="138" t="s">
        <v>638</v>
      </c>
      <c r="D582" s="560"/>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60">
        <f t="shared" si="146"/>
        <v>1.0673446748664817E-2</v>
      </c>
      <c r="P582" s="463">
        <f t="shared" si="147"/>
        <v>1.0192973847719333E-2</v>
      </c>
      <c r="Q582" s="564">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539" t="s">
        <v>654</v>
      </c>
      <c r="C583" s="138" t="s">
        <v>639</v>
      </c>
      <c r="D583" s="560"/>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60">
        <f t="shared" si="146"/>
        <v>9.6882929737077683E-3</v>
      </c>
      <c r="P583" s="463">
        <f t="shared" si="147"/>
        <v>9.2901335764377091E-3</v>
      </c>
      <c r="Q583" s="564">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539" t="s">
        <v>654</v>
      </c>
      <c r="C584" s="138" t="s">
        <v>640</v>
      </c>
      <c r="D584" s="560"/>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60">
        <f t="shared" si="146"/>
        <v>1.0538678763041154E-2</v>
      </c>
      <c r="P584" s="463">
        <f t="shared" si="147"/>
        <v>1.0069894342066732E-2</v>
      </c>
      <c r="Q584" s="564">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539" t="s">
        <v>654</v>
      </c>
      <c r="C585" s="138" t="s">
        <v>641</v>
      </c>
      <c r="D585" s="560"/>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60">
        <f t="shared" si="146"/>
        <v>1.7807228078299507E-2</v>
      </c>
      <c r="P585" s="463">
        <f t="shared" si="147"/>
        <v>1.6522963134986579E-2</v>
      </c>
      <c r="Q585" s="564">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370"/>
      <c r="C586" s="138" t="s">
        <v>642</v>
      </c>
      <c r="D586" s="560"/>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60">
        <f t="shared" si="146"/>
        <v>5.8821170316610384E-3</v>
      </c>
      <c r="P586" s="463">
        <f t="shared" si="147"/>
        <v>5.7319838926312983E-3</v>
      </c>
      <c r="Q586" s="564">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461" t="s">
        <v>643</v>
      </c>
      <c r="P587" s="461" t="s">
        <v>643</v>
      </c>
      <c r="Q587" s="565"/>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461" t="s">
        <v>655</v>
      </c>
      <c r="P588" s="461" t="s">
        <v>655</v>
      </c>
      <c r="Q588" s="565"/>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565"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565"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Y140"/>
  <sheetViews>
    <sheetView showGridLines="0" topLeftCell="C16" zoomScale="80" zoomScaleNormal="80" workbookViewId="0">
      <selection activeCell="L77" sqref="L77"/>
    </sheetView>
  </sheetViews>
  <sheetFormatPr defaultRowHeight="14.5" x14ac:dyDescent="0.35"/>
  <cols>
    <col min="1" max="1" width="2.453125" customWidth="1"/>
    <col min="2" max="2" width="5.81640625" customWidth="1"/>
    <col min="3" max="3" width="41.1796875" customWidth="1"/>
    <col min="4" max="4" width="34.453125" customWidth="1"/>
    <col min="5" max="5" width="15.81640625" customWidth="1"/>
    <col min="6" max="6" width="16" customWidth="1"/>
    <col min="7" max="7" width="14.81640625" customWidth="1"/>
    <col min="8" max="18" width="13.453125" customWidth="1"/>
    <col min="19" max="19" width="3.453125" customWidth="1"/>
  </cols>
  <sheetData>
    <row r="1" spans="2:24" ht="30" customHeight="1" x14ac:dyDescent="0.35">
      <c r="B1" s="493" t="s">
        <v>993</v>
      </c>
    </row>
    <row r="2" spans="2:24" ht="30" customHeight="1" x14ac:dyDescent="0.35">
      <c r="B2" s="154" t="s">
        <v>656</v>
      </c>
      <c r="C2" s="154"/>
      <c r="D2" s="153"/>
      <c r="E2" s="170"/>
      <c r="F2" s="153"/>
      <c r="G2" s="153"/>
      <c r="H2" s="153"/>
      <c r="I2" s="153"/>
      <c r="J2" s="153"/>
      <c r="K2" s="153"/>
      <c r="L2" s="153"/>
      <c r="M2" s="153"/>
      <c r="N2" s="153"/>
      <c r="O2" s="153"/>
      <c r="P2" s="153"/>
      <c r="Q2" s="153"/>
      <c r="R2" s="153"/>
      <c r="S2" s="153"/>
      <c r="T2" s="153"/>
      <c r="U2" s="153"/>
      <c r="V2" s="153"/>
      <c r="W2" s="153"/>
      <c r="X2" s="153"/>
    </row>
    <row r="4" spans="2:24" x14ac:dyDescent="0.35">
      <c r="B4" s="155" t="s">
        <v>657</v>
      </c>
      <c r="C4" s="309"/>
      <c r="D4" s="309"/>
      <c r="E4" s="309"/>
      <c r="F4" s="309"/>
      <c r="G4" s="309"/>
      <c r="H4" s="309"/>
      <c r="I4" s="309"/>
      <c r="J4" s="309"/>
      <c r="K4" s="309"/>
      <c r="L4" s="309"/>
      <c r="M4" s="309"/>
      <c r="N4" s="309"/>
      <c r="O4" s="309"/>
      <c r="P4" s="309"/>
      <c r="Q4" s="309"/>
      <c r="R4" s="309"/>
      <c r="S4" s="156"/>
    </row>
    <row r="5" spans="2:24" x14ac:dyDescent="0.35">
      <c r="B5" s="159"/>
      <c r="C5" t="s">
        <v>658</v>
      </c>
      <c r="S5" s="158"/>
    </row>
    <row r="6" spans="2:24" x14ac:dyDescent="0.35">
      <c r="B6" s="159"/>
      <c r="C6" t="s">
        <v>659</v>
      </c>
      <c r="S6" s="158"/>
    </row>
    <row r="7" spans="2:24" x14ac:dyDescent="0.35">
      <c r="B7" s="159"/>
      <c r="C7" t="s">
        <v>660</v>
      </c>
      <c r="S7" s="158"/>
    </row>
    <row r="8" spans="2:24" x14ac:dyDescent="0.35">
      <c r="B8" s="160"/>
      <c r="C8" s="161"/>
      <c r="D8" s="161"/>
      <c r="E8" s="161"/>
      <c r="F8" s="161"/>
      <c r="G8" s="161"/>
      <c r="H8" s="161"/>
      <c r="I8" s="161"/>
      <c r="J8" s="161"/>
      <c r="K8" s="161"/>
      <c r="L8" s="161"/>
      <c r="M8" s="161"/>
      <c r="N8" s="161"/>
      <c r="O8" s="161"/>
      <c r="P8" s="161"/>
      <c r="Q8" s="161"/>
      <c r="R8" s="161"/>
      <c r="S8" s="158"/>
    </row>
    <row r="9" spans="2:24" x14ac:dyDescent="0.35">
      <c r="S9" s="196"/>
    </row>
    <row r="10" spans="2:24" x14ac:dyDescent="0.35">
      <c r="B10" s="155" t="s">
        <v>661</v>
      </c>
      <c r="C10" s="309"/>
      <c r="D10" s="309"/>
      <c r="E10" s="309"/>
      <c r="F10" s="309"/>
      <c r="G10" s="309"/>
      <c r="H10" s="309"/>
      <c r="I10" s="309"/>
      <c r="J10" s="309"/>
      <c r="K10" s="309"/>
      <c r="L10" s="309"/>
      <c r="M10" s="309"/>
      <c r="N10" s="309"/>
      <c r="O10" s="309"/>
      <c r="P10" s="309"/>
      <c r="Q10" s="309"/>
      <c r="R10" s="309"/>
      <c r="S10" s="158"/>
    </row>
    <row r="11" spans="2:24" x14ac:dyDescent="0.35">
      <c r="B11" s="157"/>
      <c r="C11" t="s">
        <v>662</v>
      </c>
      <c r="E11" s="150" t="s">
        <v>56</v>
      </c>
      <c r="S11" s="158"/>
    </row>
    <row r="12" spans="2:24" x14ac:dyDescent="0.35">
      <c r="B12" s="157"/>
      <c r="C12" t="s">
        <v>76</v>
      </c>
      <c r="E12" s="150" t="s">
        <v>97</v>
      </c>
      <c r="G12" s="128">
        <f>'Population selection'!F14</f>
        <v>45219492</v>
      </c>
      <c r="H12" t="str">
        <f>C25&amp;" population based on selection on left using mid-2022 ONS data"</f>
        <v>Adult population population based on selection on left using mid-2022 ONS data</v>
      </c>
      <c r="S12" s="158"/>
    </row>
    <row r="13" spans="2:24" x14ac:dyDescent="0.35">
      <c r="B13" s="157"/>
      <c r="E13" s="568"/>
      <c r="G13" s="575">
        <f>2.05533586601874%</f>
        <v>2.0553358660187402E-2</v>
      </c>
      <c r="H13" t="s">
        <v>663</v>
      </c>
      <c r="S13" s="158"/>
    </row>
    <row r="14" spans="2:24" x14ac:dyDescent="0.35">
      <c r="B14" s="157"/>
      <c r="C14" s="148"/>
      <c r="G14" s="128">
        <f>(100%+G13)*G12</f>
        <v>46148904.437507473</v>
      </c>
      <c r="H14" t="s">
        <v>664</v>
      </c>
      <c r="S14" s="158"/>
    </row>
    <row r="15" spans="2:24" x14ac:dyDescent="0.35">
      <c r="B15" s="159"/>
      <c r="C15" t="s">
        <v>665</v>
      </c>
      <c r="E15" s="576" t="s">
        <v>54</v>
      </c>
      <c r="F15" s="169" t="str">
        <f>IF(E15="yes","","If no, enter current locality population below")</f>
        <v/>
      </c>
      <c r="S15" s="158"/>
    </row>
    <row r="16" spans="2:24" x14ac:dyDescent="0.35">
      <c r="B16" s="159"/>
      <c r="F16" s="169" t="str">
        <f>IF(AND(NOT(ISBLANK(E17)),E15="yes"),"error - change cell above to 'no'","")</f>
        <v/>
      </c>
      <c r="S16" s="158"/>
    </row>
    <row r="17" spans="2:24" x14ac:dyDescent="0.35">
      <c r="B17" s="159"/>
      <c r="C17" t="str">
        <f>"Manually entered current locality population "&amp;IF(E15="no","","(n/a)")</f>
        <v>Manually entered current locality population (n/a)</v>
      </c>
      <c r="E17" s="577"/>
      <c r="F17" s="644" t="str">
        <f>IF(E15="yes","Leave blue cell on left blank if NICE estimate is used","")</f>
        <v>Leave blue cell on left blank if NICE estimate is used</v>
      </c>
      <c r="S17" s="158"/>
    </row>
    <row r="18" spans="2:24" x14ac:dyDescent="0.35">
      <c r="B18" s="159"/>
      <c r="F18" s="169" t="str">
        <f>IF(AND(ISBLANK(E17),E15="no"),"error - enter current locality population above","")</f>
        <v/>
      </c>
      <c r="S18" s="158"/>
    </row>
    <row r="19" spans="2:24" x14ac:dyDescent="0.35">
      <c r="B19" s="159"/>
      <c r="C19" t="s">
        <v>666</v>
      </c>
      <c r="D19" s="151"/>
      <c r="E19" s="575">
        <v>9.6418074639288403E-3</v>
      </c>
      <c r="F19" t="str">
        <f>IF(E19=0.00964180746392884,"Enter local value or delete the NICE assumption if required","Local value")</f>
        <v>Enter local value or delete the NICE assumption if required</v>
      </c>
      <c r="S19" s="158"/>
    </row>
    <row r="20" spans="2:24" x14ac:dyDescent="0.35">
      <c r="B20" s="159"/>
      <c r="C20" t="s">
        <v>667</v>
      </c>
      <c r="D20" s="151"/>
      <c r="E20" s="575">
        <v>0</v>
      </c>
      <c r="F20" t="str">
        <f>IF(E20=0,"Enter local value or delete the NICE assumption if required","Local value")</f>
        <v>Enter local value or delete the NICE assumption if required</v>
      </c>
      <c r="S20" s="158"/>
    </row>
    <row r="21" spans="2:24" x14ac:dyDescent="0.35">
      <c r="B21" s="160"/>
      <c r="C21" s="161"/>
      <c r="D21" s="161"/>
      <c r="E21" s="161"/>
      <c r="F21" s="161"/>
      <c r="G21" s="161"/>
      <c r="H21" s="161"/>
      <c r="I21" s="161"/>
      <c r="J21" s="161"/>
      <c r="K21" s="161"/>
      <c r="L21" s="161"/>
      <c r="M21" s="161"/>
      <c r="N21" s="161"/>
      <c r="O21" s="161"/>
      <c r="P21" s="161"/>
      <c r="Q21" s="161"/>
      <c r="R21" s="161"/>
      <c r="S21" s="162"/>
    </row>
    <row r="23" spans="2:24" x14ac:dyDescent="0.35">
      <c r="B23" s="155" t="s">
        <v>668</v>
      </c>
      <c r="C23" s="309"/>
      <c r="D23" s="309"/>
      <c r="E23" s="309"/>
      <c r="F23" s="309"/>
      <c r="G23" s="309"/>
      <c r="H23" s="309"/>
      <c r="I23" s="309"/>
      <c r="J23" s="309"/>
      <c r="K23" s="309"/>
      <c r="L23" s="309"/>
      <c r="M23" s="309"/>
      <c r="N23" s="309"/>
      <c r="O23" s="309"/>
      <c r="P23" s="309"/>
      <c r="Q23" s="309"/>
      <c r="R23" s="309"/>
      <c r="S23" s="309"/>
      <c r="T23" s="309"/>
      <c r="U23" s="309"/>
      <c r="V23" s="309"/>
      <c r="W23" s="309"/>
      <c r="X23" s="156"/>
    </row>
    <row r="24" spans="2:24" ht="85.25" customHeight="1" x14ac:dyDescent="0.35">
      <c r="B24" s="157"/>
      <c r="F24" s="236" t="s">
        <v>669</v>
      </c>
      <c r="G24" s="164" t="s">
        <v>670</v>
      </c>
      <c r="H24" s="224" t="s">
        <v>671</v>
      </c>
      <c r="I24" s="373"/>
      <c r="J24" s="373"/>
      <c r="K24" s="373"/>
      <c r="L24" s="373"/>
      <c r="M24" s="373"/>
      <c r="N24" s="373"/>
      <c r="O24" s="373"/>
      <c r="P24" s="373"/>
      <c r="Q24" s="373"/>
      <c r="R24" s="373"/>
      <c r="S24" s="373"/>
      <c r="T24" s="373"/>
      <c r="U24" s="373"/>
      <c r="V24" s="373"/>
      <c r="W24" s="373"/>
      <c r="X24" s="225"/>
    </row>
    <row r="25" spans="2:24" x14ac:dyDescent="0.35">
      <c r="B25" s="157"/>
      <c r="C25" s="235" t="s">
        <v>672</v>
      </c>
      <c r="D25" s="238"/>
      <c r="E25" s="167"/>
      <c r="F25" s="128">
        <f>IF(ISBLANK(E17),G14,'Population selection'!F16)</f>
        <v>46148904.437507473</v>
      </c>
      <c r="G25" s="237"/>
      <c r="H25" s="234" t="s">
        <v>673</v>
      </c>
      <c r="I25" s="196"/>
      <c r="J25" s="196"/>
      <c r="K25" s="196"/>
      <c r="L25" s="196"/>
      <c r="M25" s="196"/>
      <c r="N25" s="196"/>
      <c r="O25" s="196"/>
      <c r="P25" s="196"/>
      <c r="Q25" s="196"/>
      <c r="R25" s="196"/>
      <c r="S25" s="196"/>
      <c r="T25" s="196"/>
      <c r="U25" s="196"/>
      <c r="V25" s="196"/>
      <c r="W25" s="196"/>
      <c r="X25" s="167"/>
    </row>
    <row r="26" spans="2:24" x14ac:dyDescent="0.35">
      <c r="B26" s="157"/>
      <c r="C26" s="569" t="s">
        <v>674</v>
      </c>
      <c r="D26" s="239"/>
      <c r="E26" s="167"/>
      <c r="F26" s="207"/>
      <c r="G26" s="128">
        <f>K48</f>
        <v>48417016.421111427</v>
      </c>
      <c r="H26" s="234" t="s">
        <v>673</v>
      </c>
      <c r="I26" s="161"/>
      <c r="J26" s="161"/>
      <c r="K26" s="161"/>
      <c r="L26" s="161"/>
      <c r="M26" s="161"/>
      <c r="N26" s="161"/>
      <c r="O26" s="161"/>
      <c r="P26" s="161"/>
      <c r="Q26" s="161"/>
      <c r="R26" s="161"/>
      <c r="S26" s="161"/>
      <c r="T26" s="161"/>
      <c r="U26" s="161"/>
      <c r="V26" s="161"/>
      <c r="W26" s="161"/>
      <c r="X26" s="162"/>
    </row>
    <row r="27" spans="2:24" x14ac:dyDescent="0.35">
      <c r="B27" s="159"/>
      <c r="C27" s="166" t="s">
        <v>895</v>
      </c>
      <c r="D27" s="167"/>
      <c r="E27" s="805">
        <v>8.7632563408717638E-4</v>
      </c>
      <c r="F27" s="578">
        <f>F25*E27</f>
        <v>40441.467943627242</v>
      </c>
      <c r="G27" s="578">
        <f>G26*E27</f>
        <v>42429.072615839701</v>
      </c>
      <c r="H27" t="s">
        <v>898</v>
      </c>
      <c r="I27" s="196"/>
      <c r="J27" s="196"/>
      <c r="K27" s="196"/>
      <c r="L27" s="196"/>
      <c r="M27" s="196"/>
      <c r="N27" s="196"/>
      <c r="O27" s="196"/>
      <c r="P27" s="196"/>
      <c r="Q27" s="196"/>
      <c r="R27" s="196"/>
      <c r="S27" s="196"/>
      <c r="T27" s="196"/>
      <c r="U27" s="196"/>
      <c r="V27" s="196"/>
      <c r="W27" s="196"/>
      <c r="X27" s="167"/>
    </row>
    <row r="28" spans="2:24" ht="14.5" customHeight="1" x14ac:dyDescent="0.35">
      <c r="B28" s="159"/>
      <c r="C28" s="234" t="s">
        <v>896</v>
      </c>
      <c r="D28" s="167"/>
      <c r="E28" s="664">
        <f>91.6%</f>
        <v>0.91599999999999993</v>
      </c>
      <c r="F28" s="578">
        <f>F27*E28</f>
        <v>37044.384636362549</v>
      </c>
      <c r="G28" s="578">
        <f>G27*E28</f>
        <v>38865.03051610916</v>
      </c>
      <c r="H28" s="849" t="s">
        <v>1101</v>
      </c>
      <c r="I28" s="850"/>
      <c r="J28" s="850"/>
      <c r="K28" s="850"/>
      <c r="L28" s="850"/>
      <c r="M28" s="840"/>
      <c r="N28" s="239"/>
      <c r="O28" s="239"/>
      <c r="P28" s="239"/>
      <c r="Q28" s="239"/>
      <c r="R28" s="239"/>
      <c r="S28" s="239"/>
      <c r="T28" s="239"/>
      <c r="U28" s="239"/>
      <c r="V28" s="239"/>
      <c r="W28" s="239"/>
      <c r="X28" s="800"/>
    </row>
    <row r="29" spans="2:24" ht="14.5" customHeight="1" x14ac:dyDescent="0.35">
      <c r="B29" s="159"/>
      <c r="C29" s="234" t="s">
        <v>1102</v>
      </c>
      <c r="D29" s="167"/>
      <c r="E29" s="664">
        <v>0.18</v>
      </c>
      <c r="F29" s="578">
        <f>F28*E29</f>
        <v>6667.9892345452581</v>
      </c>
      <c r="G29" s="578">
        <f>G28*E29</f>
        <v>6995.7054928996486</v>
      </c>
      <c r="H29" s="331" t="s">
        <v>1101</v>
      </c>
      <c r="I29" s="839"/>
      <c r="J29" s="839"/>
      <c r="K29" s="839"/>
      <c r="L29" s="839"/>
      <c r="M29" s="853" t="s">
        <v>1035</v>
      </c>
      <c r="N29" s="853"/>
      <c r="O29" s="239"/>
      <c r="P29" s="239"/>
      <c r="Q29" s="239"/>
      <c r="R29" s="239"/>
      <c r="S29" s="239"/>
      <c r="T29" s="239"/>
      <c r="U29" s="239"/>
      <c r="V29" s="239"/>
      <c r="W29" s="239"/>
      <c r="X29" s="800"/>
    </row>
    <row r="30" spans="2:24" ht="28.75" customHeight="1" x14ac:dyDescent="0.35">
      <c r="B30" s="159"/>
      <c r="C30" s="854" t="s">
        <v>1103</v>
      </c>
      <c r="D30" s="855"/>
      <c r="E30" s="664">
        <v>0.55000000000000004</v>
      </c>
      <c r="F30" s="578">
        <f>F29*E30</f>
        <v>3667.3940789998924</v>
      </c>
      <c r="G30" s="578">
        <f>G29*E30</f>
        <v>3847.6380210948068</v>
      </c>
      <c r="H30" s="331" t="s">
        <v>1101</v>
      </c>
      <c r="I30" s="839"/>
      <c r="J30" s="839"/>
      <c r="K30" s="839"/>
      <c r="L30" s="839"/>
      <c r="M30" s="853" t="s">
        <v>1105</v>
      </c>
      <c r="N30" s="853"/>
      <c r="O30" s="853"/>
      <c r="P30" s="853"/>
      <c r="Q30" s="853"/>
      <c r="R30" s="853"/>
      <c r="S30" s="853"/>
      <c r="T30" s="853"/>
      <c r="U30" s="853"/>
      <c r="V30" s="853"/>
      <c r="W30" s="853"/>
      <c r="X30" s="855"/>
    </row>
    <row r="31" spans="2:24" x14ac:dyDescent="0.35">
      <c r="B31" s="159"/>
      <c r="C31" s="667" t="s">
        <v>1104</v>
      </c>
      <c r="D31" s="156"/>
      <c r="E31" s="321"/>
      <c r="F31" s="665">
        <f>F29-F30</f>
        <v>3000.5951555453657</v>
      </c>
      <c r="G31" s="665">
        <f>G29-G30</f>
        <v>3148.0674718048417</v>
      </c>
      <c r="H31" s="199"/>
      <c r="I31" s="196"/>
      <c r="J31" s="196"/>
      <c r="K31" s="196"/>
      <c r="L31" s="196"/>
      <c r="M31" s="196"/>
      <c r="N31" s="196"/>
      <c r="O31" s="196"/>
      <c r="P31" s="196"/>
      <c r="Q31" s="196"/>
      <c r="R31" s="196"/>
      <c r="S31" s="196"/>
      <c r="T31" s="196"/>
      <c r="U31" s="196"/>
      <c r="V31" s="196"/>
      <c r="W31" s="196"/>
      <c r="X31" s="167"/>
    </row>
    <row r="32" spans="2:24" x14ac:dyDescent="0.35">
      <c r="B32" s="159"/>
      <c r="C32" s="234" t="s">
        <v>897</v>
      </c>
      <c r="D32" s="156"/>
      <c r="E32" s="663">
        <v>0.75</v>
      </c>
      <c r="F32" s="666">
        <f>F31*E32</f>
        <v>2250.4463666590245</v>
      </c>
      <c r="G32" s="666">
        <f>G31*E32</f>
        <v>2361.0506038536314</v>
      </c>
      <c r="H32" s="234" t="s">
        <v>1080</v>
      </c>
      <c r="I32" s="196"/>
      <c r="J32" s="196"/>
      <c r="K32" s="196"/>
      <c r="L32" s="196"/>
      <c r="M32" s="196"/>
      <c r="N32" s="196"/>
      <c r="O32" s="196"/>
      <c r="P32" s="196"/>
      <c r="Q32" s="196"/>
      <c r="R32" s="196"/>
      <c r="S32" s="196"/>
      <c r="T32" s="196"/>
      <c r="U32" s="196"/>
      <c r="V32" s="196"/>
      <c r="W32" s="196"/>
      <c r="X32" s="167"/>
    </row>
    <row r="33" spans="2:24" x14ac:dyDescent="0.35">
      <c r="B33" s="159"/>
      <c r="C33" s="667" t="s">
        <v>1041</v>
      </c>
      <c r="D33" s="167"/>
      <c r="E33" s="810"/>
      <c r="F33" s="665">
        <f>F32</f>
        <v>2250.4463666590245</v>
      </c>
      <c r="G33" s="665">
        <f>G32</f>
        <v>2361.0506038536314</v>
      </c>
      <c r="H33" s="199"/>
      <c r="I33" s="196"/>
      <c r="J33" s="196"/>
      <c r="K33" s="196"/>
      <c r="L33" s="196"/>
      <c r="M33" s="196"/>
      <c r="N33" s="196"/>
      <c r="O33" s="196"/>
      <c r="P33" s="196"/>
      <c r="Q33" s="196"/>
      <c r="R33" s="196"/>
      <c r="S33" s="196"/>
      <c r="T33" s="196"/>
      <c r="U33" s="196"/>
      <c r="V33" s="196"/>
      <c r="W33" s="196"/>
      <c r="X33" s="167"/>
    </row>
    <row r="34" spans="2:24" x14ac:dyDescent="0.35">
      <c r="B34" s="159"/>
      <c r="C34" s="824" t="s">
        <v>1071</v>
      </c>
      <c r="E34" s="506"/>
      <c r="F34" s="823"/>
      <c r="G34" s="823"/>
      <c r="H34" s="189"/>
      <c r="X34" s="156"/>
    </row>
    <row r="35" spans="2:24" x14ac:dyDescent="0.35">
      <c r="B35" s="159"/>
      <c r="C35" t="s">
        <v>1072</v>
      </c>
      <c r="E35" s="506"/>
      <c r="F35" s="823"/>
      <c r="G35" s="823"/>
      <c r="H35" s="189"/>
      <c r="X35" s="158"/>
    </row>
    <row r="36" spans="2:24" x14ac:dyDescent="0.35">
      <c r="B36" s="159"/>
      <c r="C36" t="s">
        <v>1073</v>
      </c>
      <c r="E36" s="506"/>
      <c r="F36" s="823"/>
      <c r="G36" s="823"/>
      <c r="H36" s="189"/>
      <c r="X36" s="158"/>
    </row>
    <row r="37" spans="2:24" x14ac:dyDescent="0.35">
      <c r="B37" s="159"/>
      <c r="C37" t="s">
        <v>1074</v>
      </c>
      <c r="E37" s="506"/>
      <c r="F37" s="823"/>
      <c r="G37" s="823"/>
      <c r="H37" s="189"/>
      <c r="X37" s="158"/>
    </row>
    <row r="38" spans="2:24" x14ac:dyDescent="0.35">
      <c r="B38" s="159"/>
      <c r="C38" s="331" t="s">
        <v>1081</v>
      </c>
      <c r="E38" s="506"/>
      <c r="F38" s="823"/>
      <c r="G38" s="823"/>
      <c r="H38" s="189"/>
      <c r="X38" s="158"/>
    </row>
    <row r="39" spans="2:24" x14ac:dyDescent="0.35">
      <c r="B39" s="159"/>
      <c r="C39" s="334"/>
      <c r="E39" s="335"/>
      <c r="F39" s="336"/>
      <c r="G39" s="336"/>
      <c r="H39" s="189"/>
      <c r="N39" s="836"/>
      <c r="X39" s="158"/>
    </row>
    <row r="40" spans="2:24" x14ac:dyDescent="0.35">
      <c r="B40" s="159"/>
      <c r="C40" t="s">
        <v>675</v>
      </c>
      <c r="F40" s="576" t="s">
        <v>54</v>
      </c>
      <c r="G40" s="336"/>
      <c r="H40" s="189"/>
      <c r="N40" s="490"/>
      <c r="X40" s="158"/>
    </row>
    <row r="41" spans="2:24" x14ac:dyDescent="0.35">
      <c r="B41" s="159"/>
      <c r="C41" s="334"/>
      <c r="E41" s="335"/>
      <c r="F41" s="336"/>
      <c r="G41" s="336"/>
      <c r="H41" s="189"/>
      <c r="N41" s="490"/>
      <c r="X41" s="158"/>
    </row>
    <row r="42" spans="2:24" x14ac:dyDescent="0.35">
      <c r="B42" s="159"/>
      <c r="C42" t="str">
        <f>"Manually entered current eligible population "&amp;IF(F40="no","","(n/a)")</f>
        <v>Manually entered current eligible population (n/a)</v>
      </c>
      <c r="E42" t="s">
        <v>899</v>
      </c>
      <c r="F42" s="579"/>
      <c r="G42" s="640" t="str">
        <f>IF(F40="yes","Leave blue cell on left blank if NICE estimate is used","local value")</f>
        <v>Leave blue cell on left blank if NICE estimate is used</v>
      </c>
      <c r="X42" s="158"/>
    </row>
    <row r="43" spans="2:24" x14ac:dyDescent="0.35">
      <c r="B43" s="159"/>
      <c r="E43" t="s">
        <v>900</v>
      </c>
      <c r="F43" s="579"/>
      <c r="G43" s="640" t="str">
        <f>IF(F40="yes","Leave blue cell on left blank if NICE estimate is used","local value")</f>
        <v>Leave blue cell on left blank if NICE estimate is used</v>
      </c>
      <c r="X43" s="158"/>
    </row>
    <row r="44" spans="2:24" x14ac:dyDescent="0.35">
      <c r="B44" s="159"/>
      <c r="G44" s="514"/>
      <c r="X44" s="158"/>
    </row>
    <row r="45" spans="2:24" ht="43.5" x14ac:dyDescent="0.35">
      <c r="B45" s="159"/>
      <c r="C45" s="161"/>
      <c r="F45" s="232" t="s">
        <v>669</v>
      </c>
      <c r="G45" s="164" t="s">
        <v>676</v>
      </c>
      <c r="H45" s="164" t="s">
        <v>677</v>
      </c>
      <c r="I45" s="233" t="s">
        <v>678</v>
      </c>
      <c r="J45" s="164" t="s">
        <v>679</v>
      </c>
      <c r="K45" s="164" t="s">
        <v>680</v>
      </c>
      <c r="L45" s="515"/>
      <c r="M45" s="515"/>
      <c r="N45" s="515"/>
      <c r="O45" s="515"/>
      <c r="P45" s="515"/>
      <c r="Q45" s="701"/>
      <c r="X45" s="158"/>
    </row>
    <row r="46" spans="2:24" x14ac:dyDescent="0.35">
      <c r="B46" s="159"/>
      <c r="C46" s="234" t="s">
        <v>681</v>
      </c>
      <c r="D46" s="196"/>
      <c r="E46" s="167"/>
      <c r="F46" s="207"/>
      <c r="G46" s="328">
        <f>IF(E19&lt;&gt;"",E19+100%,100%)</f>
        <v>1.0096418074639288</v>
      </c>
      <c r="H46" s="328">
        <f>IF($E$19&lt;&gt;"",G46*(100%+$E$19),100%)</f>
        <v>1.0193765793790293</v>
      </c>
      <c r="I46" s="328">
        <f>IF($E$19&lt;&gt;"",H46*(100%+$E$19),100%)</f>
        <v>1.0292052120906403</v>
      </c>
      <c r="J46" s="328">
        <f>IF($E$19&lt;&gt;"",I46*(100%+$E$19),100%)</f>
        <v>1.0391286105864903</v>
      </c>
      <c r="K46" s="328">
        <f>IF($E$19&lt;&gt;"",J46*(100%+$E$19),100%)</f>
        <v>1.0491476885800251</v>
      </c>
      <c r="L46" t="s">
        <v>682</v>
      </c>
      <c r="M46" s="506"/>
      <c r="N46" s="506"/>
      <c r="O46" s="506"/>
      <c r="P46" s="506"/>
      <c r="Q46" s="506"/>
      <c r="X46" s="158"/>
    </row>
    <row r="47" spans="2:24" x14ac:dyDescent="0.35">
      <c r="B47" s="159"/>
      <c r="C47" s="234" t="s">
        <v>683</v>
      </c>
      <c r="D47" s="196"/>
      <c r="E47" s="167"/>
      <c r="F47" s="207"/>
      <c r="G47" s="328">
        <f>IF(E20&lt;&gt;"",E20+100%,100%)</f>
        <v>1</v>
      </c>
      <c r="H47" s="328">
        <f>IF($E$20&lt;&gt;"",G47*(100%+$E$20),100%)</f>
        <v>1</v>
      </c>
      <c r="I47" s="328">
        <f>IF($E$20&lt;&gt;"",H47*(100%+$E$20),100%)</f>
        <v>1</v>
      </c>
      <c r="J47" s="328">
        <f>IF($E$20&lt;&gt;"",I47*(100%+$E$20),100%)</f>
        <v>1</v>
      </c>
      <c r="K47" s="328">
        <f>IF($E$20&lt;&gt;"",J47*(100%+$E$20),100%)</f>
        <v>1</v>
      </c>
      <c r="L47" t="s">
        <v>682</v>
      </c>
      <c r="M47" s="506"/>
      <c r="N47" s="506"/>
      <c r="O47" s="506"/>
      <c r="P47" s="506"/>
      <c r="Q47" s="702"/>
      <c r="X47" s="158"/>
    </row>
    <row r="48" spans="2:24" x14ac:dyDescent="0.35">
      <c r="B48" s="159"/>
      <c r="C48" s="371" t="str">
        <f>IF('Inputs and eligible population'!E17=0,"Baseline population (inflated by growth(s))","Manually entered locality population (inflated by growth(s))")</f>
        <v>Baseline population (inflated by growth(s))</v>
      </c>
      <c r="D48" s="196"/>
      <c r="E48" s="167"/>
      <c r="F48" s="128">
        <f>IF(ISBLANK(E17),G14,'Population selection'!F16)</f>
        <v>46148904.437507473</v>
      </c>
      <c r="G48" s="128">
        <f>F48*G46</f>
        <v>46593863.28876517</v>
      </c>
      <c r="H48" s="128">
        <f>F48*H46</f>
        <v>47043112.347596072</v>
      </c>
      <c r="I48" s="128">
        <f>F48*I46</f>
        <v>47496692.979355574</v>
      </c>
      <c r="J48" s="128">
        <f>F48*J46</f>
        <v>47954646.948235855</v>
      </c>
      <c r="K48" s="128">
        <f>F48*K46</f>
        <v>48417016.421111427</v>
      </c>
      <c r="M48" s="282"/>
      <c r="N48" s="282"/>
      <c r="O48" s="282"/>
      <c r="P48" s="282"/>
      <c r="Q48" s="282"/>
      <c r="X48" s="158"/>
    </row>
    <row r="49" spans="2:24" x14ac:dyDescent="0.35">
      <c r="B49" s="159"/>
      <c r="C49" s="223" t="str">
        <f>IF(ISBLANK(F42),"Eligible population, NICE estimate","Eligible population, local estimate")</f>
        <v>Eligible population, NICE estimate</v>
      </c>
      <c r="D49" s="196"/>
      <c r="E49" s="167" t="s">
        <v>899</v>
      </c>
      <c r="F49" s="180">
        <f>IF(ISBLANK(F42),F33,F42)</f>
        <v>2250.4463666590245</v>
      </c>
      <c r="G49" s="180">
        <f>$F$49*G46*G47</f>
        <v>2272.1447372342491</v>
      </c>
      <c r="H49" s="180">
        <f t="shared" ref="H49:K49" si="0">$F$49*H46*H47</f>
        <v>2294.052319320841</v>
      </c>
      <c r="I49" s="180">
        <f t="shared" si="0"/>
        <v>2316.1711300959123</v>
      </c>
      <c r="J49" s="180">
        <f t="shared" si="0"/>
        <v>2338.5032061858074</v>
      </c>
      <c r="K49" s="180">
        <f t="shared" si="0"/>
        <v>2361.0506038536309</v>
      </c>
      <c r="M49" s="282"/>
      <c r="N49" s="282"/>
      <c r="O49" s="282"/>
      <c r="P49" s="282"/>
      <c r="Q49" s="282"/>
      <c r="X49" s="158"/>
    </row>
    <row r="50" spans="2:24" x14ac:dyDescent="0.35">
      <c r="B50" s="160"/>
      <c r="C50" s="161"/>
      <c r="D50" s="161"/>
      <c r="E50" s="161"/>
      <c r="F50" s="161"/>
      <c r="G50" s="161"/>
      <c r="H50" s="161"/>
      <c r="I50" s="161"/>
      <c r="J50" s="161"/>
      <c r="K50" s="161"/>
      <c r="L50" s="161"/>
      <c r="M50" s="161"/>
      <c r="N50" s="161"/>
      <c r="O50" s="161"/>
      <c r="P50" s="161"/>
      <c r="Q50" s="161"/>
      <c r="R50" s="161"/>
      <c r="S50" s="161"/>
      <c r="T50" s="161"/>
      <c r="U50" s="161"/>
      <c r="V50" s="161"/>
      <c r="W50" s="161"/>
      <c r="X50" s="162"/>
    </row>
    <row r="53" spans="2:24" x14ac:dyDescent="0.35">
      <c r="B53" s="155" t="s">
        <v>684</v>
      </c>
      <c r="C53" s="309"/>
      <c r="D53" s="309"/>
      <c r="E53" s="309"/>
      <c r="F53" s="309"/>
      <c r="G53" s="309"/>
      <c r="H53" s="309"/>
      <c r="I53" s="309"/>
      <c r="J53" s="309"/>
      <c r="K53" s="309"/>
      <c r="L53" s="309"/>
      <c r="M53" s="309"/>
      <c r="N53" s="309"/>
      <c r="O53" s="309"/>
      <c r="P53" s="309"/>
      <c r="Q53" s="309"/>
      <c r="R53" s="309"/>
      <c r="S53" s="156"/>
    </row>
    <row r="54" spans="2:24" ht="58" x14ac:dyDescent="0.35">
      <c r="B54" s="159"/>
      <c r="D54" s="210" t="s">
        <v>685</v>
      </c>
      <c r="E54" s="210" t="s">
        <v>686</v>
      </c>
      <c r="F54" s="164" t="s">
        <v>1062</v>
      </c>
      <c r="G54" s="210" t="s">
        <v>687</v>
      </c>
      <c r="H54" s="210" t="s">
        <v>688</v>
      </c>
      <c r="I54" s="210" t="s">
        <v>689</v>
      </c>
      <c r="J54" s="210" t="s">
        <v>690</v>
      </c>
      <c r="K54" s="210" t="s">
        <v>691</v>
      </c>
      <c r="L54" s="509"/>
      <c r="M54" s="509"/>
      <c r="N54" s="509"/>
      <c r="O54" s="509"/>
      <c r="P54" s="509"/>
      <c r="Q54" s="509"/>
      <c r="S54" s="158"/>
    </row>
    <row r="55" spans="2:24" x14ac:dyDescent="0.35">
      <c r="B55" s="159"/>
      <c r="C55" s="323" t="s">
        <v>1099</v>
      </c>
      <c r="D55" s="580">
        <v>21</v>
      </c>
      <c r="E55" s="581">
        <v>1</v>
      </c>
      <c r="F55" s="614">
        <v>3.6</v>
      </c>
      <c r="G55" s="586"/>
      <c r="H55" s="586"/>
      <c r="I55" s="586"/>
      <c r="J55" s="586"/>
      <c r="K55" s="322">
        <f t="shared" ref="K55:K60" si="1">SUM(F55:J55)</f>
        <v>3.6</v>
      </c>
      <c r="S55" s="158"/>
    </row>
    <row r="56" spans="2:24" ht="30" customHeight="1" x14ac:dyDescent="0.35">
      <c r="B56" s="159"/>
      <c r="C56" s="323" t="s">
        <v>1084</v>
      </c>
      <c r="D56" s="583">
        <v>21</v>
      </c>
      <c r="E56" s="584">
        <v>1</v>
      </c>
      <c r="F56" s="615">
        <f>10.5*50%</f>
        <v>5.25</v>
      </c>
      <c r="G56" s="586">
        <f>10.5*50%</f>
        <v>5.25</v>
      </c>
      <c r="H56" s="586"/>
      <c r="I56" s="586"/>
      <c r="J56" s="586"/>
      <c r="K56" s="322">
        <f t="shared" si="1"/>
        <v>10.5</v>
      </c>
      <c r="L56" s="847" t="s">
        <v>1042</v>
      </c>
      <c r="M56" s="848"/>
      <c r="N56" s="848"/>
      <c r="O56" s="848"/>
      <c r="P56" s="848"/>
      <c r="Q56" s="848"/>
      <c r="R56" s="848"/>
      <c r="S56" s="158"/>
    </row>
    <row r="57" spans="2:24" ht="18.649999999999999" customHeight="1" x14ac:dyDescent="0.35">
      <c r="B57" s="159"/>
      <c r="C57" s="323" t="s">
        <v>1085</v>
      </c>
      <c r="D57" s="583">
        <v>42</v>
      </c>
      <c r="E57" s="584">
        <v>1</v>
      </c>
      <c r="F57" s="615">
        <v>2.625</v>
      </c>
      <c r="G57" s="586">
        <v>2.625</v>
      </c>
      <c r="H57" s="586"/>
      <c r="I57" s="586"/>
      <c r="J57" s="586"/>
      <c r="K57" s="322">
        <f t="shared" si="1"/>
        <v>5.25</v>
      </c>
      <c r="L57" s="828"/>
      <c r="M57" s="828"/>
      <c r="N57" s="828"/>
      <c r="O57" s="828"/>
      <c r="P57" s="828"/>
      <c r="Q57" s="828"/>
      <c r="R57" s="828"/>
      <c r="S57" s="158"/>
    </row>
    <row r="58" spans="2:24" x14ac:dyDescent="0.35">
      <c r="B58" s="159"/>
      <c r="C58" s="323" t="s">
        <v>930</v>
      </c>
      <c r="D58" s="583">
        <v>21</v>
      </c>
      <c r="E58" s="584">
        <v>1</v>
      </c>
      <c r="F58" s="615">
        <v>2.8</v>
      </c>
      <c r="G58" s="586"/>
      <c r="H58" s="586"/>
      <c r="I58" s="586"/>
      <c r="J58" s="586"/>
      <c r="K58" s="322">
        <f t="shared" si="1"/>
        <v>2.8</v>
      </c>
      <c r="L58" s="507"/>
      <c r="M58" s="507"/>
      <c r="N58" s="507"/>
      <c r="O58" s="507"/>
      <c r="P58" s="507"/>
      <c r="Q58" s="507"/>
      <c r="S58" s="158"/>
    </row>
    <row r="59" spans="2:24" x14ac:dyDescent="0.35">
      <c r="B59" s="159"/>
      <c r="C59" s="323" t="s">
        <v>937</v>
      </c>
      <c r="D59" s="583">
        <v>21</v>
      </c>
      <c r="E59" s="704" t="s">
        <v>943</v>
      </c>
      <c r="F59" s="615">
        <v>3.6</v>
      </c>
      <c r="G59" s="586"/>
      <c r="H59" s="586"/>
      <c r="I59" s="586"/>
      <c r="J59" s="586"/>
      <c r="K59" s="322">
        <f t="shared" si="1"/>
        <v>3.6</v>
      </c>
      <c r="L59" s="507"/>
      <c r="M59" s="830"/>
      <c r="N59" s="507"/>
      <c r="O59" s="507"/>
      <c r="P59" s="507"/>
      <c r="Q59" s="507"/>
      <c r="S59" s="158"/>
    </row>
    <row r="60" spans="2:24" x14ac:dyDescent="0.35">
      <c r="B60" s="159"/>
      <c r="C60" s="323" t="s">
        <v>938</v>
      </c>
      <c r="D60" s="583">
        <v>21</v>
      </c>
      <c r="E60" s="704" t="s">
        <v>943</v>
      </c>
      <c r="F60" s="615">
        <v>4</v>
      </c>
      <c r="G60" s="586"/>
      <c r="H60" s="586"/>
      <c r="I60" s="586"/>
      <c r="J60" s="586"/>
      <c r="K60" s="322">
        <f t="shared" si="1"/>
        <v>4</v>
      </c>
      <c r="S60" s="158"/>
    </row>
    <row r="61" spans="2:24" x14ac:dyDescent="0.35">
      <c r="B61" s="159"/>
      <c r="D61" s="151"/>
      <c r="E61" s="151"/>
      <c r="F61" s="151"/>
      <c r="G61" s="151"/>
      <c r="S61" s="158"/>
    </row>
    <row r="62" spans="2:24" ht="32.15" customHeight="1" x14ac:dyDescent="0.35">
      <c r="B62" s="159"/>
      <c r="C62" s="207" t="s">
        <v>692</v>
      </c>
      <c r="D62" s="212" t="s">
        <v>693</v>
      </c>
      <c r="E62" s="208"/>
      <c r="F62" s="208"/>
      <c r="G62" s="208"/>
      <c r="H62" s="209"/>
      <c r="I62" s="210" t="s">
        <v>694</v>
      </c>
      <c r="J62" s="164" t="s">
        <v>695</v>
      </c>
      <c r="K62" s="210" t="s">
        <v>696</v>
      </c>
      <c r="S62" s="158"/>
    </row>
    <row r="63" spans="2:24" x14ac:dyDescent="0.35">
      <c r="B63" s="159"/>
      <c r="C63" s="323" t="s">
        <v>1068</v>
      </c>
      <c r="D63" s="199" t="s">
        <v>1043</v>
      </c>
      <c r="E63" s="200"/>
      <c r="F63" s="200"/>
      <c r="G63" s="200"/>
      <c r="H63" s="196"/>
      <c r="I63" s="597"/>
      <c r="J63" s="585">
        <v>0.2</v>
      </c>
      <c r="K63" s="329"/>
      <c r="S63" s="158"/>
    </row>
    <row r="64" spans="2:24" x14ac:dyDescent="0.35">
      <c r="B64" s="159"/>
      <c r="C64" s="323" t="s">
        <v>922</v>
      </c>
      <c r="D64" s="199" t="s">
        <v>1044</v>
      </c>
      <c r="E64" s="200"/>
      <c r="F64" s="200"/>
      <c r="G64" s="200"/>
      <c r="H64" s="196"/>
      <c r="I64" s="597"/>
      <c r="J64" s="585">
        <v>0.2</v>
      </c>
      <c r="K64" s="329"/>
      <c r="L64" s="508"/>
      <c r="M64" s="508"/>
      <c r="N64" s="508"/>
      <c r="O64" s="508"/>
      <c r="P64" s="508"/>
      <c r="Q64" s="508"/>
      <c r="S64" s="158"/>
    </row>
    <row r="65" spans="2:19" x14ac:dyDescent="0.35">
      <c r="B65" s="159"/>
      <c r="C65" s="159" t="s">
        <v>902</v>
      </c>
      <c r="D65" s="234" t="s">
        <v>1045</v>
      </c>
      <c r="E65" s="196"/>
      <c r="F65" s="200"/>
      <c r="G65" s="200"/>
      <c r="H65" s="196"/>
      <c r="I65" s="710">
        <v>48.09</v>
      </c>
      <c r="J65" s="585">
        <v>0.2</v>
      </c>
      <c r="K65" s="329" t="s">
        <v>944</v>
      </c>
      <c r="L65" s="508"/>
      <c r="M65" s="508"/>
      <c r="N65" s="508"/>
      <c r="O65" s="508"/>
      <c r="P65" s="508"/>
      <c r="Q65" s="508"/>
      <c r="S65" s="158"/>
    </row>
    <row r="66" spans="2:19" x14ac:dyDescent="0.35">
      <c r="B66" s="159"/>
      <c r="C66" s="234" t="s">
        <v>902</v>
      </c>
      <c r="D66" s="234" t="s">
        <v>1046</v>
      </c>
      <c r="E66" s="196"/>
      <c r="F66" s="200"/>
      <c r="G66" s="200"/>
      <c r="H66" s="196"/>
      <c r="I66" s="710">
        <v>71.44</v>
      </c>
      <c r="J66" s="585">
        <v>0.2</v>
      </c>
      <c r="K66" s="329" t="s">
        <v>944</v>
      </c>
      <c r="L66" s="508"/>
      <c r="M66" s="508"/>
      <c r="N66" s="508"/>
      <c r="O66" s="508"/>
      <c r="P66" s="508"/>
      <c r="Q66" s="508"/>
      <c r="S66" s="158"/>
    </row>
    <row r="67" spans="2:19" x14ac:dyDescent="0.35">
      <c r="B67" s="159"/>
      <c r="C67" s="234" t="s">
        <v>904</v>
      </c>
      <c r="D67" s="234" t="s">
        <v>1047</v>
      </c>
      <c r="E67" s="196"/>
      <c r="F67" s="200"/>
      <c r="G67" s="200"/>
      <c r="H67" s="196"/>
      <c r="I67" s="710">
        <v>29.27</v>
      </c>
      <c r="J67" s="585">
        <v>0.2</v>
      </c>
      <c r="K67" s="329" t="s">
        <v>944</v>
      </c>
      <c r="L67" s="508"/>
      <c r="M67" s="508"/>
      <c r="N67" s="508"/>
      <c r="O67" s="508"/>
      <c r="P67" s="508"/>
      <c r="Q67" s="508"/>
      <c r="S67" s="158"/>
    </row>
    <row r="68" spans="2:19" x14ac:dyDescent="0.35">
      <c r="B68" s="159"/>
      <c r="C68" s="234" t="s">
        <v>904</v>
      </c>
      <c r="D68" s="234" t="s">
        <v>1048</v>
      </c>
      <c r="E68" s="196"/>
      <c r="F68" s="200"/>
      <c r="G68" s="200"/>
      <c r="H68" s="196"/>
      <c r="I68" s="710">
        <v>3.23</v>
      </c>
      <c r="J68" s="585">
        <v>0.2</v>
      </c>
      <c r="K68" s="329" t="s">
        <v>944</v>
      </c>
      <c r="L68" s="508"/>
      <c r="M68" s="508"/>
      <c r="N68" s="508"/>
      <c r="O68" s="508"/>
      <c r="P68" s="508"/>
      <c r="Q68" s="508"/>
      <c r="S68" s="158"/>
    </row>
    <row r="69" spans="2:19" x14ac:dyDescent="0.35">
      <c r="B69" s="159"/>
      <c r="C69" s="234" t="s">
        <v>905</v>
      </c>
      <c r="D69" s="234" t="s">
        <v>1049</v>
      </c>
      <c r="E69" s="196"/>
      <c r="F69" s="200"/>
      <c r="G69" s="200"/>
      <c r="H69" s="196"/>
      <c r="I69" s="710">
        <v>17.97</v>
      </c>
      <c r="J69" s="585">
        <v>0.2</v>
      </c>
      <c r="K69" s="329" t="s">
        <v>944</v>
      </c>
      <c r="L69" s="508"/>
      <c r="M69" s="508"/>
      <c r="N69" s="508"/>
      <c r="O69" s="508"/>
      <c r="P69" s="508"/>
      <c r="Q69" s="508"/>
      <c r="S69" s="158"/>
    </row>
    <row r="70" spans="2:19" x14ac:dyDescent="0.35">
      <c r="B70" s="159"/>
      <c r="C70" s="234" t="s">
        <v>905</v>
      </c>
      <c r="D70" s="234" t="s">
        <v>1050</v>
      </c>
      <c r="E70" s="196"/>
      <c r="F70" s="200"/>
      <c r="G70" s="200"/>
      <c r="H70" s="196"/>
      <c r="I70" s="710">
        <v>9.86</v>
      </c>
      <c r="J70" s="585">
        <v>0.2</v>
      </c>
      <c r="K70" s="329" t="s">
        <v>944</v>
      </c>
      <c r="L70" s="508"/>
      <c r="M70" s="508"/>
      <c r="N70" s="508"/>
      <c r="O70" s="508"/>
      <c r="P70" s="508"/>
      <c r="Q70" s="508"/>
      <c r="S70" s="158"/>
    </row>
    <row r="71" spans="2:19" x14ac:dyDescent="0.35">
      <c r="B71" s="159"/>
      <c r="C71" s="234" t="s">
        <v>906</v>
      </c>
      <c r="D71" s="234" t="s">
        <v>1051</v>
      </c>
      <c r="E71" s="196"/>
      <c r="F71" s="200"/>
      <c r="G71" s="200"/>
      <c r="H71" s="196"/>
      <c r="I71" s="710">
        <v>9.1300000000000008</v>
      </c>
      <c r="J71" s="585">
        <v>0.2</v>
      </c>
      <c r="K71" s="329" t="s">
        <v>944</v>
      </c>
      <c r="L71" s="508"/>
      <c r="M71" s="508"/>
      <c r="N71" s="508"/>
      <c r="O71" s="508"/>
      <c r="P71" s="508"/>
      <c r="Q71" s="508"/>
      <c r="S71" s="158"/>
    </row>
    <row r="72" spans="2:19" x14ac:dyDescent="0.35">
      <c r="B72" s="159"/>
      <c r="C72" s="234" t="s">
        <v>906</v>
      </c>
      <c r="D72" s="234" t="s">
        <v>1052</v>
      </c>
      <c r="E72" s="196"/>
      <c r="F72" s="200"/>
      <c r="G72" s="200"/>
      <c r="H72" s="196"/>
      <c r="I72" s="710">
        <v>24.43</v>
      </c>
      <c r="J72" s="585">
        <v>0.2</v>
      </c>
      <c r="K72" s="329" t="s">
        <v>944</v>
      </c>
      <c r="L72" s="508"/>
      <c r="M72" s="508"/>
      <c r="N72" s="508"/>
      <c r="O72" s="508"/>
      <c r="P72" s="508"/>
      <c r="Q72" s="508"/>
      <c r="S72" s="158"/>
    </row>
    <row r="73" spans="2:19" x14ac:dyDescent="0.35">
      <c r="B73" s="159"/>
      <c r="C73" s="234" t="s">
        <v>907</v>
      </c>
      <c r="D73" s="234" t="s">
        <v>1053</v>
      </c>
      <c r="E73" s="196"/>
      <c r="F73" s="200"/>
      <c r="G73" s="200"/>
      <c r="H73" s="196"/>
      <c r="I73" s="710">
        <v>11.04</v>
      </c>
      <c r="J73" s="585">
        <v>0.2</v>
      </c>
      <c r="K73" s="329" t="s">
        <v>944</v>
      </c>
      <c r="L73" s="508"/>
      <c r="M73" s="508"/>
      <c r="N73" s="508"/>
      <c r="O73" s="508"/>
      <c r="P73" s="508"/>
      <c r="Q73" s="508"/>
      <c r="S73" s="158"/>
    </row>
    <row r="74" spans="2:19" x14ac:dyDescent="0.35">
      <c r="B74" s="159"/>
      <c r="C74" s="194" t="s">
        <v>1069</v>
      </c>
      <c r="D74" s="151"/>
      <c r="E74" s="151"/>
      <c r="F74" s="151"/>
      <c r="G74" s="151"/>
      <c r="S74" s="158"/>
    </row>
    <row r="75" spans="2:19" x14ac:dyDescent="0.35">
      <c r="B75" s="159"/>
      <c r="D75" s="151"/>
      <c r="E75" s="151"/>
      <c r="F75" s="151"/>
      <c r="G75" s="151"/>
      <c r="S75" s="158"/>
    </row>
    <row r="76" spans="2:19" x14ac:dyDescent="0.35">
      <c r="B76" s="159"/>
      <c r="C76" s="198" t="s">
        <v>697</v>
      </c>
      <c r="D76" s="586">
        <v>78</v>
      </c>
      <c r="E76" s="199" t="s">
        <v>698</v>
      </c>
      <c r="F76" s="200"/>
      <c r="G76" s="200"/>
      <c r="H76" s="167"/>
      <c r="S76" s="158"/>
    </row>
    <row r="77" spans="2:19" ht="16.5" x14ac:dyDescent="0.35">
      <c r="B77" s="159"/>
      <c r="C77" s="198" t="s">
        <v>699</v>
      </c>
      <c r="D77" s="582">
        <v>1.85</v>
      </c>
      <c r="E77" s="199" t="s">
        <v>698</v>
      </c>
      <c r="F77" s="200"/>
      <c r="G77" s="200"/>
      <c r="H77" s="167"/>
      <c r="S77" s="158"/>
    </row>
    <row r="78" spans="2:19" x14ac:dyDescent="0.35">
      <c r="B78" s="159"/>
      <c r="S78" s="158"/>
    </row>
    <row r="79" spans="2:19" x14ac:dyDescent="0.35">
      <c r="B79" s="159"/>
      <c r="C79" s="148" t="s">
        <v>700</v>
      </c>
      <c r="S79" s="158"/>
    </row>
    <row r="80" spans="2:19" x14ac:dyDescent="0.35">
      <c r="B80" s="159"/>
      <c r="D80" s="339" t="s">
        <v>701</v>
      </c>
      <c r="E80" s="211" t="s">
        <v>702</v>
      </c>
      <c r="F80" s="211" t="s">
        <v>703</v>
      </c>
      <c r="G80" s="211" t="s">
        <v>704</v>
      </c>
      <c r="H80" s="211" t="s">
        <v>705</v>
      </c>
      <c r="I80" s="210" t="s">
        <v>706</v>
      </c>
      <c r="J80" s="210" t="s">
        <v>707</v>
      </c>
      <c r="L80" s="210" t="s">
        <v>702</v>
      </c>
      <c r="M80" s="516" t="s">
        <v>703</v>
      </c>
      <c r="N80" s="211" t="s">
        <v>704</v>
      </c>
      <c r="O80" s="211" t="s">
        <v>705</v>
      </c>
      <c r="P80" s="210" t="s">
        <v>706</v>
      </c>
      <c r="Q80" s="210" t="s">
        <v>707</v>
      </c>
      <c r="S80" s="158"/>
    </row>
    <row r="81" spans="2:20" x14ac:dyDescent="0.35">
      <c r="B81" s="159"/>
      <c r="D81" s="826" t="s">
        <v>945</v>
      </c>
      <c r="E81" s="706"/>
      <c r="F81" s="707"/>
      <c r="G81" s="707"/>
      <c r="H81" s="707"/>
      <c r="I81" s="707"/>
      <c r="J81" s="707"/>
      <c r="L81" s="708"/>
      <c r="M81" s="709"/>
      <c r="N81" s="709"/>
      <c r="O81" s="709"/>
      <c r="P81" s="709"/>
      <c r="Q81" s="709"/>
      <c r="S81" s="158"/>
    </row>
    <row r="82" spans="2:20" ht="29" x14ac:dyDescent="0.35">
      <c r="B82" s="159"/>
      <c r="D82" s="166" t="s">
        <v>1060</v>
      </c>
      <c r="E82" s="587">
        <v>0</v>
      </c>
      <c r="F82" s="587">
        <v>0.2</v>
      </c>
      <c r="G82" s="587">
        <v>0.3</v>
      </c>
      <c r="H82" s="587">
        <v>0.35</v>
      </c>
      <c r="I82" s="587">
        <v>0.45</v>
      </c>
      <c r="J82" s="587">
        <v>0.5</v>
      </c>
      <c r="L82" s="517">
        <f t="shared" ref="L82:Q82" si="2">F49*E82</f>
        <v>0</v>
      </c>
      <c r="M82" s="517">
        <f>G49*F82</f>
        <v>454.42894744684986</v>
      </c>
      <c r="N82" s="517">
        <f t="shared" si="2"/>
        <v>688.21569579625225</v>
      </c>
      <c r="O82" s="517">
        <f t="shared" si="2"/>
        <v>810.65989553356928</v>
      </c>
      <c r="P82" s="517">
        <f t="shared" si="2"/>
        <v>1052.3264427836134</v>
      </c>
      <c r="Q82" s="517">
        <f t="shared" si="2"/>
        <v>1180.5253019268155</v>
      </c>
      <c r="R82" s="282"/>
      <c r="S82" s="158"/>
    </row>
    <row r="83" spans="2:20" x14ac:dyDescent="0.35">
      <c r="B83" s="159"/>
      <c r="D83" s="166" t="s">
        <v>1061</v>
      </c>
      <c r="E83" s="587">
        <v>1</v>
      </c>
      <c r="F83" s="587">
        <v>0.8</v>
      </c>
      <c r="G83" s="587">
        <v>0.7</v>
      </c>
      <c r="H83" s="587">
        <v>0.65</v>
      </c>
      <c r="I83" s="587">
        <v>0.55000000000000004</v>
      </c>
      <c r="J83" s="587">
        <v>0.5</v>
      </c>
      <c r="L83" s="517">
        <f t="shared" ref="L83:Q83" si="3">F49*E83</f>
        <v>2250.4463666590245</v>
      </c>
      <c r="M83" s="517">
        <f t="shared" si="3"/>
        <v>1817.7157897873994</v>
      </c>
      <c r="N83" s="517">
        <f t="shared" si="3"/>
        <v>1605.8366235245885</v>
      </c>
      <c r="O83" s="517">
        <f t="shared" si="3"/>
        <v>1505.5112345623431</v>
      </c>
      <c r="P83" s="517">
        <f t="shared" si="3"/>
        <v>1286.1767634021942</v>
      </c>
      <c r="Q83" s="517">
        <f t="shared" si="3"/>
        <v>1180.5253019268155</v>
      </c>
      <c r="R83" s="282"/>
      <c r="S83" s="158"/>
    </row>
    <row r="84" spans="2:20" x14ac:dyDescent="0.35">
      <c r="B84" s="159"/>
      <c r="D84" s="223" t="s">
        <v>1066</v>
      </c>
      <c r="E84" s="825">
        <f>SUM(E82:E83)</f>
        <v>1</v>
      </c>
      <c r="F84" s="825">
        <f t="shared" ref="F84:J84" si="4">SUM(F82:F83)</f>
        <v>1</v>
      </c>
      <c r="G84" s="825">
        <f t="shared" si="4"/>
        <v>1</v>
      </c>
      <c r="H84" s="825">
        <f t="shared" si="4"/>
        <v>1</v>
      </c>
      <c r="I84" s="825">
        <f t="shared" si="4"/>
        <v>1</v>
      </c>
      <c r="J84" s="825">
        <f t="shared" si="4"/>
        <v>1</v>
      </c>
      <c r="L84" s="816">
        <f t="shared" ref="L84:Q84" si="5">SUM(L82:L83)</f>
        <v>2250.4463666590245</v>
      </c>
      <c r="M84" s="816">
        <f t="shared" si="5"/>
        <v>2272.1447372342491</v>
      </c>
      <c r="N84" s="816">
        <f t="shared" si="5"/>
        <v>2294.052319320841</v>
      </c>
      <c r="O84" s="816">
        <f t="shared" si="5"/>
        <v>2316.1711300959123</v>
      </c>
      <c r="P84" s="816">
        <f t="shared" si="5"/>
        <v>2338.5032061858074</v>
      </c>
      <c r="Q84" s="816">
        <f t="shared" si="5"/>
        <v>2361.0506038536309</v>
      </c>
      <c r="R84" s="282"/>
      <c r="S84" s="158"/>
    </row>
    <row r="85" spans="2:20" x14ac:dyDescent="0.35">
      <c r="B85" s="159"/>
      <c r="D85" s="827" t="s">
        <v>946</v>
      </c>
      <c r="E85" s="707"/>
      <c r="F85" s="707"/>
      <c r="G85" s="707"/>
      <c r="H85" s="707"/>
      <c r="I85" s="707"/>
      <c r="J85" s="707"/>
      <c r="L85" s="817"/>
      <c r="M85" s="817"/>
      <c r="N85" s="817"/>
      <c r="O85" s="817"/>
      <c r="P85" s="817"/>
      <c r="Q85" s="817"/>
      <c r="S85" s="158"/>
    </row>
    <row r="86" spans="2:20" ht="58" x14ac:dyDescent="0.35">
      <c r="B86" s="159"/>
      <c r="D86" s="166" t="s">
        <v>1075</v>
      </c>
      <c r="E86" s="811">
        <f>89.2%-18%</f>
        <v>0.71199999999999997</v>
      </c>
      <c r="F86" s="813">
        <f t="shared" ref="F86:J86" si="6">89.2%-18%</f>
        <v>0.71199999999999997</v>
      </c>
      <c r="G86" s="813">
        <f t="shared" si="6"/>
        <v>0.71199999999999997</v>
      </c>
      <c r="H86" s="811">
        <f t="shared" si="6"/>
        <v>0.71199999999999997</v>
      </c>
      <c r="I86" s="813">
        <f t="shared" si="6"/>
        <v>0.71199999999999997</v>
      </c>
      <c r="J86" s="812">
        <f t="shared" si="6"/>
        <v>0.71199999999999997</v>
      </c>
      <c r="L86" s="708">
        <f t="shared" ref="L86:Q86" si="7">E86*L82</f>
        <v>0</v>
      </c>
      <c r="M86" s="708">
        <f t="shared" si="7"/>
        <v>323.55341058215708</v>
      </c>
      <c r="N86" s="708">
        <f t="shared" si="7"/>
        <v>490.00957540693156</v>
      </c>
      <c r="O86" s="708">
        <f t="shared" si="7"/>
        <v>577.18984561990135</v>
      </c>
      <c r="P86" s="708">
        <f t="shared" si="7"/>
        <v>749.25642726193269</v>
      </c>
      <c r="Q86" s="708">
        <f t="shared" si="7"/>
        <v>840.53401497189259</v>
      </c>
      <c r="S86" s="158"/>
    </row>
    <row r="87" spans="2:20" x14ac:dyDescent="0.35">
      <c r="B87" s="159"/>
      <c r="D87" s="223"/>
      <c r="E87" s="814"/>
      <c r="F87" s="814"/>
      <c r="G87" s="814"/>
      <c r="H87" s="814"/>
      <c r="I87" s="814"/>
      <c r="J87" s="815"/>
      <c r="L87" s="708"/>
      <c r="M87" s="708"/>
      <c r="N87" s="708"/>
      <c r="O87" s="708"/>
      <c r="P87" s="708"/>
      <c r="Q87" s="708"/>
      <c r="S87" s="158"/>
    </row>
    <row r="88" spans="2:20" ht="47.25" customHeight="1" x14ac:dyDescent="0.35">
      <c r="B88" s="159"/>
      <c r="D88" s="166" t="s">
        <v>1076</v>
      </c>
      <c r="E88" s="587">
        <f>E86*E82</f>
        <v>0</v>
      </c>
      <c r="F88" s="587">
        <f t="shared" ref="F88:J88" si="8">F86*F82</f>
        <v>0.1424</v>
      </c>
      <c r="G88" s="587">
        <f t="shared" si="8"/>
        <v>0.21359999999999998</v>
      </c>
      <c r="H88" s="587">
        <f t="shared" si="8"/>
        <v>0.24919999999999998</v>
      </c>
      <c r="I88" s="587">
        <f t="shared" si="8"/>
        <v>0.32040000000000002</v>
      </c>
      <c r="J88" s="587">
        <f t="shared" si="8"/>
        <v>0.35599999999999998</v>
      </c>
      <c r="L88" s="517">
        <f>E88*L84</f>
        <v>0</v>
      </c>
      <c r="M88" s="517">
        <f t="shared" ref="M88:Q88" si="9">F88*M84</f>
        <v>323.55341058215708</v>
      </c>
      <c r="N88" s="517">
        <f t="shared" si="9"/>
        <v>490.00957540693162</v>
      </c>
      <c r="O88" s="517">
        <f t="shared" si="9"/>
        <v>577.18984561990135</v>
      </c>
      <c r="P88" s="517">
        <f t="shared" si="9"/>
        <v>749.25642726193269</v>
      </c>
      <c r="Q88" s="517">
        <f t="shared" si="9"/>
        <v>840.53401497189259</v>
      </c>
      <c r="S88" s="158"/>
    </row>
    <row r="89" spans="2:20" ht="37.5" customHeight="1" x14ac:dyDescent="0.35">
      <c r="B89" s="159"/>
      <c r="D89" s="166" t="s">
        <v>1086</v>
      </c>
      <c r="E89" s="587">
        <f t="shared" ref="E89:J89" si="10">E82*(100%-E86)</f>
        <v>0</v>
      </c>
      <c r="F89" s="587">
        <f t="shared" si="10"/>
        <v>5.7600000000000012E-2</v>
      </c>
      <c r="G89" s="587">
        <f t="shared" si="10"/>
        <v>8.6400000000000005E-2</v>
      </c>
      <c r="H89" s="587">
        <f t="shared" si="10"/>
        <v>0.1008</v>
      </c>
      <c r="I89" s="587">
        <f t="shared" si="10"/>
        <v>0.12960000000000002</v>
      </c>
      <c r="J89" s="587">
        <f t="shared" si="10"/>
        <v>0.14400000000000002</v>
      </c>
      <c r="L89" s="517">
        <f>E89*L84</f>
        <v>0</v>
      </c>
      <c r="M89" s="517">
        <f t="shared" ref="M89:Q89" si="11">F89*M84</f>
        <v>130.87553686469278</v>
      </c>
      <c r="N89" s="517">
        <f t="shared" si="11"/>
        <v>198.20612038932066</v>
      </c>
      <c r="O89" s="517">
        <f t="shared" si="11"/>
        <v>233.47004991366796</v>
      </c>
      <c r="P89" s="517">
        <f t="shared" si="11"/>
        <v>303.07001552168066</v>
      </c>
      <c r="Q89" s="517">
        <f t="shared" si="11"/>
        <v>339.99128695492288</v>
      </c>
      <c r="S89" s="158"/>
    </row>
    <row r="90" spans="2:20" ht="23.5" customHeight="1" x14ac:dyDescent="0.35">
      <c r="B90" s="159"/>
      <c r="D90" s="166" t="s">
        <v>1087</v>
      </c>
      <c r="E90" s="587">
        <f>E83</f>
        <v>1</v>
      </c>
      <c r="F90" s="587">
        <f t="shared" ref="F90:J90" si="12">F83</f>
        <v>0.8</v>
      </c>
      <c r="G90" s="587">
        <f t="shared" si="12"/>
        <v>0.7</v>
      </c>
      <c r="H90" s="587">
        <f t="shared" si="12"/>
        <v>0.65</v>
      </c>
      <c r="I90" s="587">
        <f t="shared" si="12"/>
        <v>0.55000000000000004</v>
      </c>
      <c r="J90" s="587">
        <f t="shared" si="12"/>
        <v>0.5</v>
      </c>
      <c r="L90" s="517">
        <f>E90*L84</f>
        <v>2250.4463666590245</v>
      </c>
      <c r="M90" s="517">
        <f t="shared" ref="M90:Q90" si="13">F90*M84</f>
        <v>1817.7157897873994</v>
      </c>
      <c r="N90" s="517">
        <f t="shared" si="13"/>
        <v>1605.8366235245885</v>
      </c>
      <c r="O90" s="517">
        <f t="shared" si="13"/>
        <v>1505.5112345623431</v>
      </c>
      <c r="P90" s="517">
        <f t="shared" si="13"/>
        <v>1286.1767634021942</v>
      </c>
      <c r="Q90" s="517">
        <f t="shared" si="13"/>
        <v>1180.5253019268155</v>
      </c>
      <c r="S90" s="158"/>
    </row>
    <row r="91" spans="2:20" ht="14" customHeight="1" x14ac:dyDescent="0.35">
      <c r="B91" s="159"/>
      <c r="D91" s="223" t="s">
        <v>1066</v>
      </c>
      <c r="E91" s="825">
        <f>SUM(E88:E90)</f>
        <v>1</v>
      </c>
      <c r="F91" s="825">
        <f t="shared" ref="F91:J91" si="14">SUM(F88:F90)</f>
        <v>1</v>
      </c>
      <c r="G91" s="825">
        <f t="shared" si="14"/>
        <v>1</v>
      </c>
      <c r="H91" s="825">
        <f t="shared" si="14"/>
        <v>1</v>
      </c>
      <c r="I91" s="825">
        <f t="shared" si="14"/>
        <v>1</v>
      </c>
      <c r="J91" s="825">
        <f t="shared" si="14"/>
        <v>1</v>
      </c>
      <c r="L91" s="816">
        <f>SUM(L88:L90)</f>
        <v>2250.4463666590245</v>
      </c>
      <c r="M91" s="816">
        <f t="shared" ref="M91:Q91" si="15">SUM(M88:M90)</f>
        <v>2272.1447372342491</v>
      </c>
      <c r="N91" s="816">
        <f t="shared" si="15"/>
        <v>2294.052319320841</v>
      </c>
      <c r="O91" s="816">
        <f t="shared" si="15"/>
        <v>2316.1711300959123</v>
      </c>
      <c r="P91" s="816">
        <f t="shared" si="15"/>
        <v>2338.5032061858074</v>
      </c>
      <c r="Q91" s="816">
        <f t="shared" si="15"/>
        <v>2361.0506038536309</v>
      </c>
      <c r="S91" s="158"/>
    </row>
    <row r="92" spans="2:20" ht="30.65" customHeight="1" x14ac:dyDescent="0.35">
      <c r="B92" s="159"/>
      <c r="C92" s="148" t="s">
        <v>1038</v>
      </c>
      <c r="D92" s="761"/>
      <c r="E92" s="491"/>
      <c r="F92" s="491"/>
      <c r="G92" s="491"/>
      <c r="H92" s="491"/>
      <c r="I92" s="491"/>
      <c r="J92" s="491"/>
      <c r="K92" s="491"/>
      <c r="L92" s="848"/>
      <c r="M92" s="848"/>
      <c r="N92" s="848"/>
      <c r="O92" s="848"/>
      <c r="P92" s="848"/>
      <c r="Q92" s="848"/>
      <c r="S92" s="158"/>
      <c r="T92" s="240"/>
    </row>
    <row r="93" spans="2:20" ht="16.25" customHeight="1" x14ac:dyDescent="0.35">
      <c r="B93" s="159"/>
      <c r="C93" t="s">
        <v>1100</v>
      </c>
      <c r="E93" s="491"/>
      <c r="F93" s="491"/>
      <c r="G93" s="491"/>
      <c r="H93" s="491"/>
      <c r="I93" s="491"/>
      <c r="J93" s="491"/>
      <c r="K93" s="491"/>
      <c r="L93" s="848"/>
      <c r="M93" s="848"/>
      <c r="N93" s="848"/>
      <c r="O93" s="848"/>
      <c r="P93" s="848"/>
      <c r="Q93" s="848"/>
      <c r="S93" s="158"/>
      <c r="T93" s="240"/>
    </row>
    <row r="94" spans="2:20" ht="18" customHeight="1" x14ac:dyDescent="0.35">
      <c r="B94" s="159"/>
      <c r="C94" s="852" t="s">
        <v>1065</v>
      </c>
      <c r="D94" s="852"/>
      <c r="E94" s="852"/>
      <c r="F94" s="852"/>
      <c r="G94" s="852"/>
      <c r="H94" s="852"/>
      <c r="I94" s="852"/>
      <c r="J94" s="852"/>
      <c r="K94" s="852"/>
      <c r="L94" s="852"/>
      <c r="M94" s="852"/>
      <c r="N94" s="852"/>
      <c r="O94" s="852"/>
      <c r="P94" s="852"/>
      <c r="Q94" s="852"/>
      <c r="S94" s="158"/>
      <c r="T94" s="240"/>
    </row>
    <row r="95" spans="2:20" ht="28.5" customHeight="1" x14ac:dyDescent="0.35">
      <c r="B95" s="159"/>
      <c r="C95" s="852" t="s">
        <v>1077</v>
      </c>
      <c r="D95" s="852"/>
      <c r="E95" s="852"/>
      <c r="F95" s="852"/>
      <c r="G95" s="852"/>
      <c r="H95" s="852"/>
      <c r="I95" s="852"/>
      <c r="J95" s="852"/>
      <c r="K95" s="852"/>
      <c r="L95" s="852"/>
      <c r="M95" s="852"/>
      <c r="N95" s="852"/>
      <c r="O95" s="852"/>
      <c r="P95" s="852"/>
      <c r="Q95" s="852"/>
      <c r="S95" s="158"/>
      <c r="T95" s="240"/>
    </row>
    <row r="96" spans="2:20" ht="28.5" customHeight="1" x14ac:dyDescent="0.35">
      <c r="B96" s="160"/>
      <c r="C96" s="851" t="s">
        <v>1039</v>
      </c>
      <c r="D96" s="851"/>
      <c r="E96" s="851"/>
      <c r="F96" s="851"/>
      <c r="G96" s="851"/>
      <c r="H96" s="851"/>
      <c r="I96" s="851"/>
      <c r="J96" s="851"/>
      <c r="K96" s="851"/>
      <c r="L96" s="851"/>
      <c r="M96" s="851"/>
      <c r="N96" s="851"/>
      <c r="O96" s="851"/>
      <c r="P96" s="851"/>
      <c r="Q96" s="851"/>
      <c r="R96" s="851"/>
      <c r="S96" s="162"/>
    </row>
    <row r="97" spans="2:25" x14ac:dyDescent="0.35">
      <c r="D97" s="196"/>
      <c r="K97" s="196"/>
    </row>
    <row r="98" spans="2:25" x14ac:dyDescent="0.35">
      <c r="B98" s="155" t="s">
        <v>708</v>
      </c>
      <c r="C98" s="309"/>
      <c r="E98" s="309"/>
      <c r="F98" s="309"/>
      <c r="G98" s="309"/>
      <c r="H98" s="309"/>
      <c r="I98" s="309"/>
      <c r="J98" s="309"/>
      <c r="L98" s="309"/>
      <c r="M98" s="309"/>
      <c r="N98" s="309"/>
      <c r="O98" s="309"/>
      <c r="P98" s="309"/>
      <c r="Q98" s="309"/>
      <c r="R98" s="309"/>
      <c r="S98" s="156"/>
    </row>
    <row r="99" spans="2:25" x14ac:dyDescent="0.35">
      <c r="B99" s="159" t="s">
        <v>709</v>
      </c>
      <c r="H99" s="838"/>
      <c r="I99" s="838"/>
      <c r="J99" s="838"/>
      <c r="K99" s="838"/>
      <c r="S99" s="158"/>
    </row>
    <row r="100" spans="2:25" x14ac:dyDescent="0.35">
      <c r="B100" s="159" t="s">
        <v>710</v>
      </c>
      <c r="S100" s="158"/>
    </row>
    <row r="101" spans="2:25" x14ac:dyDescent="0.35">
      <c r="B101" s="159"/>
      <c r="C101" s="330"/>
      <c r="D101" s="213"/>
      <c r="E101" s="213"/>
      <c r="F101" s="213"/>
      <c r="L101" s="148" t="s">
        <v>1032</v>
      </c>
      <c r="S101" s="158"/>
    </row>
    <row r="102" spans="2:25" ht="43.25" customHeight="1" x14ac:dyDescent="0.35">
      <c r="B102" s="159"/>
      <c r="C102" s="379" t="s">
        <v>711</v>
      </c>
      <c r="D102" s="379" t="s">
        <v>712</v>
      </c>
      <c r="E102" s="379" t="s">
        <v>713</v>
      </c>
      <c r="F102" s="247" t="s">
        <v>941</v>
      </c>
      <c r="G102" s="247" t="s">
        <v>942</v>
      </c>
      <c r="H102" s="247" t="s">
        <v>947</v>
      </c>
      <c r="I102" s="821"/>
      <c r="L102" s="379" t="s">
        <v>714</v>
      </c>
      <c r="M102" s="379" t="s">
        <v>715</v>
      </c>
      <c r="S102" s="158"/>
    </row>
    <row r="103" spans="2:25" ht="29" x14ac:dyDescent="0.35">
      <c r="B103" s="159"/>
      <c r="C103" s="380" t="s">
        <v>948</v>
      </c>
      <c r="D103" s="164" t="s">
        <v>716</v>
      </c>
      <c r="E103" s="164" t="s">
        <v>717</v>
      </c>
      <c r="F103" s="588">
        <v>1</v>
      </c>
      <c r="G103" s="588">
        <v>1</v>
      </c>
      <c r="H103" s="818">
        <v>1</v>
      </c>
      <c r="I103" s="822"/>
      <c r="L103" s="207"/>
      <c r="M103" s="207"/>
      <c r="S103" s="158"/>
      <c r="U103" s="858"/>
      <c r="V103" s="858"/>
      <c r="W103" s="717"/>
      <c r="X103" s="718"/>
      <c r="Y103" s="719"/>
    </row>
    <row r="104" spans="2:25" ht="43.5" x14ac:dyDescent="0.35">
      <c r="B104" s="159"/>
      <c r="C104" s="380" t="s">
        <v>948</v>
      </c>
      <c r="D104" s="164" t="s">
        <v>718</v>
      </c>
      <c r="E104" s="164" t="s">
        <v>719</v>
      </c>
      <c r="F104" s="582">
        <v>30</v>
      </c>
      <c r="G104" s="582">
        <v>30</v>
      </c>
      <c r="H104" s="582">
        <v>30</v>
      </c>
      <c r="I104" s="822"/>
      <c r="J104" s="148" t="s">
        <v>950</v>
      </c>
      <c r="L104" s="591" t="s">
        <v>720</v>
      </c>
      <c r="M104" s="592">
        <f>VLOOKUP(L104,payscales!B:K,10,0)</f>
        <v>121.08</v>
      </c>
      <c r="S104" s="158"/>
      <c r="U104" s="859"/>
      <c r="V104" s="859"/>
      <c r="W104" s="713"/>
      <c r="X104" s="714"/>
      <c r="Y104" s="715"/>
    </row>
    <row r="105" spans="2:25" ht="29" x14ac:dyDescent="0.35">
      <c r="B105" s="159"/>
      <c r="C105" s="380" t="s">
        <v>948</v>
      </c>
      <c r="D105" s="164" t="s">
        <v>721</v>
      </c>
      <c r="E105" s="164" t="s">
        <v>717</v>
      </c>
      <c r="F105" s="711"/>
      <c r="G105" s="582"/>
      <c r="H105" s="582"/>
      <c r="I105" s="822"/>
      <c r="L105" s="207"/>
      <c r="M105" s="207"/>
      <c r="S105" s="158"/>
      <c r="U105" s="858"/>
      <c r="V105" s="858"/>
      <c r="W105" s="717"/>
      <c r="X105" s="720"/>
      <c r="Y105" s="721"/>
    </row>
    <row r="106" spans="2:25" ht="43.5" x14ac:dyDescent="0.35">
      <c r="B106" s="159"/>
      <c r="C106" s="380" t="s">
        <v>948</v>
      </c>
      <c r="D106" s="164" t="s">
        <v>722</v>
      </c>
      <c r="E106" s="164" t="s">
        <v>719</v>
      </c>
      <c r="F106" s="582"/>
      <c r="G106" s="582"/>
      <c r="H106" s="582"/>
      <c r="I106" s="822"/>
      <c r="J106" s="148" t="s">
        <v>950</v>
      </c>
      <c r="L106" s="591" t="s">
        <v>720</v>
      </c>
      <c r="M106" s="592">
        <f>VLOOKUP(L106,payscales!B:K,10,0)</f>
        <v>121.08</v>
      </c>
      <c r="S106" s="158"/>
      <c r="U106" s="712"/>
      <c r="V106" s="712"/>
      <c r="W106" s="713"/>
      <c r="X106" s="714"/>
      <c r="Y106" s="716"/>
    </row>
    <row r="107" spans="2:25" ht="29" x14ac:dyDescent="0.35">
      <c r="B107" s="159"/>
      <c r="C107" s="377" t="s">
        <v>723</v>
      </c>
      <c r="D107" s="164" t="s">
        <v>724</v>
      </c>
      <c r="E107" s="164" t="s">
        <v>717</v>
      </c>
      <c r="F107" s="589">
        <v>30</v>
      </c>
      <c r="G107" s="589">
        <v>30</v>
      </c>
      <c r="H107" s="818">
        <v>30</v>
      </c>
      <c r="I107" s="822"/>
      <c r="J107" s="148" t="s">
        <v>950</v>
      </c>
      <c r="L107" s="591" t="s">
        <v>725</v>
      </c>
      <c r="M107" s="592">
        <f>VLOOKUP(L107,payscales!B:K,10,0)</f>
        <v>42.15</v>
      </c>
      <c r="S107" s="158"/>
      <c r="U107" s="712"/>
      <c r="V107" s="712"/>
      <c r="W107" s="713"/>
      <c r="X107" s="714"/>
      <c r="Y107" s="716"/>
    </row>
    <row r="108" spans="2:25" ht="29" x14ac:dyDescent="0.35">
      <c r="B108" s="159"/>
      <c r="C108" s="377" t="s">
        <v>723</v>
      </c>
      <c r="D108" s="164" t="s">
        <v>726</v>
      </c>
      <c r="E108" s="164" t="s">
        <v>717</v>
      </c>
      <c r="F108" s="589">
        <v>30</v>
      </c>
      <c r="G108" s="589">
        <v>30</v>
      </c>
      <c r="H108" s="819">
        <v>30</v>
      </c>
      <c r="I108" s="822"/>
      <c r="J108" s="148" t="s">
        <v>950</v>
      </c>
      <c r="L108" s="591" t="s">
        <v>725</v>
      </c>
      <c r="M108" s="592">
        <f>VLOOKUP(L108,payscales!B:K,10,0)</f>
        <v>42.15</v>
      </c>
      <c r="S108" s="158"/>
      <c r="U108" s="712"/>
      <c r="V108" s="712"/>
      <c r="W108" s="713"/>
      <c r="X108" s="714"/>
      <c r="Y108" s="716"/>
    </row>
    <row r="109" spans="2:25" ht="29" x14ac:dyDescent="0.35">
      <c r="B109" s="159"/>
      <c r="C109" s="377" t="s">
        <v>723</v>
      </c>
      <c r="D109" s="164" t="s">
        <v>727</v>
      </c>
      <c r="E109" s="164" t="s">
        <v>717</v>
      </c>
      <c r="F109" s="589">
        <v>30</v>
      </c>
      <c r="G109" s="589">
        <v>30</v>
      </c>
      <c r="H109" s="820">
        <v>30</v>
      </c>
      <c r="I109" s="822"/>
      <c r="J109" s="148" t="s">
        <v>950</v>
      </c>
      <c r="L109" s="591" t="s">
        <v>725</v>
      </c>
      <c r="M109" s="592">
        <f>VLOOKUP(L109,payscales!B:K,10,0)</f>
        <v>42.15</v>
      </c>
      <c r="S109" s="158"/>
      <c r="U109" s="712"/>
      <c r="V109" s="712"/>
      <c r="W109" s="713"/>
      <c r="X109" s="714"/>
      <c r="Y109" s="716"/>
    </row>
    <row r="110" spans="2:25" ht="29" x14ac:dyDescent="0.35">
      <c r="B110" s="159"/>
      <c r="C110" s="378" t="s">
        <v>728</v>
      </c>
      <c r="D110" s="164" t="s">
        <v>951</v>
      </c>
      <c r="E110" s="164" t="s">
        <v>717</v>
      </c>
      <c r="F110" s="590">
        <v>15</v>
      </c>
      <c r="G110" s="590">
        <v>15</v>
      </c>
      <c r="H110" s="590">
        <v>15</v>
      </c>
      <c r="I110" s="822"/>
      <c r="J110" s="148" t="s">
        <v>950</v>
      </c>
      <c r="L110" s="591" t="s">
        <v>853</v>
      </c>
      <c r="M110" s="592">
        <f>VLOOKUP(L110,payscales!B:K,10,0)</f>
        <v>46.77</v>
      </c>
      <c r="S110" s="158"/>
      <c r="U110" s="712"/>
      <c r="V110" s="712"/>
      <c r="W110" s="713"/>
      <c r="X110" s="714"/>
      <c r="Y110" s="716"/>
    </row>
    <row r="111" spans="2:25" x14ac:dyDescent="0.35">
      <c r="B111" s="159"/>
      <c r="C111" s="330"/>
      <c r="D111" s="213"/>
      <c r="E111" s="213"/>
      <c r="F111" s="213"/>
      <c r="S111" s="158"/>
    </row>
    <row r="112" spans="2:25" x14ac:dyDescent="0.35">
      <c r="B112" s="159"/>
      <c r="C112" s="197" t="s">
        <v>731</v>
      </c>
      <c r="D112" s="151"/>
      <c r="S112" s="158"/>
    </row>
    <row r="113" spans="2:19" x14ac:dyDescent="0.35">
      <c r="B113" s="159"/>
      <c r="C113" t="s">
        <v>1067</v>
      </c>
      <c r="D113" s="151"/>
      <c r="S113" s="158"/>
    </row>
    <row r="114" spans="2:19" x14ac:dyDescent="0.35">
      <c r="B114" s="159"/>
      <c r="C114" s="189" t="s">
        <v>732</v>
      </c>
      <c r="D114" s="151"/>
      <c r="L114" s="723"/>
      <c r="S114" s="158"/>
    </row>
    <row r="115" spans="2:19" x14ac:dyDescent="0.35">
      <c r="B115" s="159"/>
      <c r="C115" s="331" t="s">
        <v>733</v>
      </c>
      <c r="D115" s="151"/>
      <c r="S115" s="158"/>
    </row>
    <row r="116" spans="2:19" x14ac:dyDescent="0.35">
      <c r="B116" s="159"/>
      <c r="C116" s="722" t="s">
        <v>949</v>
      </c>
      <c r="D116" s="151"/>
      <c r="S116" s="158"/>
    </row>
    <row r="117" spans="2:19" x14ac:dyDescent="0.35">
      <c r="B117" s="159"/>
      <c r="C117" s="722" t="s">
        <v>952</v>
      </c>
      <c r="D117" s="151"/>
      <c r="S117" s="158"/>
    </row>
    <row r="118" spans="2:19" ht="23" customHeight="1" x14ac:dyDescent="0.35">
      <c r="B118" s="159"/>
      <c r="C118" t="s">
        <v>1037</v>
      </c>
      <c r="D118" s="151"/>
      <c r="H118" s="466"/>
      <c r="S118" s="158"/>
    </row>
    <row r="119" spans="2:19" ht="39" customHeight="1" x14ac:dyDescent="0.35">
      <c r="B119" s="159"/>
      <c r="C119" s="856" t="s">
        <v>1040</v>
      </c>
      <c r="D119" s="857"/>
      <c r="E119" s="857"/>
      <c r="F119" s="857"/>
      <c r="G119" s="857"/>
      <c r="H119" s="857"/>
      <c r="I119" s="857"/>
      <c r="J119" s="857"/>
      <c r="K119" s="857"/>
      <c r="L119" s="857"/>
      <c r="M119" s="857"/>
      <c r="N119" s="857"/>
      <c r="O119" s="857"/>
      <c r="P119" s="857"/>
      <c r="S119" s="158"/>
    </row>
    <row r="120" spans="2:19" x14ac:dyDescent="0.35">
      <c r="B120" s="159"/>
      <c r="C120" s="749" t="s">
        <v>989</v>
      </c>
      <c r="D120" s="750"/>
      <c r="E120" s="722"/>
      <c r="F120" s="722"/>
      <c r="G120" s="722"/>
      <c r="H120" s="751"/>
      <c r="I120" s="722"/>
      <c r="J120" s="722"/>
      <c r="K120" s="722"/>
      <c r="L120" s="722"/>
      <c r="M120" s="722"/>
      <c r="N120" s="722"/>
      <c r="O120" s="722"/>
      <c r="P120" s="722"/>
      <c r="S120" s="158"/>
    </row>
    <row r="121" spans="2:19" x14ac:dyDescent="0.35">
      <c r="B121" s="159"/>
      <c r="C121" s="749" t="s">
        <v>990</v>
      </c>
      <c r="D121" s="750"/>
      <c r="E121" s="722"/>
      <c r="F121" s="722"/>
      <c r="G121" s="722"/>
      <c r="H121" s="751"/>
      <c r="I121" s="722"/>
      <c r="J121" s="722"/>
      <c r="K121" s="722"/>
      <c r="L121" s="722"/>
      <c r="M121" s="722"/>
      <c r="N121" s="722"/>
      <c r="O121" s="722"/>
      <c r="P121" s="722"/>
      <c r="S121" s="158"/>
    </row>
    <row r="122" spans="2:19" x14ac:dyDescent="0.35">
      <c r="B122" s="159"/>
      <c r="C122" s="752" t="s">
        <v>991</v>
      </c>
      <c r="D122" s="750"/>
      <c r="E122" s="722"/>
      <c r="F122" s="722"/>
      <c r="G122" s="722"/>
      <c r="H122" s="751"/>
      <c r="I122" s="722"/>
      <c r="J122" s="722"/>
      <c r="K122" s="722"/>
      <c r="L122" s="722"/>
      <c r="M122" s="722"/>
      <c r="N122" s="722"/>
      <c r="O122" s="722"/>
      <c r="P122" s="722"/>
      <c r="S122" s="158"/>
    </row>
    <row r="123" spans="2:19" x14ac:dyDescent="0.35">
      <c r="B123" s="159"/>
      <c r="C123" s="752" t="s">
        <v>992</v>
      </c>
      <c r="D123" s="750"/>
      <c r="E123" s="722"/>
      <c r="F123" s="722"/>
      <c r="G123" s="722"/>
      <c r="H123" s="753"/>
      <c r="I123" s="722"/>
      <c r="J123" s="722"/>
      <c r="K123" s="722"/>
      <c r="L123" s="722"/>
      <c r="M123" s="722"/>
      <c r="N123" s="722"/>
      <c r="O123" s="722"/>
      <c r="P123" s="722"/>
      <c r="S123" s="158"/>
    </row>
    <row r="124" spans="2:19" x14ac:dyDescent="0.35">
      <c r="B124" s="159"/>
      <c r="C124" s="213"/>
      <c r="D124" s="151"/>
      <c r="S124" s="158"/>
    </row>
    <row r="125" spans="2:19" x14ac:dyDescent="0.35">
      <c r="B125" s="160"/>
      <c r="C125" s="161"/>
      <c r="D125" s="163"/>
      <c r="E125" s="163"/>
      <c r="F125" s="163"/>
      <c r="G125" s="163"/>
      <c r="H125" s="161"/>
      <c r="I125" s="161"/>
      <c r="J125" s="161"/>
      <c r="K125" s="161"/>
      <c r="L125" s="161"/>
      <c r="M125" s="161"/>
      <c r="N125" s="161"/>
      <c r="O125" s="161"/>
      <c r="P125" s="161"/>
      <c r="Q125" s="161"/>
      <c r="R125" s="161"/>
      <c r="S125" s="162"/>
    </row>
    <row r="126" spans="2:19" x14ac:dyDescent="0.35">
      <c r="D126" s="151"/>
      <c r="E126" s="151"/>
      <c r="F126" s="151"/>
      <c r="G126" s="151"/>
    </row>
    <row r="127" spans="2:19" x14ac:dyDescent="0.35">
      <c r="B127" s="374" t="s">
        <v>734</v>
      </c>
      <c r="C127" s="373"/>
      <c r="D127" s="373"/>
      <c r="E127" s="373"/>
      <c r="F127" s="373"/>
      <c r="G127" s="373"/>
      <c r="H127" s="373"/>
      <c r="I127" s="373"/>
      <c r="J127" s="373"/>
      <c r="K127" s="373"/>
      <c r="L127" s="373"/>
      <c r="M127" s="373"/>
      <c r="N127" s="373"/>
      <c r="O127" s="373"/>
      <c r="P127" s="373"/>
      <c r="Q127" s="373"/>
      <c r="R127" s="373"/>
      <c r="S127" s="225"/>
    </row>
    <row r="128" spans="2:19" x14ac:dyDescent="0.35">
      <c r="B128" s="229"/>
      <c r="C128" s="222"/>
      <c r="D128" s="222"/>
      <c r="E128" s="222"/>
      <c r="F128" s="222"/>
      <c r="G128" s="222"/>
      <c r="H128" s="222"/>
      <c r="I128" s="222"/>
      <c r="J128" s="222"/>
      <c r="K128" s="222"/>
      <c r="L128" s="222"/>
      <c r="M128" s="222"/>
      <c r="N128" s="222"/>
      <c r="O128" s="222"/>
      <c r="P128" s="222"/>
      <c r="Q128" s="222"/>
      <c r="R128" s="222"/>
      <c r="S128" s="230"/>
    </row>
    <row r="129" spans="2:19" x14ac:dyDescent="0.35">
      <c r="B129" s="229"/>
      <c r="C129" s="646" t="s">
        <v>735</v>
      </c>
      <c r="D129" s="222"/>
      <c r="E129" s="222"/>
      <c r="F129" s="222"/>
      <c r="G129" s="222"/>
      <c r="H129" s="222"/>
      <c r="I129" s="222"/>
      <c r="J129" s="222"/>
      <c r="K129" s="222"/>
      <c r="L129" s="222"/>
      <c r="M129" s="222"/>
      <c r="N129" s="222"/>
      <c r="O129" s="222"/>
      <c r="P129" s="222"/>
      <c r="Q129" s="222"/>
      <c r="R129" s="222"/>
      <c r="S129" s="230"/>
    </row>
    <row r="130" spans="2:19" x14ac:dyDescent="0.35">
      <c r="B130" s="229"/>
      <c r="C130" s="641" t="s">
        <v>736</v>
      </c>
      <c r="D130" s="222"/>
      <c r="E130" s="222"/>
      <c r="F130" s="222"/>
      <c r="G130" s="222"/>
      <c r="H130" s="222"/>
      <c r="I130" s="222"/>
      <c r="J130" s="222"/>
      <c r="K130" s="222"/>
      <c r="L130" s="222"/>
      <c r="M130" s="222"/>
      <c r="N130" s="222"/>
      <c r="O130" s="222"/>
      <c r="P130" s="222"/>
      <c r="Q130" s="222"/>
      <c r="R130" s="222"/>
      <c r="S130" s="230"/>
    </row>
    <row r="131" spans="2:19" x14ac:dyDescent="0.35">
      <c r="B131" s="229"/>
      <c r="C131" s="641" t="s">
        <v>737</v>
      </c>
      <c r="D131" s="222"/>
      <c r="E131" s="222"/>
      <c r="F131" s="222"/>
      <c r="G131" s="222"/>
      <c r="H131" s="222"/>
      <c r="I131" s="222"/>
      <c r="J131" s="222"/>
      <c r="K131" s="222"/>
      <c r="L131" s="222"/>
      <c r="M131" s="222"/>
      <c r="N131" s="222"/>
      <c r="O131" s="222"/>
      <c r="P131" s="222"/>
      <c r="Q131" s="222"/>
      <c r="R131" s="222"/>
      <c r="S131" s="230"/>
    </row>
    <row r="132" spans="2:19" x14ac:dyDescent="0.35">
      <c r="B132" s="229"/>
      <c r="C132" s="419" t="s">
        <v>738</v>
      </c>
      <c r="D132" s="222"/>
      <c r="E132" s="222"/>
      <c r="F132" s="222"/>
      <c r="G132" s="222"/>
      <c r="H132" s="222"/>
      <c r="I132" s="222"/>
      <c r="J132" s="222"/>
      <c r="K132" s="222"/>
      <c r="L132" s="222"/>
      <c r="M132" s="222"/>
      <c r="N132" s="222"/>
      <c r="O132" s="222"/>
      <c r="P132" s="222"/>
      <c r="Q132" s="222"/>
      <c r="R132" s="222"/>
      <c r="S132" s="230"/>
    </row>
    <row r="133" spans="2:19" x14ac:dyDescent="0.35">
      <c r="B133" s="229"/>
      <c r="C133" s="419" t="s">
        <v>739</v>
      </c>
      <c r="D133" s="222"/>
      <c r="E133" s="222"/>
      <c r="F133" s="222"/>
      <c r="G133" s="222"/>
      <c r="H133" s="222"/>
      <c r="I133" s="222"/>
      <c r="J133" s="222"/>
      <c r="K133" s="222"/>
      <c r="L133" s="222"/>
      <c r="M133" s="222"/>
      <c r="N133" s="222"/>
      <c r="O133" s="222"/>
      <c r="P133" s="222"/>
      <c r="Q133" s="222"/>
      <c r="R133" s="222"/>
      <c r="S133" s="230"/>
    </row>
    <row r="134" spans="2:19" x14ac:dyDescent="0.35">
      <c r="B134" s="229"/>
      <c r="C134" s="419"/>
      <c r="D134" s="222"/>
      <c r="E134" s="222"/>
      <c r="F134" s="222"/>
      <c r="G134" s="222"/>
      <c r="H134" s="222"/>
      <c r="I134" s="222"/>
      <c r="J134" s="222"/>
      <c r="K134" s="222"/>
      <c r="L134" s="222"/>
      <c r="M134" s="222"/>
      <c r="N134" s="222"/>
      <c r="O134" s="222"/>
      <c r="P134" s="222"/>
      <c r="Q134" s="222"/>
      <c r="R134" s="222"/>
      <c r="S134" s="230"/>
    </row>
    <row r="135" spans="2:19" x14ac:dyDescent="0.35">
      <c r="B135" s="229"/>
      <c r="C135" s="645" t="s">
        <v>740</v>
      </c>
      <c r="D135" s="222"/>
      <c r="E135" s="222"/>
      <c r="F135" s="222"/>
      <c r="G135" s="222"/>
      <c r="H135" s="222"/>
      <c r="I135" s="222"/>
      <c r="J135" s="222"/>
      <c r="K135" s="222"/>
      <c r="L135" s="222"/>
      <c r="M135" s="222"/>
      <c r="N135" s="222"/>
      <c r="O135" s="222"/>
      <c r="P135" s="222"/>
      <c r="Q135" s="222"/>
      <c r="R135" s="222"/>
      <c r="S135" s="230"/>
    </row>
    <row r="136" spans="2:19" x14ac:dyDescent="0.35">
      <c r="B136" s="229"/>
      <c r="C136" s="641" t="s">
        <v>741</v>
      </c>
      <c r="D136" s="222"/>
      <c r="E136" s="222"/>
      <c r="F136" s="222"/>
      <c r="G136" s="222"/>
      <c r="H136" s="222"/>
      <c r="I136" s="222"/>
      <c r="J136" s="222"/>
      <c r="K136" s="222"/>
      <c r="L136" s="222"/>
      <c r="M136" s="222"/>
      <c r="N136" s="222"/>
      <c r="O136" s="222"/>
      <c r="P136" s="222"/>
      <c r="Q136" s="222"/>
      <c r="R136" s="222"/>
      <c r="S136" s="230"/>
    </row>
    <row r="137" spans="2:19" x14ac:dyDescent="0.35">
      <c r="B137" s="229"/>
      <c r="C137" s="419" t="s">
        <v>742</v>
      </c>
      <c r="D137" s="222"/>
      <c r="E137" s="222"/>
      <c r="F137" s="222"/>
      <c r="G137" s="222"/>
      <c r="H137" s="222"/>
      <c r="I137" s="222"/>
      <c r="J137" s="222"/>
      <c r="K137" s="222"/>
      <c r="L137" s="222"/>
      <c r="M137" s="222"/>
      <c r="N137" s="222"/>
      <c r="O137" s="222"/>
      <c r="P137" s="222"/>
      <c r="Q137" s="222"/>
      <c r="R137" s="222"/>
      <c r="S137" s="230"/>
    </row>
    <row r="138" spans="2:19" x14ac:dyDescent="0.35">
      <c r="B138" s="229"/>
      <c r="C138" s="419" t="s">
        <v>743</v>
      </c>
      <c r="D138" s="222"/>
      <c r="E138" s="222"/>
      <c r="F138" s="222"/>
      <c r="G138" s="222"/>
      <c r="H138" s="222"/>
      <c r="I138" s="222"/>
      <c r="J138" s="222"/>
      <c r="K138" s="222"/>
      <c r="L138" s="222"/>
      <c r="M138" s="222"/>
      <c r="N138" s="222"/>
      <c r="O138" s="222"/>
      <c r="P138" s="222"/>
      <c r="Q138" s="222"/>
      <c r="R138" s="222"/>
      <c r="S138" s="230"/>
    </row>
    <row r="139" spans="2:19" x14ac:dyDescent="0.35">
      <c r="B139" s="229"/>
      <c r="C139" s="419" t="s">
        <v>744</v>
      </c>
      <c r="D139" s="222"/>
      <c r="E139" s="222"/>
      <c r="F139" s="222"/>
      <c r="G139" s="222"/>
      <c r="H139" s="222"/>
      <c r="I139" s="222"/>
      <c r="J139" s="222"/>
      <c r="K139" s="222"/>
      <c r="L139" s="222"/>
      <c r="M139" s="222"/>
      <c r="N139" s="222"/>
      <c r="O139" s="222"/>
      <c r="P139" s="222"/>
      <c r="Q139" s="222"/>
      <c r="R139" s="222"/>
      <c r="S139" s="230"/>
    </row>
    <row r="140" spans="2:19" x14ac:dyDescent="0.35">
      <c r="B140" s="227"/>
      <c r="C140" s="231"/>
      <c r="D140" s="226"/>
      <c r="E140" s="226"/>
      <c r="F140" s="226"/>
      <c r="G140" s="226"/>
      <c r="H140" s="226"/>
      <c r="I140" s="226"/>
      <c r="J140" s="226"/>
      <c r="K140" s="226"/>
      <c r="L140" s="226"/>
      <c r="M140" s="226"/>
      <c r="N140" s="226"/>
      <c r="O140" s="226"/>
      <c r="P140" s="226"/>
      <c r="Q140" s="226"/>
      <c r="R140" s="226"/>
      <c r="S140" s="228"/>
    </row>
  </sheetData>
  <sheetProtection algorithmName="SHA-512" hashValue="QD7+xt9yQrXwDeZ1/J4oXAZsHZS9vrjNdkI9sVPhMoJap1SdFc1oKoTj0AL/9uYW6H+rcvZWmL42cmn/cxsXew==" saltValue="C3/VHR/+HW6jjcGkXlSbkw==" spinCount="100000" sheet="1" objects="1" scenarios="1"/>
  <protectedRanges>
    <protectedRange sqref="L104:M104" name="Range24"/>
    <protectedRange sqref="L104:M110" name="Range23"/>
    <protectedRange sqref="F103:H110" name="Range22"/>
    <protectedRange sqref="L88:Q90" name="Range21"/>
    <protectedRange sqref="L82:Q83" name="Range20"/>
    <protectedRange sqref="E86:J90" name="Range19"/>
    <protectedRange sqref="E82:J83" name="Range18"/>
    <protectedRange sqref="D76:D77" name="Range17"/>
    <protectedRange sqref="I63:J73" name="Range16"/>
    <protectedRange sqref="D55:J60" name="Range15"/>
    <protectedRange sqref="E19:E20" name="Range14"/>
    <protectedRange sqref="F42:F43" name="Range13"/>
    <protectedRange sqref="L106:M110" name="Range11"/>
    <protectedRange sqref="L104:M104" name="Range10"/>
    <protectedRange sqref="F103:H110" name="Range9"/>
    <protectedRange sqref="L88:Q90" name="Range8"/>
    <protectedRange sqref="L82:Q83" name="Range7"/>
    <protectedRange sqref="D76:D77" name="Range6"/>
    <protectedRange sqref="I63:J73" name="Range5"/>
    <protectedRange sqref="D55:J60" name="Range4"/>
    <protectedRange sqref="F40" name="Range3"/>
    <protectedRange sqref="F42:F43" name="Range2"/>
    <protectedRange sqref="E11:E13 E15 E17 E19:E20 F103:I110 D76:D77 F40 G39:G41 E39:F39 E41:F41 G44 G101:H101 H111 E32:G32 F33:G38 F42:F43 D55:J60 J63:J73 L81:Q84 L86:Q91 E81:J91 E27:G30 F31:G31" name="Range1"/>
    <protectedRange sqref="E27:G33" name="Range12"/>
  </protectedRanges>
  <mergeCells count="14">
    <mergeCell ref="C119:P119"/>
    <mergeCell ref="U105:V105"/>
    <mergeCell ref="U103:V103"/>
    <mergeCell ref="U104:V104"/>
    <mergeCell ref="L93:Q93"/>
    <mergeCell ref="L56:R56"/>
    <mergeCell ref="H28:L28"/>
    <mergeCell ref="C96:R96"/>
    <mergeCell ref="C94:Q94"/>
    <mergeCell ref="L92:Q92"/>
    <mergeCell ref="C95:Q95"/>
    <mergeCell ref="M29:N29"/>
    <mergeCell ref="C30:D30"/>
    <mergeCell ref="M30:X30"/>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5" r:id="rId1" display="Duration of administrations as per SmPC" xr:uid="{70C73DD3-4E20-4FE6-B042-D5BE210B36F5}"/>
    <hyperlink ref="C130" r:id="rId2" display="Office for National Statistics Population Estimates, England and Wales: mid-2022" xr:uid="{E5307553-7A6C-4E4A-A884-E27CF8AE4772}"/>
    <hyperlink ref="C131" r:id="rId3" xr:uid="{7973B0A5-0DDC-4D6E-A615-7910C6E2CF4A}"/>
    <hyperlink ref="C136" r:id="rId4" xr:uid="{EDC70E40-643A-4353-80EE-8CAA529E12F0}"/>
    <hyperlink ref="C38" r:id="rId5" display="https://www.nejm.org/doi/full/10.1056/NEJMoa2302983" xr:uid="{B4B6182D-B7AF-4AE8-A0C8-ED98A31F1326}"/>
    <hyperlink ref="H29" r:id="rId6" display="https://www.lungcanceraudit.org.uk/reports-publications/nlca-state-of-the-nation-2024/" xr:uid="{1FFB6A7C-847B-4392-92FC-0B14EA6A1051}"/>
    <hyperlink ref="H30" r:id="rId7" display="https://www.lungcanceraudit.org.uk/reports-publications/nlca-state-of-the-nation-2024/" xr:uid="{B6716815-655C-44A4-8318-F18144ACBC47}"/>
  </hyperlinks>
  <pageMargins left="0.7" right="0.7" top="0.75" bottom="0.75" header="0.3" footer="0.3"/>
  <pageSetup paperSize="9" scale="49" orientation="portrait" verticalDpi="0" r:id="rId8"/>
  <rowBreaks count="1" manualBreakCount="1">
    <brk id="78"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F40</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5AA29EA-C908-4549-8002-5A1D4F65D23C}">
          <x14:formula1>
            <xm:f>payscales!$Q$5:$Q$43</xm:f>
          </x14:formula1>
          <xm:sqref>L104 L106:L110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X77"/>
  <sheetViews>
    <sheetView showGridLines="0" topLeftCell="D3" zoomScale="80" zoomScaleNormal="80" workbookViewId="0">
      <selection activeCell="M15" sqref="M15"/>
    </sheetView>
  </sheetViews>
  <sheetFormatPr defaultColWidth="9.1796875" defaultRowHeight="12.5" x14ac:dyDescent="0.25"/>
  <cols>
    <col min="1" max="1" width="3.54296875" style="3" customWidth="1"/>
    <col min="2" max="2" width="45.54296875" style="3" customWidth="1"/>
    <col min="3" max="3" width="40.453125" style="3" customWidth="1"/>
    <col min="4" max="4" width="11.81640625" style="3" customWidth="1"/>
    <col min="5" max="5" width="11.453125" style="3" customWidth="1"/>
    <col min="6" max="6" width="10.81640625" style="3" customWidth="1"/>
    <col min="7" max="7" width="10.453125" style="3" bestFit="1" customWidth="1"/>
    <col min="8" max="8" width="11.1796875" style="3" customWidth="1"/>
    <col min="9" max="9" width="11" style="3" customWidth="1"/>
    <col min="10" max="10" width="11.453125" style="3" customWidth="1"/>
    <col min="11" max="12" width="10.54296875" style="3" customWidth="1"/>
    <col min="13" max="13" width="12.54296875" style="3" customWidth="1"/>
    <col min="14" max="14" width="13.54296875" style="3" customWidth="1"/>
    <col min="15" max="15" width="15.1796875" style="3" customWidth="1"/>
    <col min="16" max="16" width="12.453125" style="3" customWidth="1"/>
    <col min="17" max="17" width="19.1796875" style="3" customWidth="1"/>
    <col min="18" max="20" width="12.1796875" style="3" customWidth="1"/>
    <col min="21" max="21" width="3.453125" style="3" customWidth="1"/>
    <col min="22" max="22" width="9.453125" style="3" customWidth="1"/>
    <col min="23" max="16384" width="9.1796875" style="3"/>
  </cols>
  <sheetData>
    <row r="1" spans="1:24" ht="30" customHeight="1" x14ac:dyDescent="0.5">
      <c r="A1" s="191"/>
      <c r="B1" s="493" t="str">
        <f>'Inputs and eligible population'!B1</f>
        <v xml:space="preserve">Pembrolizumab as neoadjuvant (with chemotherapy) and adjuvant (as monotherapy) treatment for resectable non-small-cell lung cancer </v>
      </c>
      <c r="C1" s="147"/>
      <c r="D1" s="131"/>
      <c r="E1" s="131"/>
      <c r="F1" s="131"/>
      <c r="G1" s="131"/>
      <c r="H1" s="131"/>
      <c r="I1" s="131"/>
      <c r="J1" s="131" t="s">
        <v>745</v>
      </c>
      <c r="K1" s="131" t="s">
        <v>745</v>
      </c>
      <c r="L1" s="131" t="s">
        <v>745</v>
      </c>
      <c r="M1" s="131" t="s">
        <v>745</v>
      </c>
      <c r="N1" s="152"/>
      <c r="O1" s="152"/>
      <c r="P1" s="152"/>
      <c r="Q1" s="191"/>
      <c r="R1" s="191"/>
      <c r="S1" s="191"/>
      <c r="T1" s="191"/>
      <c r="U1" s="191"/>
    </row>
    <row r="2" spans="1:24" ht="26.25" customHeight="1" x14ac:dyDescent="0.5">
      <c r="A2" s="191"/>
      <c r="B2" s="145" t="s">
        <v>42</v>
      </c>
      <c r="C2" s="146" t="s">
        <v>745</v>
      </c>
      <c r="D2" s="131" t="s">
        <v>745</v>
      </c>
      <c r="E2" s="131" t="s">
        <v>745</v>
      </c>
      <c r="F2" s="131" t="s">
        <v>745</v>
      </c>
      <c r="G2" s="131" t="s">
        <v>745</v>
      </c>
      <c r="H2" s="131" t="s">
        <v>745</v>
      </c>
      <c r="I2" s="131" t="s">
        <v>745</v>
      </c>
      <c r="J2" s="131" t="s">
        <v>745</v>
      </c>
      <c r="K2" s="132" t="s">
        <v>745</v>
      </c>
      <c r="L2" s="829" t="s">
        <v>1082</v>
      </c>
      <c r="M2" s="132"/>
      <c r="N2" s="132"/>
      <c r="O2" s="132"/>
      <c r="P2" s="132"/>
      <c r="Q2" s="191"/>
      <c r="R2" s="191"/>
      <c r="S2" s="191"/>
      <c r="T2" s="191"/>
      <c r="U2" s="191"/>
    </row>
    <row r="3" spans="1:24" ht="14.75" customHeight="1" x14ac:dyDescent="0.5">
      <c r="A3" s="191"/>
      <c r="B3" s="129"/>
      <c r="C3" s="147"/>
      <c r="D3" s="131"/>
      <c r="E3" s="131"/>
      <c r="F3" s="131"/>
      <c r="G3" s="131" t="s">
        <v>745</v>
      </c>
      <c r="H3" s="131" t="s">
        <v>745</v>
      </c>
      <c r="I3" s="131" t="s">
        <v>745</v>
      </c>
      <c r="J3" s="131" t="s">
        <v>745</v>
      </c>
      <c r="K3" s="132" t="s">
        <v>745</v>
      </c>
      <c r="L3" s="829" t="s">
        <v>1083</v>
      </c>
      <c r="M3" s="132"/>
      <c r="N3" s="132"/>
      <c r="O3" s="132"/>
      <c r="P3" s="132"/>
      <c r="Q3" s="191"/>
      <c r="R3" s="191"/>
      <c r="S3" s="191"/>
      <c r="T3" s="191"/>
      <c r="U3" s="191"/>
    </row>
    <row r="4" spans="1:24" ht="14.75" customHeight="1" x14ac:dyDescent="0.5">
      <c r="A4" s="191"/>
      <c r="B4" t="s">
        <v>746</v>
      </c>
      <c r="C4" s="147"/>
      <c r="D4" s="131"/>
      <c r="E4" s="131"/>
      <c r="F4" s="131"/>
      <c r="G4" s="131" t="s">
        <v>745</v>
      </c>
      <c r="H4" s="131" t="s">
        <v>745</v>
      </c>
      <c r="I4" s="131" t="s">
        <v>745</v>
      </c>
      <c r="J4" s="131" t="s">
        <v>745</v>
      </c>
      <c r="K4" s="132" t="s">
        <v>745</v>
      </c>
      <c r="L4" s="131"/>
      <c r="M4" s="132"/>
      <c r="N4" s="132"/>
      <c r="O4" s="132"/>
      <c r="P4" s="132"/>
      <c r="Q4" s="132"/>
      <c r="R4" s="132"/>
      <c r="S4" s="132"/>
      <c r="T4" s="132"/>
      <c r="U4" s="132"/>
    </row>
    <row r="5" spans="1:24" ht="14.75" customHeight="1" x14ac:dyDescent="0.5">
      <c r="A5" s="191"/>
      <c r="B5" t="s">
        <v>659</v>
      </c>
      <c r="C5" s="147"/>
      <c r="D5" s="131"/>
      <c r="E5" s="131"/>
      <c r="F5" s="131"/>
      <c r="G5" s="131"/>
      <c r="H5" s="131" t="s">
        <v>745</v>
      </c>
      <c r="I5" s="131" t="s">
        <v>745</v>
      </c>
      <c r="J5" s="131" t="s">
        <v>745</v>
      </c>
      <c r="K5" s="132" t="s">
        <v>745</v>
      </c>
      <c r="L5" s="131"/>
      <c r="M5" s="132"/>
      <c r="N5" s="132"/>
      <c r="O5" s="132"/>
      <c r="P5" s="132"/>
      <c r="Q5" s="132"/>
      <c r="R5" s="132"/>
      <c r="S5" s="132"/>
      <c r="T5" s="132"/>
      <c r="U5" s="132"/>
    </row>
    <row r="6" spans="1:24" ht="14.75" customHeight="1" thickBot="1" x14ac:dyDescent="0.55000000000000004">
      <c r="A6" s="191"/>
      <c r="B6"/>
      <c r="C6" s="147"/>
      <c r="D6" s="131"/>
      <c r="E6" s="131"/>
      <c r="F6" s="131"/>
      <c r="G6" s="131"/>
      <c r="H6" s="131"/>
      <c r="I6" s="131"/>
      <c r="J6" s="131"/>
      <c r="K6" s="132"/>
      <c r="L6" s="131"/>
      <c r="M6" s="132"/>
      <c r="N6" s="132"/>
      <c r="O6" s="132"/>
      <c r="P6" s="132"/>
      <c r="Q6" s="132"/>
      <c r="R6" s="132"/>
      <c r="S6" s="132"/>
      <c r="T6" s="132"/>
      <c r="U6" s="132"/>
    </row>
    <row r="7" spans="1:24" s="243" customFormat="1" ht="14.5" x14ac:dyDescent="0.35">
      <c r="A7" s="245"/>
      <c r="B7" s="241" t="s">
        <v>747</v>
      </c>
      <c r="C7" s="241" t="s">
        <v>941</v>
      </c>
      <c r="D7" s="618" t="s">
        <v>748</v>
      </c>
      <c r="E7" s="619"/>
      <c r="F7" s="619"/>
      <c r="G7" s="619"/>
      <c r="H7" s="620"/>
      <c r="I7" s="618" t="s">
        <v>749</v>
      </c>
      <c r="J7" s="619"/>
      <c r="K7" s="619"/>
      <c r="L7" s="619"/>
      <c r="M7" s="619"/>
      <c r="N7" s="619"/>
      <c r="O7" s="619"/>
      <c r="P7" s="619"/>
      <c r="Q7" s="619"/>
      <c r="R7" s="619"/>
      <c r="S7" s="619"/>
      <c r="T7" s="620"/>
      <c r="U7" s="245"/>
      <c r="X7" s="3"/>
    </row>
    <row r="8" spans="1:24" s="243" customFormat="1" ht="60" customHeight="1" x14ac:dyDescent="0.35">
      <c r="A8" s="245"/>
      <c r="B8" s="244" t="s">
        <v>750</v>
      </c>
      <c r="C8" s="246" t="s">
        <v>751</v>
      </c>
      <c r="D8" s="621" t="s">
        <v>752</v>
      </c>
      <c r="E8" s="247" t="s">
        <v>753</v>
      </c>
      <c r="F8" s="247" t="s">
        <v>754</v>
      </c>
      <c r="G8" s="247" t="s">
        <v>755</v>
      </c>
      <c r="H8" s="622" t="s">
        <v>756</v>
      </c>
      <c r="I8" s="633" t="s">
        <v>757</v>
      </c>
      <c r="J8" s="244" t="s">
        <v>758</v>
      </c>
      <c r="K8" s="247" t="s">
        <v>759</v>
      </c>
      <c r="L8" s="247" t="s">
        <v>760</v>
      </c>
      <c r="M8" s="247" t="s">
        <v>909</v>
      </c>
      <c r="N8" s="247" t="s">
        <v>908</v>
      </c>
      <c r="O8" s="668" t="s">
        <v>910</v>
      </c>
      <c r="P8" s="628" t="s">
        <v>912</v>
      </c>
      <c r="Q8" s="628" t="s">
        <v>1058</v>
      </c>
      <c r="R8" s="246" t="s">
        <v>911</v>
      </c>
      <c r="S8" s="244" t="s">
        <v>762</v>
      </c>
      <c r="T8" s="622" t="s">
        <v>763</v>
      </c>
      <c r="U8" s="245"/>
      <c r="X8" s="3"/>
    </row>
    <row r="9" spans="1:24" s="243" customFormat="1" ht="15" thickBot="1" x14ac:dyDescent="0.4">
      <c r="A9" s="245"/>
      <c r="B9" s="692" t="s">
        <v>940</v>
      </c>
      <c r="C9" s="703" t="s">
        <v>941</v>
      </c>
      <c r="D9" s="623" t="s">
        <v>764</v>
      </c>
      <c r="E9" s="594" t="s">
        <v>765</v>
      </c>
      <c r="F9" s="595">
        <v>100</v>
      </c>
      <c r="G9" s="595">
        <v>1</v>
      </c>
      <c r="H9" s="624">
        <v>100</v>
      </c>
      <c r="I9" s="634">
        <v>200</v>
      </c>
      <c r="J9" s="596" t="s">
        <v>766</v>
      </c>
      <c r="K9" s="596" t="s">
        <v>766</v>
      </c>
      <c r="L9" s="595">
        <f>I9</f>
        <v>200</v>
      </c>
      <c r="M9" s="593">
        <f>'Inputs and eligible population'!F55</f>
        <v>3.6</v>
      </c>
      <c r="N9" s="593">
        <f>L9/H9</f>
        <v>2</v>
      </c>
      <c r="O9" s="593">
        <f>ROUNDUP(M9*N9,0)</f>
        <v>8</v>
      </c>
      <c r="P9" s="669"/>
      <c r="Q9" s="597">
        <f>'Inputs and eligible population'!I63</f>
        <v>0</v>
      </c>
      <c r="R9" s="686"/>
      <c r="S9" s="598">
        <f>'Inputs and eligible population'!J63</f>
        <v>0.2</v>
      </c>
      <c r="T9" s="635">
        <f>O9*Q9*(100%+S9)</f>
        <v>0</v>
      </c>
      <c r="U9" s="245"/>
      <c r="X9" s="3"/>
    </row>
    <row r="10" spans="1:24" s="243" customFormat="1" ht="14.5" x14ac:dyDescent="0.35">
      <c r="A10" s="245"/>
      <c r="B10" s="679" t="s">
        <v>914</v>
      </c>
      <c r="C10" s="674" t="s">
        <v>913</v>
      </c>
      <c r="D10" s="677" t="s">
        <v>764</v>
      </c>
      <c r="E10" s="594" t="s">
        <v>765</v>
      </c>
      <c r="F10" s="595">
        <v>75</v>
      </c>
      <c r="G10" s="595">
        <v>1</v>
      </c>
      <c r="H10" s="624">
        <f>F10*G10</f>
        <v>75</v>
      </c>
      <c r="I10" s="634">
        <f>H10*J10</f>
        <v>138.75</v>
      </c>
      <c r="J10" s="596">
        <v>1.85</v>
      </c>
      <c r="K10" s="596" t="s">
        <v>766</v>
      </c>
      <c r="L10" s="595">
        <f>I10</f>
        <v>138.75</v>
      </c>
      <c r="M10" s="593">
        <v>3.6</v>
      </c>
      <c r="N10" s="593">
        <f>1+4</f>
        <v>5</v>
      </c>
      <c r="O10" s="629">
        <f>N10*M10</f>
        <v>18</v>
      </c>
      <c r="P10" s="693"/>
      <c r="Q10" s="597">
        <f>(C40*4)+(C39*1)</f>
        <v>42.19</v>
      </c>
      <c r="R10" s="635">
        <f>$Q$10*$M$10</f>
        <v>151.88399999999999</v>
      </c>
      <c r="S10" s="598">
        <f>'Inputs and eligible population'!J67</f>
        <v>0.2</v>
      </c>
      <c r="T10" s="687"/>
      <c r="U10" s="245"/>
      <c r="X10" s="3"/>
    </row>
    <row r="11" spans="1:24" s="243" customFormat="1" ht="15" thickBot="1" x14ac:dyDescent="0.4">
      <c r="A11" s="245"/>
      <c r="B11" s="679" t="s">
        <v>916</v>
      </c>
      <c r="C11" s="675" t="s">
        <v>915</v>
      </c>
      <c r="D11" s="677" t="s">
        <v>764</v>
      </c>
      <c r="E11" s="594" t="s">
        <v>765</v>
      </c>
      <c r="F11" s="672">
        <v>1000</v>
      </c>
      <c r="G11" s="595">
        <v>1</v>
      </c>
      <c r="H11" s="624">
        <f t="shared" ref="H11:H13" si="0">F11*G11</f>
        <v>1000</v>
      </c>
      <c r="I11" s="634">
        <f t="shared" ref="I11:I13" si="1">H11*J11</f>
        <v>1850</v>
      </c>
      <c r="J11" s="596">
        <v>1.85</v>
      </c>
      <c r="K11" s="596" t="s">
        <v>766</v>
      </c>
      <c r="L11" s="595">
        <f>I11*2</f>
        <v>3700</v>
      </c>
      <c r="M11" s="593">
        <v>3.6</v>
      </c>
      <c r="N11" s="593">
        <f>ROUNDUP(L11/2000,0)</f>
        <v>2</v>
      </c>
      <c r="O11" s="629">
        <f t="shared" ref="O11:O13" si="2">N11*M11</f>
        <v>7.2</v>
      </c>
      <c r="P11" s="670">
        <v>0.439</v>
      </c>
      <c r="Q11" s="673">
        <f>C41</f>
        <v>17.97</v>
      </c>
      <c r="R11" s="635">
        <f>$Q$11*$O$11</f>
        <v>129.38399999999999</v>
      </c>
      <c r="S11" s="598">
        <f>'Inputs and eligible population'!J69</f>
        <v>0.2</v>
      </c>
      <c r="T11" s="635">
        <f>(R10+R11)*(100%+S11)*P11</f>
        <v>148.17198239999999</v>
      </c>
      <c r="U11" s="245"/>
      <c r="X11" s="3"/>
    </row>
    <row r="12" spans="1:24" s="243" customFormat="1" ht="14.5" x14ac:dyDescent="0.35">
      <c r="A12" s="245"/>
      <c r="B12" s="679" t="s">
        <v>914</v>
      </c>
      <c r="C12" s="674" t="s">
        <v>917</v>
      </c>
      <c r="D12" s="677" t="s">
        <v>764</v>
      </c>
      <c r="E12" s="594" t="s">
        <v>765</v>
      </c>
      <c r="F12" s="672">
        <v>75</v>
      </c>
      <c r="G12" s="595">
        <v>1</v>
      </c>
      <c r="H12" s="624">
        <f t="shared" si="0"/>
        <v>75</v>
      </c>
      <c r="I12" s="634">
        <f t="shared" si="1"/>
        <v>138.75</v>
      </c>
      <c r="J12" s="596">
        <v>1.85</v>
      </c>
      <c r="K12" s="596" t="s">
        <v>766</v>
      </c>
      <c r="L12" s="595">
        <f t="shared" ref="L12:L13" si="3">I12</f>
        <v>138.75</v>
      </c>
      <c r="M12" s="593">
        <v>3.6</v>
      </c>
      <c r="N12" s="593">
        <f>1+4</f>
        <v>5</v>
      </c>
      <c r="O12" s="629">
        <f t="shared" si="2"/>
        <v>18</v>
      </c>
      <c r="P12" s="694"/>
      <c r="Q12" s="673">
        <f>(C40*4+C39*1)</f>
        <v>42.19</v>
      </c>
      <c r="R12" s="635">
        <f>$Q$12*$M$12</f>
        <v>151.88399999999999</v>
      </c>
      <c r="S12" s="598">
        <f>'Inputs and eligible population'!J67</f>
        <v>0.2</v>
      </c>
      <c r="T12" s="687"/>
      <c r="U12" s="245"/>
      <c r="X12" s="3"/>
    </row>
    <row r="13" spans="1:24" s="243" customFormat="1" ht="15" thickBot="1" x14ac:dyDescent="0.4">
      <c r="A13" s="245"/>
      <c r="B13" s="679" t="s">
        <v>914</v>
      </c>
      <c r="C13" s="675" t="s">
        <v>918</v>
      </c>
      <c r="D13" s="625" t="s">
        <v>764</v>
      </c>
      <c r="E13" s="626" t="s">
        <v>765</v>
      </c>
      <c r="F13" s="627">
        <v>500</v>
      </c>
      <c r="G13" s="595">
        <v>1</v>
      </c>
      <c r="H13" s="624">
        <f t="shared" si="0"/>
        <v>500</v>
      </c>
      <c r="I13" s="634">
        <f t="shared" si="1"/>
        <v>925</v>
      </c>
      <c r="J13" s="596">
        <v>1.85</v>
      </c>
      <c r="K13" s="596" t="s">
        <v>766</v>
      </c>
      <c r="L13" s="595">
        <f t="shared" si="3"/>
        <v>925</v>
      </c>
      <c r="M13" s="593">
        <v>3.6</v>
      </c>
      <c r="N13" s="593">
        <f>ROUNDUP(L13/1000,0)</f>
        <v>1</v>
      </c>
      <c r="O13" s="629">
        <f t="shared" si="2"/>
        <v>3.6</v>
      </c>
      <c r="P13" s="671">
        <v>0.56100000000000005</v>
      </c>
      <c r="Q13" s="636">
        <f>C45</f>
        <v>11.04</v>
      </c>
      <c r="R13" s="635">
        <f>$Q$13*$M$13</f>
        <v>39.744</v>
      </c>
      <c r="S13" s="598">
        <f>'Inputs and eligible population'!J73</f>
        <v>0.2</v>
      </c>
      <c r="T13" s="635">
        <f>(R12+R13)*(100%+S13)*P13</f>
        <v>129.0039696</v>
      </c>
      <c r="U13" s="245"/>
      <c r="X13" s="3"/>
    </row>
    <row r="14" spans="1:24" s="243" customFormat="1" ht="14.5" x14ac:dyDescent="0.35">
      <c r="A14" s="245"/>
      <c r="B14" s="613"/>
      <c r="C14" s="678" t="s">
        <v>767</v>
      </c>
      <c r="D14" s="617"/>
      <c r="E14" s="617"/>
      <c r="F14" s="617"/>
      <c r="G14" s="617"/>
      <c r="H14" s="617"/>
      <c r="I14" s="617"/>
      <c r="J14" s="617"/>
      <c r="K14" s="617"/>
      <c r="L14" s="617"/>
      <c r="M14" s="617"/>
      <c r="N14" s="617"/>
      <c r="O14" s="617"/>
      <c r="P14" s="617"/>
      <c r="Q14" s="617"/>
      <c r="R14" s="617"/>
      <c r="S14" s="631"/>
      <c r="T14" s="842" t="str">
        <f>IF('Inputs and eligible population'!I63="","£0",SUM(T9:T13))</f>
        <v>£0</v>
      </c>
      <c r="U14" s="245"/>
      <c r="X14" s="3"/>
    </row>
    <row r="15" spans="1:24" s="243" customFormat="1" ht="14.5" x14ac:dyDescent="0.35">
      <c r="A15" s="245"/>
      <c r="B15" s="245"/>
      <c r="C15" s="245"/>
      <c r="D15" s="245"/>
      <c r="E15" s="245"/>
      <c r="F15" s="245"/>
      <c r="G15" s="245"/>
      <c r="H15" s="245"/>
      <c r="I15" s="245"/>
      <c r="J15" s="245"/>
      <c r="K15" s="245"/>
      <c r="L15" s="245"/>
      <c r="M15" s="245"/>
      <c r="N15" s="245"/>
      <c r="O15" s="245"/>
      <c r="P15" s="245"/>
      <c r="Q15" s="245"/>
      <c r="R15" s="245"/>
      <c r="S15" s="245"/>
      <c r="T15" s="834"/>
      <c r="U15" s="245"/>
      <c r="X15" s="3"/>
    </row>
    <row r="16" spans="1:24" s="243" customFormat="1" ht="15" thickBot="1" x14ac:dyDescent="0.4">
      <c r="A16" s="245"/>
      <c r="B16" s="831"/>
      <c r="C16" s="245"/>
      <c r="D16" s="245"/>
      <c r="E16" s="245"/>
      <c r="F16" s="245"/>
      <c r="G16" s="245"/>
      <c r="H16" s="245"/>
      <c r="I16" s="245"/>
      <c r="J16" s="245"/>
      <c r="K16" s="245"/>
      <c r="L16" s="245"/>
      <c r="M16" s="245"/>
      <c r="N16" s="245"/>
      <c r="O16" s="245"/>
      <c r="P16" s="245"/>
      <c r="Q16" s="245"/>
      <c r="R16" s="245"/>
      <c r="S16" s="245"/>
      <c r="T16" s="611"/>
      <c r="U16" s="245"/>
      <c r="X16" s="3"/>
    </row>
    <row r="17" spans="1:24" s="243" customFormat="1" ht="14.5" x14ac:dyDescent="0.35">
      <c r="A17" s="245"/>
      <c r="B17" s="835" t="s">
        <v>1088</v>
      </c>
      <c r="C17" s="241" t="s">
        <v>1033</v>
      </c>
      <c r="D17" s="618" t="s">
        <v>748</v>
      </c>
      <c r="E17" s="619"/>
      <c r="F17" s="619"/>
      <c r="G17" s="619"/>
      <c r="H17" s="620"/>
      <c r="I17" s="618" t="s">
        <v>749</v>
      </c>
      <c r="J17" s="638"/>
      <c r="K17" s="638"/>
      <c r="L17" s="638"/>
      <c r="M17" s="638"/>
      <c r="N17" s="638"/>
      <c r="O17" s="638"/>
      <c r="P17" s="638"/>
      <c r="Q17" s="638"/>
      <c r="R17" s="638"/>
      <c r="S17" s="638"/>
      <c r="T17" s="639"/>
      <c r="U17" s="245"/>
      <c r="X17" s="3"/>
    </row>
    <row r="18" spans="1:24" s="243" customFormat="1" ht="14.5" x14ac:dyDescent="0.35">
      <c r="A18" s="245"/>
      <c r="B18" s="692" t="s">
        <v>1083</v>
      </c>
      <c r="C18" s="703" t="s">
        <v>1033</v>
      </c>
      <c r="D18" s="623" t="s">
        <v>764</v>
      </c>
      <c r="E18" s="594" t="s">
        <v>765</v>
      </c>
      <c r="F18" s="595">
        <v>100</v>
      </c>
      <c r="G18" s="595">
        <v>1</v>
      </c>
      <c r="H18" s="624">
        <f>G18*F18</f>
        <v>100</v>
      </c>
      <c r="I18" s="832">
        <f>IF(B18="200mg every 3wks",200,400)</f>
        <v>400</v>
      </c>
      <c r="J18" s="596" t="s">
        <v>766</v>
      </c>
      <c r="K18" s="596" t="s">
        <v>766</v>
      </c>
      <c r="L18" s="595">
        <f>I18</f>
        <v>400</v>
      </c>
      <c r="M18" s="833">
        <f>IF(B18="200mg every 3wks",'Inputs and eligible population'!K56,'Inputs and eligible population'!K57)</f>
        <v>5.25</v>
      </c>
      <c r="N18" s="593">
        <f>L18/H18</f>
        <v>4</v>
      </c>
      <c r="O18" s="593">
        <f>ROUNDUP(M18*N18,0)</f>
        <v>21</v>
      </c>
      <c r="P18" s="593"/>
      <c r="Q18" s="597">
        <f>'Inputs and eligible population'!I63</f>
        <v>0</v>
      </c>
      <c r="R18" s="597"/>
      <c r="S18" s="598">
        <f>'Inputs and eligible population'!J63</f>
        <v>0.2</v>
      </c>
      <c r="T18" s="635">
        <f>O18*Q18*(100%+S18)</f>
        <v>0</v>
      </c>
      <c r="U18" s="245"/>
      <c r="X18" s="3"/>
    </row>
    <row r="19" spans="1:24" s="243" customFormat="1" ht="14.5" x14ac:dyDescent="0.35">
      <c r="A19" s="245"/>
      <c r="B19" s="613"/>
      <c r="C19" s="248" t="s">
        <v>767</v>
      </c>
      <c r="D19" s="617"/>
      <c r="E19" s="617"/>
      <c r="F19" s="617"/>
      <c r="G19" s="617"/>
      <c r="H19" s="617"/>
      <c r="I19" s="617"/>
      <c r="J19" s="617"/>
      <c r="K19" s="617"/>
      <c r="L19" s="617"/>
      <c r="M19" s="617"/>
      <c r="N19" s="637"/>
      <c r="O19" s="637"/>
      <c r="P19" s="637"/>
      <c r="Q19" s="617"/>
      <c r="R19" s="617"/>
      <c r="S19" s="631"/>
      <c r="T19" s="632">
        <f>SUM(T18:T18)</f>
        <v>0</v>
      </c>
      <c r="U19" s="245"/>
      <c r="X19" s="3"/>
    </row>
    <row r="20" spans="1:24" s="243" customFormat="1" ht="14.5" x14ac:dyDescent="0.35">
      <c r="A20" s="245"/>
      <c r="B20" s="245"/>
      <c r="C20" s="245"/>
      <c r="D20" s="245"/>
      <c r="E20" s="245"/>
      <c r="F20" s="245"/>
      <c r="G20" s="245"/>
      <c r="H20" s="245"/>
      <c r="I20" s="245"/>
      <c r="J20" s="245"/>
      <c r="K20" s="245"/>
      <c r="L20" s="245"/>
      <c r="M20" s="245"/>
      <c r="N20" s="574"/>
      <c r="O20" s="574"/>
      <c r="P20" s="574"/>
      <c r="Q20" s="245"/>
      <c r="R20" s="245"/>
      <c r="S20" s="245"/>
      <c r="T20" s="630"/>
      <c r="U20" s="245"/>
      <c r="X20" s="3"/>
    </row>
    <row r="21" spans="1:24" s="243" customFormat="1" ht="14.5" x14ac:dyDescent="0.35">
      <c r="A21" s="245"/>
      <c r="B21" s="241" t="s">
        <v>931</v>
      </c>
      <c r="C21" s="245"/>
      <c r="D21" s="245"/>
      <c r="E21" s="245"/>
      <c r="F21" s="245"/>
      <c r="G21" s="245"/>
      <c r="H21" s="245"/>
      <c r="I21" s="245"/>
      <c r="J21" s="245"/>
      <c r="K21" s="245"/>
      <c r="L21" s="245"/>
      <c r="M21" s="245"/>
      <c r="N21" s="574"/>
      <c r="O21" s="574"/>
      <c r="P21" s="574"/>
      <c r="Q21" s="617"/>
      <c r="R21" s="245"/>
      <c r="S21" s="245"/>
      <c r="T21" s="611"/>
      <c r="U21" s="245"/>
      <c r="X21" s="3"/>
    </row>
    <row r="22" spans="1:24" s="243" customFormat="1" ht="58" x14ac:dyDescent="0.35">
      <c r="A22" s="245"/>
      <c r="B22" s="244" t="s">
        <v>750</v>
      </c>
      <c r="C22" s="246" t="s">
        <v>751</v>
      </c>
      <c r="D22" s="621" t="s">
        <v>752</v>
      </c>
      <c r="E22" s="247" t="s">
        <v>753</v>
      </c>
      <c r="F22" s="247" t="s">
        <v>754</v>
      </c>
      <c r="G22" s="247" t="s">
        <v>755</v>
      </c>
      <c r="H22" s="622" t="s">
        <v>756</v>
      </c>
      <c r="I22" s="633" t="s">
        <v>757</v>
      </c>
      <c r="J22" s="247" t="s">
        <v>923</v>
      </c>
      <c r="K22" s="247" t="s">
        <v>759</v>
      </c>
      <c r="L22" s="247" t="s">
        <v>760</v>
      </c>
      <c r="M22" s="247" t="s">
        <v>909</v>
      </c>
      <c r="N22" s="247" t="s">
        <v>908</v>
      </c>
      <c r="O22" s="668" t="s">
        <v>910</v>
      </c>
      <c r="P22" s="628" t="s">
        <v>912</v>
      </c>
      <c r="Q22" s="628" t="s">
        <v>1058</v>
      </c>
      <c r="R22" s="246" t="s">
        <v>911</v>
      </c>
      <c r="S22" s="244" t="s">
        <v>762</v>
      </c>
      <c r="T22" s="622" t="s">
        <v>763</v>
      </c>
      <c r="U22" s="245"/>
      <c r="X22" s="3"/>
    </row>
    <row r="23" spans="1:24" s="243" customFormat="1" ht="15" thickBot="1" x14ac:dyDescent="0.4">
      <c r="A23" s="245"/>
      <c r="B23" s="692" t="s">
        <v>939</v>
      </c>
      <c r="C23" s="616" t="s">
        <v>922</v>
      </c>
      <c r="D23" s="623" t="s">
        <v>764</v>
      </c>
      <c r="E23" s="594" t="s">
        <v>765</v>
      </c>
      <c r="F23" s="595">
        <v>120</v>
      </c>
      <c r="G23" s="595">
        <v>1</v>
      </c>
      <c r="H23" s="624">
        <f>G23*F23</f>
        <v>120</v>
      </c>
      <c r="I23" s="634">
        <v>360</v>
      </c>
      <c r="J23" s="596" t="s">
        <v>766</v>
      </c>
      <c r="K23" s="596" t="s">
        <v>766</v>
      </c>
      <c r="L23" s="595">
        <f>I23</f>
        <v>360</v>
      </c>
      <c r="M23" s="593">
        <f>'Inputs and eligible population'!F58</f>
        <v>2.8</v>
      </c>
      <c r="N23" s="599">
        <f>L23/H23</f>
        <v>3</v>
      </c>
      <c r="O23" s="593">
        <f>M23*N23</f>
        <v>8.3999999999999986</v>
      </c>
      <c r="P23" s="669"/>
      <c r="Q23" s="597">
        <f>'Inputs and eligible population'!I64</f>
        <v>0</v>
      </c>
      <c r="R23" s="686"/>
      <c r="S23" s="598">
        <v>0.2</v>
      </c>
      <c r="T23" s="635">
        <f>O23*Q23*(100%+S23)</f>
        <v>0</v>
      </c>
      <c r="U23" s="245"/>
      <c r="X23" s="3"/>
    </row>
    <row r="24" spans="1:24" s="243" customFormat="1" ht="14.5" x14ac:dyDescent="0.35">
      <c r="A24" s="245"/>
      <c r="B24" s="680" t="s">
        <v>924</v>
      </c>
      <c r="C24" s="674" t="s">
        <v>917</v>
      </c>
      <c r="D24" s="677" t="s">
        <v>764</v>
      </c>
      <c r="E24" s="594" t="s">
        <v>765</v>
      </c>
      <c r="F24" s="689">
        <v>75</v>
      </c>
      <c r="G24" s="595">
        <v>1</v>
      </c>
      <c r="H24" s="624">
        <f t="shared" ref="H24:H29" si="4">G24*F24</f>
        <v>75</v>
      </c>
      <c r="I24" s="689">
        <v>75</v>
      </c>
      <c r="J24" s="688">
        <v>1.85</v>
      </c>
      <c r="K24" s="596"/>
      <c r="L24" s="595">
        <f>J24*I24</f>
        <v>138.75</v>
      </c>
      <c r="M24" s="593">
        <v>2.8</v>
      </c>
      <c r="N24" s="599">
        <f>1+4</f>
        <v>5</v>
      </c>
      <c r="O24" s="593">
        <f t="shared" ref="O24:O29" si="5">M24*N24</f>
        <v>14</v>
      </c>
      <c r="P24" s="691"/>
      <c r="Q24" s="597">
        <f>C40*4+1*C39</f>
        <v>42.19</v>
      </c>
      <c r="R24" s="597">
        <f>Q24*M24</f>
        <v>118.13199999999999</v>
      </c>
      <c r="S24" s="598">
        <v>0.2</v>
      </c>
      <c r="T24" s="687"/>
      <c r="U24" s="245"/>
      <c r="X24" s="3"/>
    </row>
    <row r="25" spans="1:24" s="243" customFormat="1" ht="15" thickBot="1" x14ac:dyDescent="0.4">
      <c r="A25" s="245"/>
      <c r="B25" s="680" t="s">
        <v>924</v>
      </c>
      <c r="C25" s="675" t="s">
        <v>918</v>
      </c>
      <c r="D25" s="677" t="s">
        <v>764</v>
      </c>
      <c r="E25" s="594" t="s">
        <v>765</v>
      </c>
      <c r="F25" s="689">
        <v>500</v>
      </c>
      <c r="G25" s="595">
        <v>1</v>
      </c>
      <c r="H25" s="624">
        <f t="shared" si="4"/>
        <v>500</v>
      </c>
      <c r="I25" s="689">
        <v>500</v>
      </c>
      <c r="J25" s="688">
        <v>1.85</v>
      </c>
      <c r="K25" s="596"/>
      <c r="L25" s="595">
        <f t="shared" ref="L25:L29" si="6">J25*I25</f>
        <v>925</v>
      </c>
      <c r="M25" s="593">
        <v>2.8</v>
      </c>
      <c r="N25" s="599">
        <f>ROUNDUP(L25/1000,0)</f>
        <v>1</v>
      </c>
      <c r="O25" s="593">
        <f t="shared" si="5"/>
        <v>2.8</v>
      </c>
      <c r="P25" s="690">
        <v>0.42</v>
      </c>
      <c r="Q25" s="597">
        <f>C45</f>
        <v>11.04</v>
      </c>
      <c r="R25" s="597">
        <f>Q25*O25</f>
        <v>30.911999999999995</v>
      </c>
      <c r="S25" s="598">
        <v>0.2</v>
      </c>
      <c r="T25" s="635">
        <f>(R24+R25)*(100%+S25)*P25</f>
        <v>75.118175999999991</v>
      </c>
      <c r="U25" s="245"/>
      <c r="X25" s="3"/>
    </row>
    <row r="26" spans="1:24" s="243" customFormat="1" ht="14.5" x14ac:dyDescent="0.35">
      <c r="A26" s="245"/>
      <c r="B26" s="680" t="s">
        <v>924</v>
      </c>
      <c r="C26" s="676" t="s">
        <v>913</v>
      </c>
      <c r="D26" s="677" t="s">
        <v>764</v>
      </c>
      <c r="E26" s="594" t="s">
        <v>765</v>
      </c>
      <c r="F26" s="689">
        <v>75</v>
      </c>
      <c r="G26" s="595">
        <v>1</v>
      </c>
      <c r="H26" s="624">
        <f t="shared" si="4"/>
        <v>75</v>
      </c>
      <c r="I26" s="689">
        <v>75</v>
      </c>
      <c r="J26" s="688">
        <v>1.85</v>
      </c>
      <c r="K26" s="596"/>
      <c r="L26" s="595">
        <f t="shared" si="6"/>
        <v>138.75</v>
      </c>
      <c r="M26" s="593">
        <v>2.8</v>
      </c>
      <c r="N26" s="599">
        <f>N24</f>
        <v>5</v>
      </c>
      <c r="O26" s="593">
        <f t="shared" si="5"/>
        <v>14</v>
      </c>
      <c r="P26" s="691"/>
      <c r="Q26" s="597">
        <f>C40*4+C39*1</f>
        <v>42.19</v>
      </c>
      <c r="R26" s="597">
        <f>Q26*M26</f>
        <v>118.13199999999999</v>
      </c>
      <c r="S26" s="598">
        <v>0.2</v>
      </c>
      <c r="T26" s="687"/>
      <c r="U26" s="245"/>
      <c r="X26" s="3"/>
    </row>
    <row r="27" spans="1:24" s="243" customFormat="1" ht="15" thickBot="1" x14ac:dyDescent="0.4">
      <c r="A27" s="245"/>
      <c r="B27" s="680" t="s">
        <v>925</v>
      </c>
      <c r="C27" s="675" t="s">
        <v>915</v>
      </c>
      <c r="D27" s="623" t="s">
        <v>764</v>
      </c>
      <c r="E27" s="594" t="s">
        <v>765</v>
      </c>
      <c r="F27" s="689">
        <v>1250</v>
      </c>
      <c r="G27" s="595">
        <v>1</v>
      </c>
      <c r="H27" s="624">
        <f t="shared" si="4"/>
        <v>1250</v>
      </c>
      <c r="I27" s="689">
        <v>1250</v>
      </c>
      <c r="J27" s="688">
        <v>1.85</v>
      </c>
      <c r="K27" s="596"/>
      <c r="L27" s="595">
        <f>J27*I27*2</f>
        <v>4625</v>
      </c>
      <c r="M27" s="593">
        <v>2.8</v>
      </c>
      <c r="N27" s="599">
        <f>ROUNDUP(L27/1000,0)</f>
        <v>5</v>
      </c>
      <c r="O27" s="593">
        <f t="shared" si="5"/>
        <v>14</v>
      </c>
      <c r="P27" s="690">
        <v>0.31</v>
      </c>
      <c r="Q27" s="597">
        <f>C42</f>
        <v>9.86</v>
      </c>
      <c r="R27" s="597">
        <f>Q27*O27</f>
        <v>138.04</v>
      </c>
      <c r="S27" s="598">
        <v>0.2</v>
      </c>
      <c r="T27" s="635">
        <f>(R26+R27)*(100%+S27)*P27</f>
        <v>95.29598399999999</v>
      </c>
      <c r="U27" s="245"/>
      <c r="X27" s="3"/>
    </row>
    <row r="28" spans="1:24" s="243" customFormat="1" ht="14.5" x14ac:dyDescent="0.35">
      <c r="A28" s="245"/>
      <c r="B28" s="680" t="s">
        <v>927</v>
      </c>
      <c r="C28" s="676" t="s">
        <v>926</v>
      </c>
      <c r="D28" s="623" t="s">
        <v>764</v>
      </c>
      <c r="E28" s="594" t="s">
        <v>765</v>
      </c>
      <c r="F28" s="689">
        <f>(5+6)/2</f>
        <v>5.5</v>
      </c>
      <c r="G28" s="595">
        <v>1</v>
      </c>
      <c r="H28" s="624">
        <f t="shared" si="4"/>
        <v>5.5</v>
      </c>
      <c r="I28" s="689">
        <f>(5+6)/2</f>
        <v>5.5</v>
      </c>
      <c r="J28" s="688">
        <v>75</v>
      </c>
      <c r="K28" s="596"/>
      <c r="L28" s="595">
        <f t="shared" si="6"/>
        <v>412.5</v>
      </c>
      <c r="M28" s="593">
        <v>2.8</v>
      </c>
      <c r="N28" s="599">
        <f>ROUNDUP(L28/600,0)</f>
        <v>1</v>
      </c>
      <c r="O28" s="593">
        <f t="shared" si="5"/>
        <v>2.8</v>
      </c>
      <c r="P28" s="691"/>
      <c r="Q28" s="597">
        <f>C38</f>
        <v>71.44</v>
      </c>
      <c r="R28" s="597">
        <f>Q28*O28</f>
        <v>200.03199999999998</v>
      </c>
      <c r="S28" s="598">
        <v>0.2</v>
      </c>
      <c r="T28" s="687"/>
      <c r="U28" s="245"/>
      <c r="X28" s="3"/>
    </row>
    <row r="29" spans="1:24" s="243" customFormat="1" ht="15" thickBot="1" x14ac:dyDescent="0.4">
      <c r="A29" s="245"/>
      <c r="B29" s="680" t="s">
        <v>924</v>
      </c>
      <c r="C29" s="675" t="s">
        <v>928</v>
      </c>
      <c r="D29" s="623" t="s">
        <v>764</v>
      </c>
      <c r="E29" s="594" t="s">
        <v>765</v>
      </c>
      <c r="F29" s="689">
        <v>200</v>
      </c>
      <c r="G29" s="595">
        <v>1</v>
      </c>
      <c r="H29" s="624">
        <f t="shared" si="4"/>
        <v>200</v>
      </c>
      <c r="I29" s="689">
        <v>200</v>
      </c>
      <c r="J29" s="688">
        <v>1.85</v>
      </c>
      <c r="K29" s="596"/>
      <c r="L29" s="595">
        <f t="shared" si="6"/>
        <v>370</v>
      </c>
      <c r="M29" s="593">
        <v>2.8</v>
      </c>
      <c r="N29" s="599">
        <f>1+1</f>
        <v>2</v>
      </c>
      <c r="O29" s="593">
        <f t="shared" si="5"/>
        <v>5.6</v>
      </c>
      <c r="P29" s="690">
        <v>0.27</v>
      </c>
      <c r="Q29" s="597">
        <f>C43+C44</f>
        <v>33.56</v>
      </c>
      <c r="R29" s="597">
        <f>Q29*M29</f>
        <v>93.968000000000004</v>
      </c>
      <c r="S29" s="598">
        <v>0.2</v>
      </c>
      <c r="T29" s="635">
        <f>(R28+R29)*(100%+S29)*P29</f>
        <v>95.256000000000014</v>
      </c>
      <c r="U29" s="245"/>
      <c r="X29" s="3"/>
    </row>
    <row r="30" spans="1:24" s="243" customFormat="1" ht="14.5" x14ac:dyDescent="0.35">
      <c r="A30" s="245"/>
      <c r="B30" s="613"/>
      <c r="C30" s="248" t="s">
        <v>767</v>
      </c>
      <c r="D30" s="617"/>
      <c r="E30" s="617"/>
      <c r="F30" s="617"/>
      <c r="G30" s="617"/>
      <c r="H30" s="617"/>
      <c r="I30" s="617"/>
      <c r="J30" s="617"/>
      <c r="K30" s="617"/>
      <c r="L30" s="617"/>
      <c r="M30" s="617"/>
      <c r="N30" s="617"/>
      <c r="O30" s="617"/>
      <c r="P30" s="617"/>
      <c r="Q30" s="617"/>
      <c r="R30" s="617"/>
      <c r="S30" s="631"/>
      <c r="T30" s="842" t="str">
        <f>IF('Inputs and eligible population'!I64="","£0",SUM(T23:T29))</f>
        <v>£0</v>
      </c>
      <c r="U30" s="245"/>
      <c r="X30" s="3"/>
    </row>
    <row r="31" spans="1:24" s="243" customFormat="1" ht="14.5" x14ac:dyDescent="0.35">
      <c r="A31" s="245"/>
      <c r="B31" s="245"/>
      <c r="C31" s="245"/>
      <c r="D31" s="245"/>
      <c r="E31" s="245"/>
      <c r="F31" s="245"/>
      <c r="G31" s="245"/>
      <c r="H31" s="245"/>
      <c r="I31" s="245"/>
      <c r="J31" s="245"/>
      <c r="K31" s="245"/>
      <c r="L31" s="245"/>
      <c r="M31" s="245"/>
      <c r="N31" s="245"/>
      <c r="O31" s="245"/>
      <c r="P31" s="245"/>
      <c r="Q31" s="245"/>
      <c r="R31" s="245"/>
      <c r="S31" s="245"/>
      <c r="T31" s="630"/>
      <c r="U31" s="245"/>
      <c r="X31" s="3"/>
    </row>
    <row r="32" spans="1:24" s="243" customFormat="1" ht="14.5" x14ac:dyDescent="0.35">
      <c r="A32" s="245"/>
      <c r="B32" t="s">
        <v>932</v>
      </c>
      <c r="C32" s="245"/>
      <c r="D32" s="245"/>
      <c r="E32" s="245"/>
      <c r="F32" s="245"/>
      <c r="G32" s="245"/>
      <c r="H32" s="245"/>
      <c r="I32" s="245"/>
      <c r="J32" s="245"/>
      <c r="K32" s="245"/>
      <c r="L32" s="245"/>
      <c r="M32" s="245"/>
      <c r="N32" s="245"/>
      <c r="O32" s="245"/>
      <c r="P32" s="245"/>
      <c r="Q32" s="245"/>
      <c r="R32" s="245"/>
      <c r="S32" s="245"/>
      <c r="T32" s="630"/>
      <c r="U32" s="245"/>
      <c r="X32" s="3"/>
    </row>
    <row r="33" spans="1:24" s="243" customFormat="1" ht="14.5" x14ac:dyDescent="0.35">
      <c r="A33" s="245"/>
      <c r="B33" s="245" t="s">
        <v>1036</v>
      </c>
      <c r="C33" s="245"/>
      <c r="D33" s="245"/>
      <c r="E33" s="245"/>
      <c r="F33" s="245"/>
      <c r="G33" s="245"/>
      <c r="H33" s="245"/>
      <c r="I33" s="245"/>
      <c r="J33" s="245"/>
      <c r="K33" s="245"/>
      <c r="L33" s="245"/>
      <c r="M33" s="245"/>
      <c r="N33" s="245"/>
      <c r="O33" s="245"/>
      <c r="P33" s="245"/>
      <c r="Q33" s="245"/>
      <c r="R33" s="245"/>
      <c r="S33" s="245"/>
      <c r="T33" s="630"/>
      <c r="U33" s="245"/>
      <c r="X33" s="3"/>
    </row>
    <row r="34" spans="1:24" s="243" customFormat="1" ht="14.5" x14ac:dyDescent="0.35">
      <c r="A34" s="245"/>
      <c r="B34" s="245"/>
      <c r="C34" s="245"/>
      <c r="D34" s="245"/>
      <c r="E34" s="245"/>
      <c r="F34" s="245"/>
      <c r="G34" s="245"/>
      <c r="H34" s="245"/>
      <c r="I34" s="245"/>
      <c r="J34" s="245"/>
      <c r="K34" s="245"/>
      <c r="L34" s="245"/>
      <c r="M34" s="245"/>
      <c r="N34" s="245"/>
      <c r="O34" s="245"/>
      <c r="P34" s="245"/>
      <c r="Q34" s="245"/>
      <c r="R34" s="245"/>
      <c r="S34" s="245"/>
      <c r="T34" s="630"/>
      <c r="U34" s="245"/>
      <c r="X34" s="3"/>
    </row>
    <row r="35" spans="1:24" s="243" customFormat="1" ht="14.5" x14ac:dyDescent="0.35">
      <c r="A35" s="245"/>
      <c r="B35" s="681" t="s">
        <v>929</v>
      </c>
      <c r="C35" s="682"/>
      <c r="D35" s="682"/>
      <c r="E35" s="682"/>
      <c r="F35" s="682"/>
      <c r="G35" s="682"/>
      <c r="H35" s="682"/>
      <c r="I35" s="682"/>
      <c r="J35" s="682"/>
      <c r="K35" s="613"/>
      <c r="L35" s="245"/>
      <c r="M35" s="245"/>
      <c r="N35" s="245"/>
      <c r="O35" s="245"/>
      <c r="P35" s="245"/>
      <c r="Q35" s="245"/>
      <c r="R35" s="245"/>
      <c r="S35" s="245"/>
      <c r="T35" s="630"/>
      <c r="U35" s="245"/>
      <c r="X35" s="3"/>
    </row>
    <row r="36" spans="1:24" s="243" customFormat="1" ht="14.5" x14ac:dyDescent="0.35">
      <c r="A36" s="245"/>
      <c r="B36" s="683"/>
      <c r="C36" s="245"/>
      <c r="D36" s="245"/>
      <c r="E36" s="245"/>
      <c r="F36" s="245"/>
      <c r="G36" s="245"/>
      <c r="H36" s="245"/>
      <c r="I36" s="245"/>
      <c r="J36" s="245"/>
      <c r="K36" s="684"/>
      <c r="L36" s="245"/>
      <c r="M36" s="245"/>
      <c r="N36" s="245"/>
      <c r="O36" s="245"/>
      <c r="P36" s="245"/>
      <c r="Q36" s="245"/>
      <c r="R36" s="245"/>
      <c r="S36" s="245"/>
      <c r="T36" s="630"/>
      <c r="U36" s="245"/>
      <c r="X36" s="3"/>
    </row>
    <row r="37" spans="1:24" s="243" customFormat="1" ht="14.5" x14ac:dyDescent="0.35">
      <c r="A37" s="245"/>
      <c r="B37" s="159" t="s">
        <v>902</v>
      </c>
      <c r="C37" s="837">
        <v>48.09</v>
      </c>
      <c r="D37" t="s">
        <v>1045</v>
      </c>
      <c r="E37"/>
      <c r="F37"/>
      <c r="G37"/>
      <c r="H37" s="508" t="s">
        <v>903</v>
      </c>
      <c r="I37"/>
      <c r="J37"/>
      <c r="K37" s="685"/>
      <c r="L37" s="245"/>
      <c r="M37" s="245"/>
      <c r="N37" s="245"/>
      <c r="O37" s="245"/>
      <c r="P37" s="245"/>
      <c r="Q37" s="245"/>
      <c r="R37" s="245"/>
      <c r="S37" s="245"/>
      <c r="T37" s="630"/>
      <c r="U37" s="245"/>
      <c r="X37" s="3"/>
    </row>
    <row r="38" spans="1:24" s="243" customFormat="1" ht="14.5" x14ac:dyDescent="0.35">
      <c r="A38" s="245"/>
      <c r="B38" s="159" t="s">
        <v>902</v>
      </c>
      <c r="C38" s="837">
        <v>71.44</v>
      </c>
      <c r="D38" t="s">
        <v>1046</v>
      </c>
      <c r="E38"/>
      <c r="F38"/>
      <c r="G38"/>
      <c r="H38" s="508" t="s">
        <v>903</v>
      </c>
      <c r="I38"/>
      <c r="J38"/>
      <c r="K38" s="685"/>
      <c r="L38" s="245"/>
      <c r="M38" s="245"/>
      <c r="N38" s="245"/>
      <c r="O38" s="245"/>
      <c r="P38" s="245"/>
      <c r="Q38" s="245"/>
      <c r="R38" s="245"/>
      <c r="S38" s="245"/>
      <c r="T38" s="630"/>
      <c r="U38" s="245"/>
      <c r="X38" s="3"/>
    </row>
    <row r="39" spans="1:24" s="243" customFormat="1" ht="14.5" x14ac:dyDescent="0.35">
      <c r="A39" s="245"/>
      <c r="B39" s="159" t="s">
        <v>904</v>
      </c>
      <c r="C39" s="837">
        <v>29.27</v>
      </c>
      <c r="D39" t="s">
        <v>1047</v>
      </c>
      <c r="E39"/>
      <c r="F39"/>
      <c r="G39"/>
      <c r="H39" s="508" t="s">
        <v>903</v>
      </c>
      <c r="I39"/>
      <c r="J39"/>
      <c r="K39" s="685"/>
      <c r="L39" s="245"/>
      <c r="M39" s="245"/>
      <c r="N39" s="245"/>
      <c r="O39" s="245"/>
      <c r="P39" s="245"/>
      <c r="Q39" s="245"/>
      <c r="R39" s="245"/>
      <c r="S39" s="245"/>
      <c r="T39" s="630"/>
      <c r="U39" s="245"/>
      <c r="X39" s="3"/>
    </row>
    <row r="40" spans="1:24" s="243" customFormat="1" ht="14.5" x14ac:dyDescent="0.35">
      <c r="A40" s="245"/>
      <c r="B40" s="159" t="s">
        <v>904</v>
      </c>
      <c r="C40" s="837">
        <v>3.23</v>
      </c>
      <c r="D40" t="s">
        <v>1048</v>
      </c>
      <c r="E40"/>
      <c r="F40"/>
      <c r="G40"/>
      <c r="H40" s="508" t="s">
        <v>903</v>
      </c>
      <c r="I40"/>
      <c r="J40"/>
      <c r="K40" s="685"/>
      <c r="L40" s="245"/>
      <c r="M40" s="245"/>
      <c r="N40" s="245"/>
      <c r="O40" s="245"/>
      <c r="P40" s="245"/>
      <c r="Q40" s="245"/>
      <c r="R40" s="245"/>
      <c r="S40" s="245"/>
      <c r="T40" s="630"/>
      <c r="U40" s="245"/>
      <c r="X40" s="3"/>
    </row>
    <row r="41" spans="1:24" s="243" customFormat="1" ht="14.5" x14ac:dyDescent="0.35">
      <c r="A41" s="245"/>
      <c r="B41" s="159" t="s">
        <v>905</v>
      </c>
      <c r="C41" s="837">
        <v>17.97</v>
      </c>
      <c r="D41" t="s">
        <v>1049</v>
      </c>
      <c r="E41"/>
      <c r="F41"/>
      <c r="G41"/>
      <c r="H41" s="508" t="s">
        <v>903</v>
      </c>
      <c r="I41"/>
      <c r="J41"/>
      <c r="K41" s="685"/>
      <c r="L41" s="245"/>
      <c r="M41" s="245"/>
      <c r="N41" s="245"/>
      <c r="O41" s="245"/>
      <c r="P41" s="245"/>
      <c r="Q41" s="245"/>
      <c r="R41" s="245"/>
      <c r="S41" s="245"/>
      <c r="T41" s="630"/>
      <c r="U41" s="245"/>
      <c r="X41" s="3"/>
    </row>
    <row r="42" spans="1:24" s="243" customFormat="1" ht="14.5" x14ac:dyDescent="0.35">
      <c r="A42" s="245"/>
      <c r="B42" s="159" t="s">
        <v>905</v>
      </c>
      <c r="C42" s="837">
        <v>9.86</v>
      </c>
      <c r="D42" t="s">
        <v>1050</v>
      </c>
      <c r="E42"/>
      <c r="F42"/>
      <c r="G42"/>
      <c r="H42" s="508" t="s">
        <v>903</v>
      </c>
      <c r="I42"/>
      <c r="J42"/>
      <c r="K42" s="685"/>
      <c r="L42" s="245"/>
      <c r="M42" s="245"/>
      <c r="N42" s="245"/>
      <c r="O42" s="245"/>
      <c r="P42" s="245"/>
      <c r="Q42" s="245"/>
      <c r="R42" s="245"/>
      <c r="S42" s="245"/>
      <c r="T42" s="630"/>
      <c r="U42" s="245"/>
      <c r="X42" s="3"/>
    </row>
    <row r="43" spans="1:24" s="243" customFormat="1" ht="14.5" x14ac:dyDescent="0.35">
      <c r="A43" s="245"/>
      <c r="B43" s="159" t="s">
        <v>906</v>
      </c>
      <c r="C43" s="837">
        <v>9.1300000000000008</v>
      </c>
      <c r="D43" t="s">
        <v>1051</v>
      </c>
      <c r="E43"/>
      <c r="F43"/>
      <c r="G43"/>
      <c r="H43" s="508" t="s">
        <v>903</v>
      </c>
      <c r="I43"/>
      <c r="J43"/>
      <c r="K43" s="685"/>
      <c r="L43" s="245"/>
      <c r="M43" s="245"/>
      <c r="N43" s="245"/>
      <c r="O43" s="245"/>
      <c r="P43" s="245"/>
      <c r="Q43" s="245"/>
      <c r="R43" s="245"/>
      <c r="S43" s="245"/>
      <c r="T43" s="630"/>
      <c r="U43" s="245"/>
      <c r="X43" s="3"/>
    </row>
    <row r="44" spans="1:24" s="243" customFormat="1" ht="14.5" x14ac:dyDescent="0.35">
      <c r="A44" s="245"/>
      <c r="B44" s="159" t="s">
        <v>906</v>
      </c>
      <c r="C44" s="837">
        <v>24.43</v>
      </c>
      <c r="D44" t="s">
        <v>1052</v>
      </c>
      <c r="E44"/>
      <c r="F44"/>
      <c r="G44"/>
      <c r="H44" s="508" t="s">
        <v>903</v>
      </c>
      <c r="I44"/>
      <c r="J44"/>
      <c r="K44" s="685"/>
      <c r="L44" s="245"/>
      <c r="M44" s="245"/>
      <c r="N44" s="245"/>
      <c r="O44" s="245"/>
      <c r="P44" s="245"/>
      <c r="Q44" s="245"/>
      <c r="R44" s="245"/>
      <c r="S44" s="245"/>
      <c r="T44" s="630"/>
      <c r="U44" s="245"/>
      <c r="X44" s="3"/>
    </row>
    <row r="45" spans="1:24" s="243" customFormat="1" ht="14.5" x14ac:dyDescent="0.35">
      <c r="A45" s="245"/>
      <c r="B45" s="159" t="s">
        <v>907</v>
      </c>
      <c r="C45" s="837">
        <v>11.04</v>
      </c>
      <c r="D45" t="s">
        <v>1053</v>
      </c>
      <c r="E45"/>
      <c r="F45"/>
      <c r="G45"/>
      <c r="H45" s="508" t="s">
        <v>903</v>
      </c>
      <c r="I45"/>
      <c r="J45"/>
      <c r="K45" s="685"/>
      <c r="L45" s="245"/>
      <c r="M45" s="245"/>
      <c r="N45" s="245"/>
      <c r="O45" s="245"/>
      <c r="P45" s="245"/>
      <c r="Q45" s="245"/>
      <c r="R45" s="245"/>
      <c r="S45" s="245"/>
      <c r="T45" s="630"/>
      <c r="U45" s="245"/>
      <c r="X45" s="3"/>
    </row>
    <row r="46" spans="1:24" s="243" customFormat="1" ht="14.5" x14ac:dyDescent="0.35">
      <c r="A46" s="245"/>
      <c r="B46" s="678"/>
      <c r="C46" s="617"/>
      <c r="D46" s="617"/>
      <c r="E46" s="617"/>
      <c r="F46" s="617"/>
      <c r="G46" s="617"/>
      <c r="H46" s="617"/>
      <c r="I46" s="617"/>
      <c r="J46" s="617"/>
      <c r="K46" s="631"/>
      <c r="L46" s="245"/>
      <c r="M46" s="245"/>
      <c r="N46" s="245"/>
      <c r="O46" s="245"/>
      <c r="P46" s="245"/>
      <c r="Q46" s="245"/>
      <c r="R46" s="245"/>
      <c r="S46" s="245"/>
      <c r="T46" s="630"/>
      <c r="U46" s="245"/>
      <c r="X46" s="3"/>
    </row>
    <row r="47" spans="1:24" s="243" customFormat="1" ht="14.5" x14ac:dyDescent="0.35">
      <c r="A47" s="245"/>
      <c r="B47" s="245"/>
      <c r="C47" s="245"/>
      <c r="D47" s="245"/>
      <c r="E47" s="245"/>
      <c r="F47" s="245"/>
      <c r="G47" s="245"/>
      <c r="H47" s="245"/>
      <c r="I47" s="245"/>
      <c r="J47" s="245"/>
      <c r="K47" s="245"/>
      <c r="L47" s="245"/>
      <c r="M47" s="245"/>
      <c r="N47" s="245"/>
      <c r="O47" s="245"/>
      <c r="P47" s="245"/>
      <c r="Q47" s="245"/>
      <c r="R47" s="245"/>
      <c r="S47" s="245"/>
      <c r="T47" s="630"/>
      <c r="U47" s="245"/>
      <c r="X47" s="3"/>
    </row>
    <row r="48" spans="1:24" s="4" customFormat="1" ht="14.5" x14ac:dyDescent="0.35">
      <c r="A48" s="5"/>
      <c r="B48" s="192" t="s">
        <v>1054</v>
      </c>
      <c r="C48" s="5"/>
      <c r="D48" s="176"/>
      <c r="E48" s="112"/>
      <c r="F48" s="177"/>
      <c r="G48" s="178"/>
      <c r="H48" s="5"/>
      <c r="I48" s="5"/>
      <c r="J48" s="179"/>
      <c r="K48" s="178"/>
      <c r="L48" s="178"/>
      <c r="M48" s="178"/>
      <c r="N48" s="178"/>
      <c r="O48" s="178"/>
      <c r="P48" s="178"/>
      <c r="Q48" s="178"/>
      <c r="R48" s="178"/>
      <c r="S48" s="179"/>
      <c r="T48" s="5"/>
      <c r="U48" s="5"/>
      <c r="X48" s="3"/>
    </row>
    <row r="49" spans="1:24" s="4" customFormat="1" ht="14.5" x14ac:dyDescent="0.3">
      <c r="A49" s="5"/>
      <c r="B49" s="193" t="s">
        <v>768</v>
      </c>
      <c r="C49" s="5"/>
      <c r="D49" s="176"/>
      <c r="E49" s="112"/>
      <c r="F49" s="177"/>
      <c r="G49" s="178"/>
      <c r="H49" s="5"/>
      <c r="I49" s="5"/>
      <c r="J49" s="179"/>
      <c r="K49" s="178"/>
      <c r="L49" s="178"/>
      <c r="M49" s="178"/>
      <c r="N49" s="178"/>
      <c r="O49" s="178"/>
      <c r="P49" s="178"/>
      <c r="Q49" s="178"/>
      <c r="R49" s="178"/>
      <c r="S49" s="179"/>
      <c r="T49" s="5"/>
      <c r="U49" s="5"/>
      <c r="X49" s="3"/>
    </row>
    <row r="50" spans="1:24" s="4" customFormat="1" ht="14.5" x14ac:dyDescent="0.35">
      <c r="A50" s="5"/>
      <c r="B50" s="192" t="s">
        <v>769</v>
      </c>
      <c r="C50" s="5"/>
      <c r="D50" s="176"/>
      <c r="E50" s="112"/>
      <c r="F50" s="177"/>
      <c r="G50" s="178"/>
      <c r="H50" s="5"/>
      <c r="I50" s="5"/>
      <c r="J50" s="179"/>
      <c r="K50" s="178"/>
      <c r="L50" s="178"/>
      <c r="M50" s="178"/>
      <c r="N50" s="178"/>
      <c r="O50" s="178"/>
      <c r="P50" s="178"/>
      <c r="Q50" s="178"/>
      <c r="R50" s="178"/>
      <c r="S50" s="179"/>
      <c r="T50" s="5"/>
      <c r="U50" s="5"/>
      <c r="X50" s="3"/>
    </row>
    <row r="51" spans="1:24" s="4" customFormat="1" ht="14.5" x14ac:dyDescent="0.35">
      <c r="A51" s="5"/>
      <c r="B51" s="408"/>
      <c r="C51" s="5"/>
      <c r="D51" s="176"/>
      <c r="E51" s="112"/>
      <c r="F51" s="177"/>
      <c r="G51" s="178"/>
      <c r="H51" s="5"/>
      <c r="I51" s="5"/>
      <c r="J51" s="179"/>
      <c r="K51" s="178"/>
      <c r="L51" s="178"/>
      <c r="M51" s="178"/>
      <c r="N51" s="178"/>
      <c r="O51" s="178"/>
      <c r="P51" s="178"/>
      <c r="Q51" s="178"/>
      <c r="R51" s="178"/>
      <c r="S51" s="179"/>
      <c r="T51" s="5"/>
      <c r="U51" s="5"/>
      <c r="X51" s="3"/>
    </row>
    <row r="52" spans="1:24" s="4" customFormat="1" ht="14.5" x14ac:dyDescent="0.35">
      <c r="A52" s="5"/>
      <c r="B52" s="241" t="s">
        <v>770</v>
      </c>
      <c r="C52" s="245"/>
      <c r="D52" s="176"/>
      <c r="E52" s="112"/>
      <c r="F52" s="177"/>
      <c r="G52" s="178"/>
      <c r="H52" s="5"/>
      <c r="I52" s="5"/>
      <c r="J52" s="179"/>
      <c r="K52" s="178"/>
      <c r="L52" s="178"/>
      <c r="M52" s="178"/>
      <c r="N52" s="178"/>
      <c r="O52" s="178"/>
      <c r="P52" s="178"/>
      <c r="Q52" s="178"/>
      <c r="R52" s="178"/>
      <c r="S52" s="179"/>
      <c r="T52" s="5"/>
      <c r="U52" s="5"/>
      <c r="X52" s="3"/>
    </row>
    <row r="53" spans="1:24" s="4" customFormat="1" ht="14.5" x14ac:dyDescent="0.35">
      <c r="A53" s="5"/>
      <c r="B53" s="244" t="s">
        <v>771</v>
      </c>
      <c r="C53" s="246" t="s">
        <v>772</v>
      </c>
      <c r="D53" s="246" t="s">
        <v>936</v>
      </c>
      <c r="E53" s="249" t="s">
        <v>773</v>
      </c>
      <c r="F53" s="405"/>
      <c r="G53" s="406"/>
      <c r="H53" s="407"/>
      <c r="I53" s="406"/>
      <c r="J53" s="407"/>
      <c r="K53" s="406"/>
      <c r="L53" s="407"/>
      <c r="M53" s="406"/>
      <c r="N53" s="410" t="s">
        <v>774</v>
      </c>
      <c r="O53" s="728" t="s">
        <v>959</v>
      </c>
      <c r="P53" s="729" t="s">
        <v>953</v>
      </c>
      <c r="Q53" s="754" t="s">
        <v>1059</v>
      </c>
      <c r="R53" s="5"/>
      <c r="S53" s="179"/>
      <c r="T53" s="5"/>
      <c r="U53" s="5"/>
      <c r="X53" s="3"/>
    </row>
    <row r="54" spans="1:24" s="4" customFormat="1" ht="14.5" customHeight="1" x14ac:dyDescent="0.35">
      <c r="A54" s="5"/>
      <c r="B54" s="593" t="s">
        <v>954</v>
      </c>
      <c r="C54" s="600" t="s">
        <v>933</v>
      </c>
      <c r="D54" s="601">
        <v>3.6</v>
      </c>
      <c r="E54" s="860" t="s">
        <v>919</v>
      </c>
      <c r="F54" s="861"/>
      <c r="G54" s="861"/>
      <c r="H54" s="861"/>
      <c r="I54" s="861"/>
      <c r="J54" s="861"/>
      <c r="K54" s="861"/>
      <c r="L54" s="604"/>
      <c r="M54" s="606"/>
      <c r="N54" s="607">
        <v>345</v>
      </c>
      <c r="O54" s="724">
        <f>D54*N54</f>
        <v>1242</v>
      </c>
      <c r="P54" s="807">
        <f>P11</f>
        <v>0.439</v>
      </c>
      <c r="Q54" s="754">
        <f>(O54+O55)*P54</f>
        <v>1090.4760000000001</v>
      </c>
      <c r="R54" s="5"/>
      <c r="S54" s="179"/>
      <c r="T54" s="5"/>
      <c r="U54" s="5"/>
      <c r="X54" s="3"/>
    </row>
    <row r="55" spans="1:24" s="4" customFormat="1" ht="14.5" customHeight="1" x14ac:dyDescent="0.35">
      <c r="A55" s="5"/>
      <c r="B55" s="593" t="s">
        <v>954</v>
      </c>
      <c r="C55" s="600" t="s">
        <v>934</v>
      </c>
      <c r="D55" s="601">
        <v>3.6</v>
      </c>
      <c r="E55" s="860" t="s">
        <v>920</v>
      </c>
      <c r="F55" s="861"/>
      <c r="G55" s="861"/>
      <c r="H55" s="861"/>
      <c r="I55" s="861"/>
      <c r="J55" s="861"/>
      <c r="K55" s="861"/>
      <c r="L55" s="604"/>
      <c r="M55" s="606"/>
      <c r="N55" s="607">
        <v>345</v>
      </c>
      <c r="O55" s="724">
        <f>D55*N55</f>
        <v>1242</v>
      </c>
      <c r="P55" s="807"/>
      <c r="Q55" s="754"/>
      <c r="R55" s="5"/>
      <c r="S55" s="179"/>
      <c r="T55" s="5"/>
      <c r="U55" s="5"/>
      <c r="X55" s="3"/>
    </row>
    <row r="56" spans="1:24" s="4" customFormat="1" ht="14.5" customHeight="1" x14ac:dyDescent="0.35">
      <c r="A56" s="5"/>
      <c r="B56" s="593" t="s">
        <v>955</v>
      </c>
      <c r="C56" s="600" t="s">
        <v>933</v>
      </c>
      <c r="D56" s="601">
        <v>3.6</v>
      </c>
      <c r="E56" s="860" t="s">
        <v>919</v>
      </c>
      <c r="F56" s="861"/>
      <c r="G56" s="861"/>
      <c r="H56" s="861"/>
      <c r="I56" s="861"/>
      <c r="J56" s="861"/>
      <c r="K56" s="861"/>
      <c r="L56" s="604"/>
      <c r="M56" s="606"/>
      <c r="N56" s="607">
        <v>345</v>
      </c>
      <c r="O56" s="724">
        <f>D56*N56</f>
        <v>1242</v>
      </c>
      <c r="P56" s="807">
        <f>P13</f>
        <v>0.56100000000000005</v>
      </c>
      <c r="Q56" s="754">
        <f>O56*P56</f>
        <v>696.76200000000006</v>
      </c>
      <c r="R56" s="5"/>
      <c r="S56" s="179"/>
      <c r="T56" s="5"/>
      <c r="U56" s="5"/>
      <c r="X56" s="3"/>
    </row>
    <row r="57" spans="1:24" s="4" customFormat="1" ht="14.5" customHeight="1" x14ac:dyDescent="0.35">
      <c r="A57" s="5"/>
      <c r="B57" s="5"/>
      <c r="C57" s="5"/>
      <c r="D57" s="5"/>
      <c r="E57" s="5"/>
      <c r="F57" s="5"/>
      <c r="G57" s="5"/>
      <c r="H57" s="5"/>
      <c r="I57" s="5"/>
      <c r="J57" s="5"/>
      <c r="K57" s="5"/>
      <c r="L57" s="5"/>
      <c r="M57" s="5"/>
      <c r="N57" s="5"/>
      <c r="O57" s="5"/>
      <c r="P57" s="757"/>
      <c r="Q57" s="755">
        <f>Q54+Q56</f>
        <v>1787.2380000000003</v>
      </c>
      <c r="R57" s="5"/>
      <c r="S57" s="179"/>
      <c r="T57" s="5"/>
      <c r="U57" s="5"/>
      <c r="X57" s="3"/>
    </row>
    <row r="58" spans="1:24" s="4" customFormat="1" ht="14.5" customHeight="1" x14ac:dyDescent="0.35">
      <c r="A58" s="5"/>
      <c r="B58" s="593" t="s">
        <v>901</v>
      </c>
      <c r="C58" s="600" t="s">
        <v>935</v>
      </c>
      <c r="D58" s="601">
        <v>10.5</v>
      </c>
      <c r="E58" s="860" t="s">
        <v>921</v>
      </c>
      <c r="F58" s="861"/>
      <c r="G58" s="861"/>
      <c r="H58" s="861"/>
      <c r="I58" s="861"/>
      <c r="J58" s="861"/>
      <c r="K58" s="861"/>
      <c r="L58" s="604"/>
      <c r="M58" s="606"/>
      <c r="N58" s="607">
        <v>172</v>
      </c>
      <c r="O58" s="725"/>
      <c r="P58" s="725"/>
      <c r="Q58" s="178"/>
      <c r="R58" s="5"/>
      <c r="S58" s="411"/>
      <c r="T58" s="5"/>
      <c r="U58" s="5"/>
      <c r="X58" s="3"/>
    </row>
    <row r="59" spans="1:24" s="4" customFormat="1" ht="14.5" customHeight="1" x14ac:dyDescent="0.3">
      <c r="A59" s="5"/>
      <c r="B59" s="5"/>
      <c r="C59" s="5"/>
      <c r="D59" s="5"/>
      <c r="E59" s="5"/>
      <c r="F59" s="5"/>
      <c r="G59" s="5"/>
      <c r="H59" s="5"/>
      <c r="I59" s="5"/>
      <c r="J59" s="5"/>
      <c r="K59" s="5"/>
      <c r="L59" s="5"/>
      <c r="M59" s="5"/>
      <c r="N59" s="5"/>
      <c r="O59" s="5"/>
      <c r="P59" s="5"/>
      <c r="Q59" s="178"/>
      <c r="R59" s="5"/>
      <c r="S59" s="179"/>
      <c r="T59" s="5"/>
      <c r="U59" s="5"/>
      <c r="X59" s="3"/>
    </row>
    <row r="60" spans="1:24" s="4" customFormat="1" ht="14.5" customHeight="1" x14ac:dyDescent="0.35">
      <c r="A60" s="5"/>
      <c r="B60" s="593" t="s">
        <v>956</v>
      </c>
      <c r="C60" s="600" t="s">
        <v>935</v>
      </c>
      <c r="D60" s="601">
        <v>2.8</v>
      </c>
      <c r="E60" s="860" t="s">
        <v>921</v>
      </c>
      <c r="F60" s="861"/>
      <c r="G60" s="861"/>
      <c r="H60" s="861"/>
      <c r="I60" s="861"/>
      <c r="J60" s="861"/>
      <c r="K60" s="861"/>
      <c r="L60" s="604"/>
      <c r="M60" s="606"/>
      <c r="N60" s="607">
        <v>172</v>
      </c>
      <c r="O60" s="726">
        <f>N60*D60</f>
        <v>481.59999999999997</v>
      </c>
      <c r="P60" s="808">
        <f>P25</f>
        <v>0.42</v>
      </c>
      <c r="Q60" s="754">
        <f>O60*P60</f>
        <v>202.27199999999999</v>
      </c>
      <c r="R60" s="5"/>
      <c r="S60" s="179"/>
      <c r="T60" s="5"/>
      <c r="U60" s="5"/>
      <c r="X60" s="3"/>
    </row>
    <row r="61" spans="1:24" s="4" customFormat="1" ht="14.5" customHeight="1" x14ac:dyDescent="0.35">
      <c r="A61" s="5"/>
      <c r="B61" s="593" t="s">
        <v>957</v>
      </c>
      <c r="C61" s="600" t="s">
        <v>935</v>
      </c>
      <c r="D61" s="601">
        <v>2.8</v>
      </c>
      <c r="E61" s="860" t="s">
        <v>921</v>
      </c>
      <c r="F61" s="861"/>
      <c r="G61" s="861"/>
      <c r="H61" s="861"/>
      <c r="I61" s="861"/>
      <c r="J61" s="861"/>
      <c r="K61" s="861"/>
      <c r="L61" s="604"/>
      <c r="M61" s="606"/>
      <c r="N61" s="607">
        <v>172</v>
      </c>
      <c r="O61" s="726">
        <f t="shared" ref="O61:O63" si="7">N61*D61</f>
        <v>481.59999999999997</v>
      </c>
      <c r="P61" s="808">
        <f>P27</f>
        <v>0.31</v>
      </c>
      <c r="Q61" s="754">
        <f>(O61+O62)*P61</f>
        <v>448.75599999999997</v>
      </c>
      <c r="R61" s="5"/>
      <c r="S61" s="179"/>
      <c r="T61" s="5"/>
      <c r="U61" s="5"/>
      <c r="X61" s="3"/>
    </row>
    <row r="62" spans="1:24" s="4" customFormat="1" ht="14.5" customHeight="1" x14ac:dyDescent="0.35">
      <c r="A62" s="5"/>
      <c r="B62" s="593"/>
      <c r="C62" s="600" t="s">
        <v>934</v>
      </c>
      <c r="D62" s="601">
        <v>2.8</v>
      </c>
      <c r="E62" s="860" t="s">
        <v>920</v>
      </c>
      <c r="F62" s="861"/>
      <c r="G62" s="861"/>
      <c r="H62" s="861"/>
      <c r="I62" s="861"/>
      <c r="J62" s="861"/>
      <c r="K62" s="861"/>
      <c r="L62" s="604"/>
      <c r="M62" s="606"/>
      <c r="N62" s="607">
        <v>345</v>
      </c>
      <c r="O62" s="726">
        <f t="shared" si="7"/>
        <v>965.99999999999989</v>
      </c>
      <c r="P62" s="809"/>
      <c r="Q62" s="754"/>
      <c r="R62" s="5"/>
      <c r="S62" s="179"/>
      <c r="T62" s="5"/>
      <c r="U62" s="5"/>
      <c r="X62" s="3"/>
    </row>
    <row r="63" spans="1:24" s="4" customFormat="1" ht="14.5" customHeight="1" x14ac:dyDescent="0.35">
      <c r="A63" s="5"/>
      <c r="B63" s="593" t="s">
        <v>958</v>
      </c>
      <c r="C63" s="600" t="s">
        <v>935</v>
      </c>
      <c r="D63" s="601">
        <v>2.8</v>
      </c>
      <c r="E63" s="860" t="s">
        <v>921</v>
      </c>
      <c r="F63" s="861"/>
      <c r="G63" s="861"/>
      <c r="H63" s="861"/>
      <c r="I63" s="861"/>
      <c r="J63" s="861"/>
      <c r="K63" s="861"/>
      <c r="L63" s="604"/>
      <c r="M63" s="606"/>
      <c r="N63" s="607">
        <v>172</v>
      </c>
      <c r="O63" s="727">
        <f t="shared" si="7"/>
        <v>481.59999999999997</v>
      </c>
      <c r="P63" s="808">
        <f>P29</f>
        <v>0.27</v>
      </c>
      <c r="Q63" s="754">
        <f>O63*P63</f>
        <v>130.03200000000001</v>
      </c>
      <c r="R63" s="5"/>
      <c r="S63" s="179"/>
      <c r="T63" s="5"/>
      <c r="U63" s="5"/>
      <c r="X63" s="3"/>
    </row>
    <row r="64" spans="1:24" s="4" customFormat="1" ht="14.5" customHeight="1" x14ac:dyDescent="0.35">
      <c r="A64" s="5"/>
      <c r="B64" s="610"/>
      <c r="C64" s="695"/>
      <c r="D64" s="696"/>
      <c r="E64" s="697"/>
      <c r="F64" s="239"/>
      <c r="G64" s="239"/>
      <c r="H64" s="239"/>
      <c r="I64" s="239"/>
      <c r="J64" s="239"/>
      <c r="K64" s="239"/>
      <c r="L64" s="698"/>
      <c r="M64" s="699"/>
      <c r="N64" s="700"/>
      <c r="O64" s="724"/>
      <c r="P64" s="727"/>
      <c r="Q64" s="755">
        <f>SUM(Q60:Q63)</f>
        <v>781.06000000000006</v>
      </c>
      <c r="R64" s="5"/>
      <c r="S64" s="179"/>
      <c r="T64" s="5"/>
      <c r="U64" s="5"/>
      <c r="X64" s="3"/>
    </row>
    <row r="65" spans="1:24" s="4" customFormat="1" ht="14.5" x14ac:dyDescent="0.3">
      <c r="A65" s="5"/>
      <c r="B65" s="647" t="s">
        <v>775</v>
      </c>
      <c r="C65" s="176"/>
      <c r="D65" s="176"/>
      <c r="E65" s="112"/>
      <c r="F65" s="177"/>
      <c r="G65" s="178"/>
      <c r="H65" s="5"/>
      <c r="I65" s="5"/>
      <c r="J65" s="179"/>
      <c r="K65" s="178"/>
      <c r="L65" s="178"/>
      <c r="M65" s="178"/>
      <c r="N65" s="178"/>
      <c r="O65" s="178"/>
      <c r="P65" s="178"/>
      <c r="Q65" s="178"/>
      <c r="R65" s="178"/>
      <c r="S65" s="179"/>
      <c r="T65" s="5"/>
      <c r="U65" s="5"/>
      <c r="X65" s="3"/>
    </row>
    <row r="66" spans="1:24" s="4" customFormat="1" ht="14.5" x14ac:dyDescent="0.35">
      <c r="A66" s="5"/>
      <c r="B66" s="192"/>
      <c r="C66" s="176"/>
      <c r="D66" s="176"/>
      <c r="E66" s="112"/>
      <c r="F66" s="177"/>
      <c r="G66" s="178"/>
      <c r="H66" s="5"/>
      <c r="I66" s="5"/>
      <c r="J66" s="179"/>
      <c r="K66" s="178"/>
      <c r="L66" s="178"/>
      <c r="M66" s="178"/>
      <c r="N66" s="178"/>
      <c r="O66" s="178"/>
      <c r="P66" s="178"/>
      <c r="Q66" s="178"/>
      <c r="R66" s="178"/>
      <c r="S66" s="179"/>
      <c r="T66" s="5"/>
      <c r="U66" s="5"/>
      <c r="X66" s="3"/>
    </row>
    <row r="67" spans="1:24" s="4" customFormat="1" ht="14.5" customHeight="1" x14ac:dyDescent="0.3">
      <c r="A67" s="5"/>
      <c r="B67" s="176"/>
      <c r="C67" s="176"/>
      <c r="D67" s="176"/>
      <c r="E67" s="112"/>
      <c r="F67" s="177"/>
      <c r="G67" s="178"/>
      <c r="H67" s="5"/>
      <c r="I67" s="5"/>
      <c r="J67" s="179"/>
      <c r="K67" s="178"/>
      <c r="L67" s="178"/>
      <c r="M67" s="178"/>
      <c r="N67" s="178"/>
      <c r="O67" s="178"/>
      <c r="P67" s="178"/>
      <c r="Q67" s="178"/>
      <c r="R67" s="178"/>
      <c r="S67" s="179"/>
      <c r="T67" s="5"/>
      <c r="U67" s="5"/>
      <c r="X67" s="3"/>
    </row>
    <row r="68" spans="1:24" s="4" customFormat="1" ht="14.5" customHeight="1" x14ac:dyDescent="0.35">
      <c r="A68" s="5"/>
      <c r="B68" s="409" t="s">
        <v>960</v>
      </c>
      <c r="C68" s="176"/>
      <c r="D68" s="176"/>
      <c r="E68" s="112"/>
      <c r="F68" s="177"/>
      <c r="G68" s="178"/>
      <c r="H68" s="5"/>
      <c r="I68" s="5"/>
      <c r="J68" s="179"/>
      <c r="K68" s="178"/>
      <c r="L68" s="178"/>
      <c r="M68" s="178"/>
      <c r="N68" s="178"/>
      <c r="O68" s="178"/>
      <c r="P68" s="178"/>
      <c r="Q68" s="178"/>
      <c r="R68" s="178"/>
      <c r="S68" s="179"/>
      <c r="T68" s="5"/>
      <c r="U68" s="5"/>
      <c r="X68" s="3"/>
    </row>
    <row r="69" spans="1:24" s="4" customFormat="1" ht="14.5" customHeight="1" x14ac:dyDescent="0.35">
      <c r="A69" s="5"/>
      <c r="B69" s="244" t="s">
        <v>771</v>
      </c>
      <c r="C69" s="246" t="s">
        <v>963</v>
      </c>
      <c r="D69" s="249" t="s">
        <v>773</v>
      </c>
      <c r="E69" s="404"/>
      <c r="F69" s="405"/>
      <c r="G69" s="406"/>
      <c r="H69" s="407"/>
      <c r="I69" s="406"/>
      <c r="J69" s="407"/>
      <c r="K69" s="406"/>
      <c r="L69" s="407"/>
      <c r="M69" s="406"/>
      <c r="N69" s="410" t="s">
        <v>774</v>
      </c>
      <c r="O69" s="178"/>
      <c r="P69" s="178"/>
      <c r="Q69" s="178"/>
      <c r="R69" s="178"/>
      <c r="S69" s="179"/>
      <c r="T69" s="5"/>
      <c r="U69" s="5"/>
      <c r="X69" s="3"/>
    </row>
    <row r="70" spans="1:24" s="4" customFormat="1" ht="14.5" x14ac:dyDescent="0.35">
      <c r="A70" s="5"/>
      <c r="B70" s="593" t="s">
        <v>776</v>
      </c>
      <c r="C70" s="608" t="s">
        <v>962</v>
      </c>
      <c r="D70" s="602" t="s">
        <v>961</v>
      </c>
      <c r="E70" s="609"/>
      <c r="F70" s="603"/>
      <c r="G70" s="604"/>
      <c r="H70" s="605"/>
      <c r="I70" s="605"/>
      <c r="J70" s="605"/>
      <c r="K70" s="605"/>
      <c r="L70" s="604"/>
      <c r="M70" s="606"/>
      <c r="N70" s="607">
        <v>319</v>
      </c>
      <c r="O70" s="178"/>
      <c r="P70" s="178"/>
      <c r="Q70" s="178"/>
      <c r="R70" s="178"/>
      <c r="S70" s="179"/>
      <c r="T70" s="5"/>
      <c r="U70" s="5"/>
      <c r="X70" s="3"/>
    </row>
    <row r="71" spans="1:24" s="4" customFormat="1" ht="14.5" x14ac:dyDescent="0.35">
      <c r="A71" s="5"/>
      <c r="B71" s="593" t="s">
        <v>777</v>
      </c>
      <c r="C71" s="608" t="s">
        <v>962</v>
      </c>
      <c r="D71" s="602" t="s">
        <v>961</v>
      </c>
      <c r="E71" s="609"/>
      <c r="F71" s="603"/>
      <c r="G71" s="604"/>
      <c r="H71" s="605"/>
      <c r="I71" s="605"/>
      <c r="J71" s="605"/>
      <c r="K71" s="605"/>
      <c r="L71" s="604"/>
      <c r="M71" s="606"/>
      <c r="N71" s="607">
        <v>145</v>
      </c>
      <c r="O71" s="178"/>
      <c r="P71" s="178"/>
      <c r="Q71" s="178"/>
      <c r="R71" s="178"/>
      <c r="S71" s="179"/>
      <c r="T71" s="5"/>
      <c r="U71" s="5"/>
      <c r="X71" s="3"/>
    </row>
    <row r="72" spans="1:24" s="4" customFormat="1" ht="14.5" customHeight="1" x14ac:dyDescent="0.3">
      <c r="A72" s="5"/>
      <c r="B72" s="642" t="s">
        <v>778</v>
      </c>
      <c r="C72" s="5"/>
      <c r="D72" s="176"/>
      <c r="E72" s="112"/>
      <c r="F72" s="177"/>
      <c r="G72" s="178"/>
      <c r="H72" s="5"/>
      <c r="I72" s="5"/>
      <c r="J72" s="179"/>
      <c r="K72" s="178"/>
      <c r="L72" s="178"/>
      <c r="M72" s="178"/>
      <c r="N72" s="178"/>
      <c r="O72" s="178"/>
      <c r="P72" s="178"/>
      <c r="Q72" s="178"/>
      <c r="R72" s="178"/>
      <c r="S72" s="179"/>
      <c r="T72" s="5"/>
      <c r="U72" s="5"/>
      <c r="X72" s="3"/>
    </row>
    <row r="73" spans="1:24" s="4" customFormat="1" ht="14.5" customHeight="1" x14ac:dyDescent="0.35">
      <c r="A73" s="5"/>
      <c r="B73" s="192"/>
      <c r="C73" s="5"/>
      <c r="D73" s="176"/>
      <c r="E73" s="112"/>
      <c r="F73" s="177"/>
      <c r="G73" s="178"/>
      <c r="H73" s="5"/>
      <c r="I73" s="5"/>
      <c r="J73" s="179"/>
      <c r="K73" s="178"/>
      <c r="L73" s="178"/>
      <c r="M73" s="178"/>
      <c r="N73" s="178"/>
      <c r="O73" s="178"/>
      <c r="P73" s="178"/>
      <c r="Q73" s="178"/>
      <c r="R73" s="178"/>
      <c r="S73" s="179"/>
      <c r="T73" s="5"/>
      <c r="U73" s="5"/>
      <c r="X73" s="3"/>
    </row>
    <row r="74" spans="1:24" s="4" customFormat="1" ht="14.5" x14ac:dyDescent="0.35">
      <c r="A74" s="5"/>
      <c r="B74" t="s">
        <v>779</v>
      </c>
      <c r="C74" s="5"/>
      <c r="D74" s="5"/>
      <c r="E74" s="5"/>
      <c r="F74" s="5"/>
      <c r="G74" s="5"/>
      <c r="H74" s="5"/>
      <c r="I74" s="5"/>
      <c r="J74" s="5"/>
      <c r="K74" s="5"/>
      <c r="L74" s="5"/>
      <c r="M74" s="5"/>
      <c r="N74" s="5"/>
      <c r="O74" s="5"/>
      <c r="P74" s="5"/>
      <c r="Q74" s="5"/>
      <c r="R74" s="5"/>
      <c r="S74" s="5"/>
      <c r="T74" s="5"/>
      <c r="U74" s="5"/>
      <c r="X74" s="3"/>
    </row>
    <row r="75" spans="1:24" ht="14" x14ac:dyDescent="0.3">
      <c r="A75" s="191"/>
      <c r="B75" s="191"/>
      <c r="C75" s="310"/>
      <c r="D75" s="310"/>
      <c r="E75" s="310"/>
      <c r="F75" s="310"/>
      <c r="G75" s="310"/>
      <c r="H75" s="310"/>
      <c r="I75" s="191"/>
      <c r="J75" s="191"/>
      <c r="K75" s="191"/>
      <c r="L75" s="191"/>
      <c r="M75" s="191"/>
      <c r="N75" s="191"/>
      <c r="O75" s="191"/>
      <c r="P75" s="191"/>
      <c r="Q75" s="191"/>
      <c r="R75" s="191"/>
      <c r="S75" s="191"/>
      <c r="T75" s="5"/>
      <c r="U75" s="191"/>
    </row>
    <row r="76" spans="1:24" ht="24" customHeight="1" x14ac:dyDescent="0.35">
      <c r="A76" s="191"/>
      <c r="B76" s="856" t="s">
        <v>1040</v>
      </c>
      <c r="C76" s="857"/>
      <c r="D76" s="857"/>
      <c r="E76" s="857"/>
      <c r="F76" s="857"/>
      <c r="G76" s="857"/>
      <c r="H76" s="857"/>
      <c r="I76" s="857"/>
      <c r="J76" s="857"/>
      <c r="K76" s="857"/>
      <c r="L76" s="857"/>
      <c r="M76" s="857"/>
      <c r="N76" s="857"/>
      <c r="O76" s="857"/>
      <c r="P76" s="191"/>
      <c r="Q76" s="191"/>
      <c r="R76" s="191"/>
      <c r="S76" s="191"/>
      <c r="T76" s="5"/>
      <c r="U76" s="191"/>
    </row>
    <row r="77" spans="1:24" x14ac:dyDescent="0.25">
      <c r="A77" s="191"/>
      <c r="B77" s="191"/>
      <c r="C77" s="310"/>
      <c r="D77" s="310"/>
      <c r="E77" s="310"/>
      <c r="F77" s="310"/>
      <c r="G77" s="310"/>
      <c r="H77" s="310"/>
      <c r="I77" s="191"/>
      <c r="J77" s="191"/>
      <c r="K77" s="191"/>
      <c r="L77" s="191"/>
      <c r="M77" s="191"/>
      <c r="N77" s="191"/>
      <c r="O77" s="191"/>
      <c r="P77" s="191"/>
      <c r="Q77" s="191"/>
      <c r="R77" s="191"/>
      <c r="S77" s="191"/>
      <c r="T77" s="191"/>
      <c r="U77" s="191"/>
    </row>
  </sheetData>
  <sheetProtection algorithmName="SHA-512" hashValue="meEO+evIF9Wp7tjjifcDp0jLIn60KWLqTH6ti4aRMaAEA0jBu3Hdf9WpMuh9BoZU8AXNU42TeZeHjW57sh7wMA==" saltValue="5MDoO4HALS1+4c/IINpZBg==" spinCount="100000" sheet="1" objects="1" scenarios="1"/>
  <protectedRanges>
    <protectedRange sqref="C37:K45" name="Range31"/>
    <protectedRange sqref="B70:N71" name="Range29"/>
    <protectedRange sqref="P54:P63" name="Range28"/>
    <protectedRange sqref="B54:N63" name="Range27"/>
    <protectedRange sqref="B18:C18" name="Range26"/>
    <protectedRange sqref="B9:B13" name="Range25"/>
    <protectedRange sqref="C9:O12" name="Range1"/>
    <protectedRange sqref="P11" name="Range2"/>
    <protectedRange sqref="P13" name="Range3"/>
    <protectedRange sqref="Q9:Q13" name="Range4"/>
    <protectedRange sqref="R10:R13" name="Range5"/>
    <protectedRange sqref="S9:S13" name="Range6"/>
    <protectedRange sqref="T9" name="Range7"/>
    <protectedRange sqref="T11" name="Range8"/>
    <protectedRange sqref="T13:T14" name="Range9"/>
    <protectedRange sqref="C18:H18" name="Range10"/>
    <protectedRange sqref="J18:L18" name="Range11"/>
    <protectedRange sqref="N18:T19" name="Range12"/>
    <protectedRange sqref="C23:O29" name="Range13"/>
    <protectedRange sqref="P25" name="Range14"/>
    <protectedRange sqref="P27" name="Range15"/>
    <protectedRange sqref="P29" name="Range16"/>
    <protectedRange sqref="Q23:Q29" name="Range17"/>
    <protectedRange sqref="R24:R29" name="Range18"/>
    <protectedRange sqref="S23:S29" name="Range19"/>
    <protectedRange sqref="T23" name="Range20"/>
    <protectedRange sqref="T25" name="Range21"/>
    <protectedRange sqref="T27" name="Range22"/>
    <protectedRange sqref="T29:T30" name="Range23"/>
    <protectedRange sqref="B23:C29" name="Range24"/>
    <protectedRange sqref="C9:H13" name="Range30"/>
  </protectedRanges>
  <mergeCells count="9">
    <mergeCell ref="E61:K61"/>
    <mergeCell ref="B76:O76"/>
    <mergeCell ref="E62:K62"/>
    <mergeCell ref="E63:K63"/>
    <mergeCell ref="E54:K54"/>
    <mergeCell ref="E58:K58"/>
    <mergeCell ref="E60:K60"/>
    <mergeCell ref="E56:K56"/>
    <mergeCell ref="E55:K55"/>
  </mergeCells>
  <dataValidations count="1">
    <dataValidation type="list" allowBlank="1" showInputMessage="1" showErrorMessage="1" sqref="B18" xr:uid="{AF5D238F-7447-429D-B045-1824D82CF238}">
      <formula1>$L$2:$L$3</formula1>
    </dataValidation>
  </dataValidations>
  <hyperlinks>
    <hyperlink ref="B48" r:id="rId1" location="National-Tariff-Payment-System" display="https://www.england.nhs.uk/pay-syst/national-tariff/national-tariff-payment-system/#National-Tariff-Payment-System" xr:uid="{07A42822-B2C2-47CD-8645-06CEF4ED32D8}"/>
    <hyperlink ref="B49" r:id="rId2" display="Drug costs from eMIT: online [accessed 09.12.22]" xr:uid="{CC0ACBE2-E3F6-4532-8E07-FCA9B516F166}"/>
    <hyperlink ref="B50" r:id="rId3" display="Drug costs from BNF: online [accessed 22.08.23]" xr:uid="{23B287D2-BC68-4DB2-B3B7-46BC31F7E3BF}"/>
    <hyperlink ref="B65" r:id="rId4" location="National-Tariff-Payment-System" xr:uid="{20EB959E-79F7-4539-9E86-3ADDF93D0860}"/>
    <hyperlink ref="B72" r:id="rId5" location="National-Tariff-Payment-System" xr:uid="{F3BC5873-6E66-475B-821A-EF39B8D5033A}"/>
    <hyperlink ref="H39" r:id="rId6" display="https://www.gov.uk/government/publications/drugs-and-pharmaceutical-electronic-market-information-emit" xr:uid="{E59264B4-8835-4841-8589-CC4C2DC7105C}"/>
    <hyperlink ref="H40" r:id="rId7" display="https://www.gov.uk/government/publications/drugs-and-pharmaceutical-electronic-market-information-emit" xr:uid="{6DBDBFCF-6C70-4937-9FDB-2D67BEF4896A}"/>
    <hyperlink ref="H41" r:id="rId8" display="https://www.gov.uk/government/publications/drugs-and-pharmaceutical-electronic-market-information-emit" xr:uid="{E7BFA261-AB5F-4F19-86C4-A1947A45CEF8}"/>
    <hyperlink ref="H45" r:id="rId9" display="https://www.gov.uk/government/publications/drugs-and-pharmaceutical-electronic-market-information-emit" xr:uid="{CC45B4DB-ADBA-4C23-A9F6-8CF7DD555CA0}"/>
    <hyperlink ref="H37" r:id="rId10" display="https://www.gov.uk/government/publications/drugs-and-pharmaceutical-electronic-market-information-emit" xr:uid="{D9FEA9F8-7046-48DD-9301-E4360D161F54}"/>
    <hyperlink ref="H43:H44" r:id="rId11" display="https://www.gov.uk/government/publications/drugs-and-pharmaceutical-electronic-market-information-emit" xr:uid="{45B9EBEE-6E92-48B2-BE87-0C9424CA10A4}"/>
    <hyperlink ref="H42" r:id="rId12" display="https://www.gov.uk/government/publications/drugs-and-pharmaceutical-electronic-market-information-emit" xr:uid="{5A32339E-A4CE-471B-9BB6-721C1E22323F}"/>
    <hyperlink ref="H38" r:id="rId13" display="https://www.gov.uk/government/publications/drugs-and-pharmaceutical-electronic-market-information-emit" xr:uid="{0DCE742C-0F0A-47C9-B8C4-DCA1A07BF511}"/>
  </hyperlinks>
  <pageMargins left="0.70866141732283472" right="0.70866141732283472" top="0.74803149606299213" bottom="0.74803149606299213" header="0.31496062992125984" footer="0.31496062992125984"/>
  <pageSetup paperSize="9" scale="35" orientation="portrait" r:id="rId14"/>
  <ignoredErrors>
    <ignoredError sqref="L23 H18 H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75"/>
  <sheetViews>
    <sheetView showGridLines="0" zoomScale="80" zoomScaleNormal="80" zoomScaleSheetLayoutView="80" workbookViewId="0">
      <selection activeCell="D28" sqref="D28"/>
    </sheetView>
  </sheetViews>
  <sheetFormatPr defaultColWidth="8.81640625" defaultRowHeight="14.5" x14ac:dyDescent="0.35"/>
  <cols>
    <col min="1" max="1" width="3.54296875" customWidth="1"/>
    <col min="2" max="2" width="62"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492" t="str">
        <f>'Inputs and eligible population'!B1</f>
        <v xml:space="preserve">Pembrolizumab as neoadjuvant (with chemotherapy) and adjuvant (as monotherapy) treatment for resectable non-small-cell lung cancer </v>
      </c>
      <c r="C1" s="144"/>
      <c r="D1" s="141"/>
      <c r="E1" s="141"/>
      <c r="F1" s="141"/>
      <c r="G1" s="141"/>
      <c r="H1" s="141"/>
      <c r="I1" s="141"/>
      <c r="J1" s="141"/>
    </row>
    <row r="2" spans="2:10" ht="30" customHeight="1" x14ac:dyDescent="0.35">
      <c r="B2" s="356" t="s">
        <v>16</v>
      </c>
      <c r="C2" s="141"/>
      <c r="E2" s="127" t="s">
        <v>745</v>
      </c>
      <c r="F2" s="127" t="s">
        <v>745</v>
      </c>
      <c r="G2" s="127" t="s">
        <v>745</v>
      </c>
      <c r="H2" s="127" t="s">
        <v>745</v>
      </c>
      <c r="I2" s="127" t="s">
        <v>745</v>
      </c>
      <c r="J2" s="141"/>
    </row>
    <row r="3" spans="2:10" ht="17.5" customHeight="1" x14ac:dyDescent="0.35">
      <c r="B3" s="127" t="s">
        <v>1008</v>
      </c>
      <c r="C3" s="141"/>
      <c r="E3" s="127"/>
      <c r="F3" s="127"/>
      <c r="G3" s="127"/>
      <c r="H3" s="127"/>
      <c r="I3" s="127"/>
      <c r="J3" s="141"/>
    </row>
    <row r="4" spans="2:10" ht="32.5" customHeight="1" x14ac:dyDescent="0.35">
      <c r="B4" s="862" t="s">
        <v>1007</v>
      </c>
      <c r="C4" s="862"/>
      <c r="D4" s="862"/>
      <c r="E4" s="862"/>
      <c r="F4" s="862"/>
      <c r="G4" s="862"/>
      <c r="H4" s="862"/>
      <c r="J4" s="141"/>
    </row>
    <row r="5" spans="2:10" ht="43.5" x14ac:dyDescent="0.35">
      <c r="B5" s="255" t="s">
        <v>780</v>
      </c>
      <c r="C5" s="236" t="s">
        <v>781</v>
      </c>
      <c r="D5" s="267" t="s">
        <v>676</v>
      </c>
      <c r="E5" s="267" t="s">
        <v>677</v>
      </c>
      <c r="F5" s="268" t="s">
        <v>782</v>
      </c>
      <c r="G5" s="268" t="s">
        <v>783</v>
      </c>
      <c r="H5" s="267" t="s">
        <v>784</v>
      </c>
      <c r="J5" s="141"/>
    </row>
    <row r="6" spans="2:10" s="148" customFormat="1" x14ac:dyDescent="0.35">
      <c r="B6" s="166" t="s">
        <v>1064</v>
      </c>
      <c r="C6" s="128">
        <f>'Inputs and eligible population'!F49</f>
        <v>2250.4463666590245</v>
      </c>
      <c r="D6" s="128">
        <f>'Inputs and eligible population'!G49</f>
        <v>2272.1447372342491</v>
      </c>
      <c r="E6" s="128">
        <f>'Inputs and eligible population'!H49</f>
        <v>2294.052319320841</v>
      </c>
      <c r="F6" s="128">
        <f>'Inputs and eligible population'!I49</f>
        <v>2316.1711300959123</v>
      </c>
      <c r="G6" s="128">
        <f>'Inputs and eligible population'!J49</f>
        <v>2338.5032061858074</v>
      </c>
      <c r="H6" s="128">
        <f>'Inputs and eligible population'!K49</f>
        <v>2361.0506038536309</v>
      </c>
      <c r="I6"/>
      <c r="J6" s="141"/>
    </row>
    <row r="7" spans="2:10" s="148" customFormat="1" x14ac:dyDescent="0.35">
      <c r="B7" s="166" t="s">
        <v>969</v>
      </c>
      <c r="C7" s="430">
        <f>'Inputs and eligible population'!E82</f>
        <v>0</v>
      </c>
      <c r="D7" s="430">
        <f>'Inputs and eligible population'!F82</f>
        <v>0.2</v>
      </c>
      <c r="E7" s="430">
        <f>'Inputs and eligible population'!G82</f>
        <v>0.3</v>
      </c>
      <c r="F7" s="430">
        <f>'Inputs and eligible population'!H82</f>
        <v>0.35</v>
      </c>
      <c r="G7" s="430">
        <f>'Inputs and eligible population'!I82</f>
        <v>0.45</v>
      </c>
      <c r="H7" s="430">
        <f>'Inputs and eligible population'!J82</f>
        <v>0.5</v>
      </c>
      <c r="I7"/>
      <c r="J7" s="141"/>
    </row>
    <row r="8" spans="2:10" x14ac:dyDescent="0.35">
      <c r="B8" s="166" t="s">
        <v>970</v>
      </c>
      <c r="C8" s="472">
        <f>'Inputs and eligible population'!E88</f>
        <v>0</v>
      </c>
      <c r="D8" s="472">
        <f>'Inputs and eligible population'!F88</f>
        <v>0.1424</v>
      </c>
      <c r="E8" s="472">
        <f>'Inputs and eligible population'!G88</f>
        <v>0.21359999999999998</v>
      </c>
      <c r="F8" s="472">
        <f>'Inputs and eligible population'!H88</f>
        <v>0.24919999999999998</v>
      </c>
      <c r="G8" s="472">
        <f>'Inputs and eligible population'!I88</f>
        <v>0.32040000000000002</v>
      </c>
      <c r="H8" s="472">
        <f>'Inputs and eligible population'!J88</f>
        <v>0.35599999999999998</v>
      </c>
      <c r="J8" s="141"/>
    </row>
    <row r="9" spans="2:10" x14ac:dyDescent="0.35">
      <c r="B9" s="166" t="s">
        <v>971</v>
      </c>
      <c r="C9" s="736">
        <f>'Financial impact (cash)'!D15</f>
        <v>0</v>
      </c>
      <c r="D9" s="736">
        <f>'Financial impact (cash)'!E15</f>
        <v>454.42894744684986</v>
      </c>
      <c r="E9" s="736">
        <f>'Financial impact (cash)'!F15</f>
        <v>688.21569579625225</v>
      </c>
      <c r="F9" s="736">
        <f>'Financial impact (cash)'!G15</f>
        <v>810.65989553356928</v>
      </c>
      <c r="G9" s="736">
        <f>'Financial impact (cash)'!H15</f>
        <v>1052.3264427836134</v>
      </c>
      <c r="H9" s="736">
        <f>'Financial impact (cash)'!I15</f>
        <v>1180.5253019268155</v>
      </c>
      <c r="J9" s="141"/>
    </row>
    <row r="10" spans="2:10" ht="15" customHeight="1" x14ac:dyDescent="0.35">
      <c r="B10" s="166" t="s">
        <v>1079</v>
      </c>
      <c r="C10" s="128">
        <f>'Financial impact (cash)'!D19</f>
        <v>0</v>
      </c>
      <c r="D10" s="128">
        <f>'Financial impact (cash)'!E19</f>
        <v>323.55341058215708</v>
      </c>
      <c r="E10" s="128">
        <f>'Financial impact (cash)'!F19</f>
        <v>490.00957540693162</v>
      </c>
      <c r="F10" s="128">
        <f>'Financial impact (cash)'!G19</f>
        <v>577.18984561990135</v>
      </c>
      <c r="G10" s="128">
        <f>'Financial impact (cash)'!H19</f>
        <v>749.25642726193269</v>
      </c>
      <c r="H10" s="128">
        <f>'Financial impact (cash)'!I19</f>
        <v>840.53401497189259</v>
      </c>
      <c r="J10" s="133"/>
    </row>
    <row r="11" spans="2:10" ht="15" customHeight="1" x14ac:dyDescent="0.35">
      <c r="B11" s="737" t="s">
        <v>972</v>
      </c>
      <c r="C11" s="180">
        <f>SUM(C9:C10)</f>
        <v>0</v>
      </c>
      <c r="D11" s="180">
        <f>D9</f>
        <v>454.42894744684986</v>
      </c>
      <c r="E11" s="180">
        <f t="shared" ref="E11:H11" si="0">E9</f>
        <v>688.21569579625225</v>
      </c>
      <c r="F11" s="180">
        <f t="shared" si="0"/>
        <v>810.65989553356928</v>
      </c>
      <c r="G11" s="180">
        <f t="shared" si="0"/>
        <v>1052.3264427836134</v>
      </c>
      <c r="H11" s="180">
        <f t="shared" si="0"/>
        <v>1180.5253019268155</v>
      </c>
      <c r="J11" s="133"/>
    </row>
    <row r="12" spans="2:10" ht="14.75" customHeight="1" x14ac:dyDescent="0.35">
      <c r="B12" s="242"/>
      <c r="C12" s="242"/>
      <c r="D12" s="133"/>
      <c r="E12" s="133"/>
      <c r="F12" s="133"/>
      <c r="G12" s="133"/>
      <c r="H12" s="133"/>
      <c r="J12" s="133"/>
    </row>
    <row r="13" spans="2:10" ht="43.5" x14ac:dyDescent="0.35">
      <c r="B13" s="261" t="s">
        <v>786</v>
      </c>
      <c r="C13" s="236" t="s">
        <v>781</v>
      </c>
      <c r="D13" s="267" t="s">
        <v>676</v>
      </c>
      <c r="E13" s="267" t="s">
        <v>677</v>
      </c>
      <c r="F13" s="268" t="s">
        <v>782</v>
      </c>
      <c r="G13" s="268" t="s">
        <v>783</v>
      </c>
      <c r="H13" s="267" t="s">
        <v>784</v>
      </c>
      <c r="J13" s="133"/>
    </row>
    <row r="14" spans="2:10" x14ac:dyDescent="0.35">
      <c r="B14" s="445" t="s">
        <v>945</v>
      </c>
      <c r="C14" s="738"/>
      <c r="D14" s="739"/>
      <c r="E14" s="739"/>
      <c r="F14" s="740"/>
      <c r="G14" s="740"/>
      <c r="H14" s="739"/>
      <c r="J14" s="133"/>
    </row>
    <row r="15" spans="2:10" x14ac:dyDescent="0.35">
      <c r="B15" s="323" t="s">
        <v>1057</v>
      </c>
      <c r="C15" s="128">
        <f>'Inputs and eligible population'!L83</f>
        <v>2250.4463666590245</v>
      </c>
      <c r="D15" s="128">
        <f>'Inputs and eligible population'!M83</f>
        <v>1817.7157897873994</v>
      </c>
      <c r="E15" s="128">
        <f>'Inputs and eligible population'!N83</f>
        <v>1605.8366235245885</v>
      </c>
      <c r="F15" s="128">
        <f>'Inputs and eligible population'!O83</f>
        <v>1505.5112345623431</v>
      </c>
      <c r="G15" s="128">
        <f>'Inputs and eligible population'!P83</f>
        <v>1286.1767634021942</v>
      </c>
      <c r="H15" s="128">
        <f>'Inputs and eligible population'!Q83</f>
        <v>1180.5253019268155</v>
      </c>
      <c r="J15" s="133"/>
    </row>
    <row r="16" spans="2:10" x14ac:dyDescent="0.35">
      <c r="B16" s="705" t="s">
        <v>946</v>
      </c>
      <c r="C16" s="128"/>
      <c r="D16" s="128"/>
      <c r="E16" s="128"/>
      <c r="F16" s="128"/>
      <c r="G16" s="128"/>
      <c r="H16" s="128"/>
      <c r="J16" s="133"/>
    </row>
    <row r="17" spans="1:10" x14ac:dyDescent="0.35">
      <c r="B17" s="323" t="s">
        <v>1070</v>
      </c>
      <c r="C17" s="128">
        <f>'Inputs and eligible population'!L90</f>
        <v>2250.4463666590245</v>
      </c>
      <c r="D17" s="128">
        <f>'Inputs and eligible population'!M90</f>
        <v>1817.7157897873994</v>
      </c>
      <c r="E17" s="128">
        <f>'Inputs and eligible population'!N90</f>
        <v>1605.8366235245885</v>
      </c>
      <c r="F17" s="128">
        <f>'Inputs and eligible population'!O90</f>
        <v>1505.5112345623431</v>
      </c>
      <c r="G17" s="128">
        <f>'Inputs and eligible population'!P90</f>
        <v>1286.1767634021942</v>
      </c>
      <c r="H17" s="128">
        <f>'Inputs and eligible population'!Q90</f>
        <v>1180.5253019268155</v>
      </c>
      <c r="J17" s="133"/>
    </row>
    <row r="18" spans="1:10" x14ac:dyDescent="0.35">
      <c r="B18" s="262"/>
      <c r="C18" s="180">
        <f>C15</f>
        <v>2250.4463666590245</v>
      </c>
      <c r="D18" s="180">
        <f t="shared" ref="D18:H18" si="1">D15</f>
        <v>1817.7157897873994</v>
      </c>
      <c r="E18" s="180">
        <f t="shared" si="1"/>
        <v>1605.8366235245885</v>
      </c>
      <c r="F18" s="180">
        <f t="shared" si="1"/>
        <v>1505.5112345623431</v>
      </c>
      <c r="G18" s="180">
        <f t="shared" si="1"/>
        <v>1286.1767634021942</v>
      </c>
      <c r="H18" s="180">
        <f t="shared" si="1"/>
        <v>1180.5253019268155</v>
      </c>
      <c r="J18" s="133"/>
    </row>
    <row r="19" spans="1:10" ht="15" thickBot="1" x14ac:dyDescent="0.4">
      <c r="B19" s="449"/>
      <c r="C19" s="762">
        <f t="shared" ref="C19:H19" si="2">C18+C9</f>
        <v>2250.4463666590245</v>
      </c>
      <c r="D19" s="762">
        <f t="shared" si="2"/>
        <v>2272.1447372342491</v>
      </c>
      <c r="E19" s="762">
        <f t="shared" si="2"/>
        <v>2294.052319320841</v>
      </c>
      <c r="F19" s="762">
        <f t="shared" si="2"/>
        <v>2316.1711300959123</v>
      </c>
      <c r="G19" s="762">
        <f t="shared" si="2"/>
        <v>2338.5032061858074</v>
      </c>
      <c r="H19" s="762">
        <f t="shared" si="2"/>
        <v>2361.0506038536309</v>
      </c>
      <c r="I19" s="763"/>
      <c r="J19" s="133"/>
    </row>
    <row r="20" spans="1:10" x14ac:dyDescent="0.35">
      <c r="B20" s="264"/>
      <c r="C20" s="264"/>
      <c r="D20" s="311"/>
      <c r="E20" s="311"/>
      <c r="F20" s="311"/>
      <c r="G20" s="311"/>
      <c r="H20" s="311"/>
      <c r="I20" s="133"/>
      <c r="J20" s="133"/>
    </row>
    <row r="21" spans="1:10" ht="43.5" x14ac:dyDescent="0.35">
      <c r="B21" s="257" t="s">
        <v>787</v>
      </c>
      <c r="C21" s="236" t="s">
        <v>781</v>
      </c>
      <c r="D21" s="267" t="s">
        <v>676</v>
      </c>
      <c r="E21" s="267" t="s">
        <v>677</v>
      </c>
      <c r="F21" s="268" t="s">
        <v>782</v>
      </c>
      <c r="G21" s="268" t="s">
        <v>783</v>
      </c>
      <c r="H21" s="267" t="s">
        <v>784</v>
      </c>
      <c r="I21" s="133"/>
      <c r="J21" s="133"/>
    </row>
    <row r="22" spans="1:10" x14ac:dyDescent="0.35">
      <c r="B22" s="288" t="s">
        <v>788</v>
      </c>
      <c r="C22" s="648" t="s">
        <v>789</v>
      </c>
      <c r="D22" s="648" t="s">
        <v>789</v>
      </c>
      <c r="E22" s="648" t="s">
        <v>789</v>
      </c>
      <c r="F22" s="648" t="s">
        <v>789</v>
      </c>
      <c r="G22" s="648" t="s">
        <v>789</v>
      </c>
      <c r="H22" s="648" t="s">
        <v>789</v>
      </c>
      <c r="I22" s="133"/>
      <c r="J22" s="133"/>
    </row>
    <row r="23" spans="1:10" x14ac:dyDescent="0.35">
      <c r="B23" s="263" t="s">
        <v>790</v>
      </c>
      <c r="C23" s="251">
        <f>'Financial impact (cash)'!D28</f>
        <v>0</v>
      </c>
      <c r="D23" s="251">
        <f>'Financial impact (cash)'!E28</f>
        <v>0</v>
      </c>
      <c r="E23" s="251">
        <f>'Financial impact (cash)'!F28</f>
        <v>0</v>
      </c>
      <c r="F23" s="251">
        <f>'Financial impact (cash)'!G28</f>
        <v>0</v>
      </c>
      <c r="G23" s="251">
        <f>'Financial impact (cash)'!H28</f>
        <v>0</v>
      </c>
      <c r="H23" s="251">
        <f>'Financial impact (cash)'!I28</f>
        <v>0</v>
      </c>
      <c r="I23" s="133"/>
      <c r="J23" s="133"/>
    </row>
    <row r="24" spans="1:10" x14ac:dyDescent="0.35">
      <c r="C24" s="78"/>
      <c r="D24" s="195">
        <f>D23-$C$23</f>
        <v>0</v>
      </c>
      <c r="E24" s="195">
        <f>E23-$C$23</f>
        <v>0</v>
      </c>
      <c r="F24" s="195">
        <f>F23-$C$23</f>
        <v>0</v>
      </c>
      <c r="G24" s="195">
        <f>G23-$C$23</f>
        <v>0</v>
      </c>
      <c r="H24" s="195">
        <f>H23-$C$23</f>
        <v>0</v>
      </c>
      <c r="I24" s="412" t="s">
        <v>791</v>
      </c>
      <c r="J24" s="133"/>
    </row>
    <row r="25" spans="1:10" x14ac:dyDescent="0.35">
      <c r="C25" s="88"/>
      <c r="D25" s="195">
        <f>D23-C23</f>
        <v>0</v>
      </c>
      <c r="E25" s="195">
        <f>E23-D23</f>
        <v>0</v>
      </c>
      <c r="F25" s="195">
        <f>F23-E23</f>
        <v>0</v>
      </c>
      <c r="G25" s="195">
        <f>G23-F23</f>
        <v>0</v>
      </c>
      <c r="H25" s="195">
        <f>H23-G23</f>
        <v>0</v>
      </c>
      <c r="I25" s="412" t="s">
        <v>792</v>
      </c>
      <c r="J25" s="133"/>
    </row>
    <row r="26" spans="1:10" x14ac:dyDescent="0.35">
      <c r="B26" s="264"/>
      <c r="C26" s="264"/>
      <c r="D26" s="375"/>
      <c r="E26" s="375"/>
      <c r="F26" s="375"/>
      <c r="G26" s="375"/>
      <c r="H26" s="375"/>
      <c r="J26" s="133"/>
    </row>
    <row r="27" spans="1:10" x14ac:dyDescent="0.35">
      <c r="B27" t="s">
        <v>793</v>
      </c>
      <c r="C27" s="264"/>
      <c r="D27" s="375"/>
      <c r="E27" s="375"/>
      <c r="F27" s="375"/>
      <c r="G27" s="375"/>
      <c r="H27" s="375"/>
      <c r="J27" s="133"/>
    </row>
    <row r="28" spans="1:10" x14ac:dyDescent="0.35">
      <c r="B28" s="573" t="s">
        <v>50</v>
      </c>
      <c r="C28" s="264"/>
      <c r="D28" s="375"/>
      <c r="E28" s="375"/>
      <c r="F28" s="375"/>
      <c r="G28" s="375"/>
      <c r="H28" s="375"/>
      <c r="J28" s="133"/>
    </row>
    <row r="29" spans="1:10" x14ac:dyDescent="0.35">
      <c r="B29" s="264"/>
      <c r="C29" s="264"/>
      <c r="D29" s="375"/>
      <c r="E29" s="375"/>
      <c r="F29" s="375"/>
      <c r="G29" s="375"/>
      <c r="H29" s="375"/>
      <c r="J29" s="133"/>
    </row>
    <row r="30" spans="1:10" ht="43.5" x14ac:dyDescent="0.35">
      <c r="A30" s="375"/>
      <c r="B30" s="257" t="s">
        <v>794</v>
      </c>
      <c r="C30" s="236" t="s">
        <v>781</v>
      </c>
      <c r="D30" s="267" t="s">
        <v>676</v>
      </c>
      <c r="E30" s="267" t="s">
        <v>677</v>
      </c>
      <c r="F30" s="268" t="s">
        <v>782</v>
      </c>
      <c r="G30" s="268" t="s">
        <v>783</v>
      </c>
      <c r="H30" s="267" t="s">
        <v>784</v>
      </c>
      <c r="J30" s="133"/>
    </row>
    <row r="31" spans="1:10" x14ac:dyDescent="0.35">
      <c r="A31" s="375"/>
      <c r="B31" s="288" t="s">
        <v>795</v>
      </c>
      <c r="C31" s="648" t="s">
        <v>789</v>
      </c>
      <c r="D31" s="648" t="s">
        <v>789</v>
      </c>
      <c r="E31" s="648" t="s">
        <v>789</v>
      </c>
      <c r="F31" s="648" t="s">
        <v>789</v>
      </c>
      <c r="G31" s="648" t="s">
        <v>789</v>
      </c>
      <c r="H31" s="648" t="s">
        <v>789</v>
      </c>
      <c r="J31" s="133"/>
    </row>
    <row r="32" spans="1:10" x14ac:dyDescent="0.35">
      <c r="A32" s="375"/>
      <c r="B32" s="263" t="s">
        <v>796</v>
      </c>
      <c r="C32" s="251">
        <f>IF($B$28="national prices",'Capacity (national prices)'!L16,IF($B$28="local prices",'Capacity (local prices)'!L26,0))</f>
        <v>2475.6260301069269</v>
      </c>
      <c r="D32" s="251">
        <f>IF($B$28="national prices",'Capacity (national prices)'!M16,IF($B$28="local prices",'Capacity (local prices)'!M26,0))</f>
        <v>3265.1201568740457</v>
      </c>
      <c r="E32" s="251">
        <f>IF($B$28="national prices",'Capacity (national prices)'!N16,IF($B$28="local prices",'Capacity (local prices)'!N26,0))</f>
        <v>3683.105127963785</v>
      </c>
      <c r="F32" s="251">
        <f>IF($B$28="national prices",'Capacity (national prices)'!O16,IF($B$28="local prices",'Capacity (local prices)'!O26,0))</f>
        <v>3913.7318693276407</v>
      </c>
      <c r="G32" s="251">
        <f>IF($B$28="national prices",'Capacity (national prices)'!P16,IF($B$28="local prices",'Capacity (local prices)'!P26,0))</f>
        <v>4345.4597417572486</v>
      </c>
      <c r="H32" s="251">
        <f>IF($B$28="national prices",'Capacity (national prices)'!Q16,IF($B$28="local prices",'Capacity (local prices)'!Q26,0))</f>
        <v>4586.2534391133358</v>
      </c>
      <c r="J32" s="133"/>
    </row>
    <row r="33" spans="1:10" x14ac:dyDescent="0.35">
      <c r="A33" s="375"/>
      <c r="C33" s="801"/>
      <c r="D33" s="802">
        <f>D32-$C$32</f>
        <v>789.49412676711881</v>
      </c>
      <c r="E33" s="195">
        <f>E32-$C$32</f>
        <v>1207.4790978568581</v>
      </c>
      <c r="F33" s="802">
        <f>F32-$C$32</f>
        <v>1438.1058392207137</v>
      </c>
      <c r="G33" s="195">
        <f>G32-$C$32</f>
        <v>1869.8337116503217</v>
      </c>
      <c r="H33" s="195">
        <f>H32-$C$32</f>
        <v>2110.6274090064089</v>
      </c>
      <c r="I33" s="412" t="s">
        <v>791</v>
      </c>
      <c r="J33" s="133"/>
    </row>
    <row r="34" spans="1:10" x14ac:dyDescent="0.35">
      <c r="A34" s="375"/>
      <c r="C34" s="88"/>
      <c r="D34" s="195">
        <f>D32-C32</f>
        <v>789.49412676711881</v>
      </c>
      <c r="E34" s="195">
        <f>E32-D32</f>
        <v>417.98497108973925</v>
      </c>
      <c r="F34" s="195">
        <f>F32-E32</f>
        <v>230.62674136385567</v>
      </c>
      <c r="G34" s="195">
        <f>G32-F32</f>
        <v>431.72787242960794</v>
      </c>
      <c r="H34" s="195">
        <f>H32-G32</f>
        <v>240.79369735608725</v>
      </c>
      <c r="I34" s="412" t="s">
        <v>792</v>
      </c>
      <c r="J34" s="133"/>
    </row>
    <row r="35" spans="1:10" x14ac:dyDescent="0.35">
      <c r="A35" s="375"/>
      <c r="B35" s="375"/>
      <c r="C35" s="375"/>
      <c r="D35" s="375"/>
      <c r="E35" s="375"/>
      <c r="F35" s="375"/>
      <c r="G35" s="375"/>
      <c r="H35" s="375"/>
      <c r="J35" s="133"/>
    </row>
    <row r="36" spans="1:10" ht="43.5" x14ac:dyDescent="0.35">
      <c r="A36" s="375"/>
      <c r="B36" s="257" t="s">
        <v>797</v>
      </c>
      <c r="C36" s="236" t="s">
        <v>781</v>
      </c>
      <c r="D36" s="267" t="s">
        <v>676</v>
      </c>
      <c r="E36" s="267" t="s">
        <v>677</v>
      </c>
      <c r="F36" s="268" t="s">
        <v>782</v>
      </c>
      <c r="G36" s="268" t="s">
        <v>783</v>
      </c>
      <c r="H36" s="267" t="s">
        <v>784</v>
      </c>
      <c r="J36" s="133"/>
    </row>
    <row r="37" spans="1:10" x14ac:dyDescent="0.35">
      <c r="B37" s="288"/>
      <c r="C37" s="648" t="s">
        <v>789</v>
      </c>
      <c r="D37" s="648" t="s">
        <v>789</v>
      </c>
      <c r="E37" s="648" t="s">
        <v>789</v>
      </c>
      <c r="F37" s="648" t="s">
        <v>789</v>
      </c>
      <c r="G37" s="648" t="s">
        <v>789</v>
      </c>
      <c r="H37" s="648" t="s">
        <v>789</v>
      </c>
      <c r="I37" s="133"/>
      <c r="J37" s="133"/>
    </row>
    <row r="38" spans="1:10" x14ac:dyDescent="0.35">
      <c r="B38" s="445" t="s">
        <v>798</v>
      </c>
      <c r="C38" s="464">
        <f>C23+C32</f>
        <v>2475.6260301069269</v>
      </c>
      <c r="D38" s="464">
        <f t="shared" ref="D38:H38" si="3">D23+D32</f>
        <v>3265.1201568740457</v>
      </c>
      <c r="E38" s="464">
        <f t="shared" si="3"/>
        <v>3683.105127963785</v>
      </c>
      <c r="F38" s="464">
        <f t="shared" si="3"/>
        <v>3913.7318693276407</v>
      </c>
      <c r="G38" s="464">
        <f t="shared" si="3"/>
        <v>4345.4597417572486</v>
      </c>
      <c r="H38" s="464">
        <f t="shared" si="3"/>
        <v>4586.2534391133358</v>
      </c>
      <c r="I38" s="133"/>
      <c r="J38" s="133"/>
    </row>
    <row r="39" spans="1:10" x14ac:dyDescent="0.35">
      <c r="B39" s="444"/>
      <c r="C39" s="446"/>
      <c r="D39" s="447">
        <f>D38-$C$38</f>
        <v>789.49412676711881</v>
      </c>
      <c r="E39" s="447">
        <f t="shared" ref="E39:H39" si="4">E38-$C$38</f>
        <v>1207.4790978568581</v>
      </c>
      <c r="F39" s="447">
        <f t="shared" si="4"/>
        <v>1438.1058392207137</v>
      </c>
      <c r="G39" s="447">
        <f t="shared" si="4"/>
        <v>1869.8337116503217</v>
      </c>
      <c r="H39" s="447">
        <f t="shared" si="4"/>
        <v>2110.6274090064089</v>
      </c>
      <c r="I39" s="412" t="s">
        <v>791</v>
      </c>
      <c r="J39" s="133"/>
    </row>
    <row r="40" spans="1:10" x14ac:dyDescent="0.35">
      <c r="B40" s="444"/>
      <c r="C40" s="446"/>
      <c r="D40" s="448">
        <f>D38-C38</f>
        <v>789.49412676711881</v>
      </c>
      <c r="E40" s="448">
        <f>E38-D38</f>
        <v>417.98497108973925</v>
      </c>
      <c r="F40" s="448">
        <f>F38-E38</f>
        <v>230.62674136385567</v>
      </c>
      <c r="G40" s="448">
        <f>G38-F38</f>
        <v>431.72787242960794</v>
      </c>
      <c r="H40" s="448">
        <f>H38-G38</f>
        <v>240.79369735608725</v>
      </c>
      <c r="I40" s="412" t="s">
        <v>792</v>
      </c>
      <c r="J40" s="133"/>
    </row>
    <row r="41" spans="1:10" ht="15" thickBot="1" x14ac:dyDescent="0.4">
      <c r="B41" s="449"/>
      <c r="C41" s="449"/>
      <c r="D41" s="450"/>
      <c r="E41" s="450"/>
      <c r="F41" s="450"/>
      <c r="G41" s="450"/>
      <c r="H41" s="450"/>
      <c r="I41" s="451"/>
      <c r="J41" s="133"/>
    </row>
    <row r="42" spans="1:10" x14ac:dyDescent="0.35">
      <c r="B42" s="264"/>
      <c r="C42" s="264"/>
      <c r="D42" s="311"/>
      <c r="E42" s="311"/>
      <c r="F42" s="311"/>
      <c r="G42" s="311"/>
      <c r="H42" s="311"/>
      <c r="I42" s="133"/>
      <c r="J42" s="133"/>
    </row>
    <row r="43" spans="1:10" ht="43.5" x14ac:dyDescent="0.35">
      <c r="B43" s="257" t="s">
        <v>799</v>
      </c>
      <c r="C43" s="437"/>
      <c r="D43" s="267" t="s">
        <v>676</v>
      </c>
      <c r="E43" s="267" t="s">
        <v>677</v>
      </c>
      <c r="F43" s="268" t="s">
        <v>782</v>
      </c>
      <c r="G43" s="268" t="s">
        <v>783</v>
      </c>
      <c r="H43" s="267" t="s">
        <v>784</v>
      </c>
      <c r="I43" s="133"/>
      <c r="J43" s="133"/>
    </row>
    <row r="44" spans="1:10" x14ac:dyDescent="0.35">
      <c r="B44" s="440"/>
      <c r="C44" s="438"/>
      <c r="D44" s="439"/>
      <c r="E44" s="439"/>
      <c r="F44" s="439"/>
      <c r="G44" s="439"/>
      <c r="H44" s="439"/>
      <c r="I44" s="133"/>
      <c r="J44" s="133"/>
    </row>
    <row r="45" spans="1:10" x14ac:dyDescent="0.35">
      <c r="B45" s="257" t="s">
        <v>800</v>
      </c>
      <c r="C45" s="256"/>
      <c r="D45" s="252"/>
      <c r="E45" s="252"/>
      <c r="F45" s="252"/>
      <c r="G45" s="252"/>
      <c r="H45" s="253"/>
      <c r="I45" s="133"/>
      <c r="J45" s="133"/>
    </row>
    <row r="46" spans="1:10" x14ac:dyDescent="0.35">
      <c r="B46" s="288" t="s">
        <v>945</v>
      </c>
      <c r="C46" s="570"/>
      <c r="D46" s="439"/>
      <c r="E46" s="439"/>
      <c r="F46" s="439"/>
      <c r="G46" s="439"/>
      <c r="H46" s="758"/>
      <c r="I46" s="133"/>
      <c r="J46" s="133"/>
    </row>
    <row r="47" spans="1:10" x14ac:dyDescent="0.35">
      <c r="B47" s="571" t="s">
        <v>801</v>
      </c>
      <c r="C47" s="570"/>
      <c r="D47" s="572">
        <f>'Capacity (national prices)'!E25</f>
        <v>21.698370575224544</v>
      </c>
      <c r="E47" s="572">
        <f>'Capacity (national prices)'!F25</f>
        <v>43.605952661816445</v>
      </c>
      <c r="F47" s="572">
        <f>'Capacity (national prices)'!G25</f>
        <v>65.72476343688777</v>
      </c>
      <c r="G47" s="572">
        <f>'Capacity (national prices)'!H25</f>
        <v>88.056839526782824</v>
      </c>
      <c r="H47" s="572">
        <f>'Capacity (national prices)'!I25</f>
        <v>110.60423719460641</v>
      </c>
      <c r="I47" s="133"/>
      <c r="J47" s="133"/>
    </row>
    <row r="48" spans="1:10" x14ac:dyDescent="0.35">
      <c r="B48" s="571" t="s">
        <v>802</v>
      </c>
      <c r="C48" s="570"/>
      <c r="D48" s="572">
        <f>'Capacity (national prices)'!E32</f>
        <v>0</v>
      </c>
      <c r="E48" s="572">
        <f>'Capacity (national prices)'!F32</f>
        <v>0</v>
      </c>
      <c r="F48" s="572">
        <f>'Capacity (national prices)'!G32</f>
        <v>0</v>
      </c>
      <c r="G48" s="572">
        <f>'Capacity (national prices)'!H32</f>
        <v>0</v>
      </c>
      <c r="H48" s="572">
        <f>'Capacity (national prices)'!I32</f>
        <v>0</v>
      </c>
      <c r="I48" s="133"/>
      <c r="J48" s="133"/>
    </row>
    <row r="49" spans="2:10" x14ac:dyDescent="0.35">
      <c r="B49" s="259" t="s">
        <v>803</v>
      </c>
      <c r="C49" s="260"/>
      <c r="D49" s="180">
        <f>'Capacity (local prices)'!E35</f>
        <v>10.849185287612272</v>
      </c>
      <c r="E49" s="180">
        <f>'Capacity (local prices)'!F35</f>
        <v>21.802976330908223</v>
      </c>
      <c r="F49" s="180">
        <f>'Capacity (local prices)'!G35</f>
        <v>32.862381718443885</v>
      </c>
      <c r="G49" s="180">
        <f>'Capacity (local prices)'!H35</f>
        <v>44.028419763391412</v>
      </c>
      <c r="H49" s="180">
        <f>'Capacity (local prices)'!I35</f>
        <v>55.302118597303206</v>
      </c>
      <c r="I49" s="133"/>
      <c r="J49" s="133"/>
    </row>
    <row r="50" spans="2:10" x14ac:dyDescent="0.35">
      <c r="B50" s="259" t="s">
        <v>804</v>
      </c>
      <c r="C50" s="260"/>
      <c r="D50" s="180">
        <f>'Capacity (local prices)'!E50</f>
        <v>0</v>
      </c>
      <c r="E50" s="180">
        <f>'Capacity (local prices)'!F50</f>
        <v>0</v>
      </c>
      <c r="F50" s="180">
        <f>'Capacity (local prices)'!G50</f>
        <v>0</v>
      </c>
      <c r="G50" s="180">
        <f>'Capacity (local prices)'!H50</f>
        <v>0</v>
      </c>
      <c r="H50" s="180">
        <f>'Capacity (local prices)'!I50</f>
        <v>0</v>
      </c>
      <c r="I50" s="133"/>
      <c r="J50" s="133"/>
    </row>
    <row r="51" spans="2:10" x14ac:dyDescent="0.35">
      <c r="B51" s="259" t="s">
        <v>805</v>
      </c>
      <c r="C51" s="260"/>
      <c r="D51" s="180">
        <f>'Capacity (local prices)'!E66</f>
        <v>424.29859556810879</v>
      </c>
      <c r="E51" s="180">
        <f>'Capacity (local prices)'!F66</f>
        <v>672.66922409008657</v>
      </c>
      <c r="F51" s="180">
        <f>'Capacity (local prices)'!G66</f>
        <v>832.55725405014164</v>
      </c>
      <c r="G51" s="180">
        <f>'Capacity (local prices)'!H66</f>
        <v>1088.4203049018824</v>
      </c>
      <c r="H51" s="180">
        <f>'Capacity (local prices)'!I66</f>
        <v>1254.1121056863494</v>
      </c>
      <c r="I51" s="798"/>
      <c r="J51" s="798"/>
    </row>
    <row r="52" spans="2:10" x14ac:dyDescent="0.35">
      <c r="B52" s="759" t="s">
        <v>946</v>
      </c>
      <c r="C52" s="260"/>
      <c r="D52" s="180"/>
      <c r="E52" s="180"/>
      <c r="F52" s="180"/>
      <c r="G52" s="180"/>
      <c r="H52" s="180"/>
      <c r="I52" s="133"/>
      <c r="J52" s="133"/>
    </row>
    <row r="53" spans="2:10" x14ac:dyDescent="0.35">
      <c r="B53" s="571" t="s">
        <v>801</v>
      </c>
      <c r="C53" s="260"/>
      <c r="D53" s="180">
        <f>'Capacity (national prices)'!E39</f>
        <v>323.55341058215708</v>
      </c>
      <c r="E53" s="180">
        <f>'Capacity (national prices)'!F39</f>
        <v>490.00957540693162</v>
      </c>
      <c r="F53" s="180">
        <f>'Capacity (national prices)'!G39</f>
        <v>577.18984561990135</v>
      </c>
      <c r="G53" s="180">
        <f>'Capacity (national prices)'!H39</f>
        <v>749.25642726193269</v>
      </c>
      <c r="H53" s="180">
        <f>'Capacity (national prices)'!I39</f>
        <v>840.53401497189259</v>
      </c>
      <c r="I53" s="133"/>
      <c r="J53" s="133"/>
    </row>
    <row r="54" spans="2:10" x14ac:dyDescent="0.35">
      <c r="B54" s="571" t="s">
        <v>802</v>
      </c>
      <c r="C54" s="260"/>
      <c r="D54" s="180">
        <f>'Capacity (national prices)'!E45</f>
        <v>0</v>
      </c>
      <c r="E54" s="180">
        <f>'Capacity (national prices)'!F45</f>
        <v>0</v>
      </c>
      <c r="F54" s="180">
        <f>'Capacity (national prices)'!G45</f>
        <v>0</v>
      </c>
      <c r="G54" s="180">
        <f>'Capacity (national prices)'!H45</f>
        <v>0</v>
      </c>
      <c r="H54" s="180">
        <f>'Capacity (national prices)'!I45</f>
        <v>0</v>
      </c>
      <c r="I54" s="133"/>
      <c r="J54" s="133"/>
    </row>
    <row r="55" spans="2:10" x14ac:dyDescent="0.35">
      <c r="B55" s="259" t="s">
        <v>803</v>
      </c>
      <c r="C55" s="260"/>
      <c r="D55" s="180">
        <f>'Capacity (local prices)'!E42</f>
        <v>161.77670529107854</v>
      </c>
      <c r="E55" s="180">
        <f>'Capacity (local prices)'!F42</f>
        <v>245.00478770346581</v>
      </c>
      <c r="F55" s="180">
        <f>'Capacity (local prices)'!G42</f>
        <v>288.59492280995067</v>
      </c>
      <c r="G55" s="180">
        <f>'Capacity (local prices)'!H42</f>
        <v>374.62821363096634</v>
      </c>
      <c r="H55" s="180">
        <f>'Capacity (local prices)'!I42</f>
        <v>420.26700748594629</v>
      </c>
      <c r="I55" s="133"/>
      <c r="J55" s="133"/>
    </row>
    <row r="56" spans="2:10" x14ac:dyDescent="0.35">
      <c r="B56" s="259" t="s">
        <v>804</v>
      </c>
      <c r="C56" s="260"/>
      <c r="D56" s="180">
        <f>'Capacity (local prices)'!E57</f>
        <v>0</v>
      </c>
      <c r="E56" s="180">
        <f>'Capacity (local prices)'!F57</f>
        <v>0</v>
      </c>
      <c r="F56" s="180">
        <f>'Capacity (local prices)'!G57</f>
        <v>0</v>
      </c>
      <c r="G56" s="180">
        <f>'Capacity (local prices)'!H57</f>
        <v>0</v>
      </c>
      <c r="H56" s="180">
        <f>'Capacity (local prices)'!I57</f>
        <v>0</v>
      </c>
      <c r="I56" s="133"/>
      <c r="J56" s="133"/>
    </row>
    <row r="57" spans="2:10" x14ac:dyDescent="0.35">
      <c r="B57" s="259" t="s">
        <v>805</v>
      </c>
      <c r="C57" s="260"/>
      <c r="D57" s="180">
        <f>'Capacity (local prices)'!E73</f>
        <v>1192.8759870479807</v>
      </c>
      <c r="E57" s="180">
        <f>'Capacity (local prices)'!F73</f>
        <v>1806.5662014651621</v>
      </c>
      <c r="F57" s="180">
        <f>'Capacity (local prices)'!G73</f>
        <v>2127.9822257756196</v>
      </c>
      <c r="G57" s="180">
        <f>'Capacity (local prices)'!H73</f>
        <v>2762.3569123069847</v>
      </c>
      <c r="H57" s="180">
        <f>'Capacity (local prices)'!I73</f>
        <v>3098.8789175578904</v>
      </c>
      <c r="I57" s="133"/>
      <c r="J57" s="133"/>
    </row>
    <row r="58" spans="2:10" x14ac:dyDescent="0.35">
      <c r="D58" s="803"/>
      <c r="F58" s="803"/>
      <c r="I58" s="804"/>
      <c r="J58" s="133"/>
    </row>
    <row r="59" spans="2:10" x14ac:dyDescent="0.35">
      <c r="B59" s="257" t="s">
        <v>806</v>
      </c>
      <c r="C59" s="258"/>
      <c r="D59" s="252"/>
      <c r="E59" s="252"/>
      <c r="F59" s="252"/>
      <c r="G59" s="252"/>
      <c r="H59" s="253"/>
      <c r="I59" s="133"/>
      <c r="J59" s="133"/>
    </row>
    <row r="60" spans="2:10" x14ac:dyDescent="0.35">
      <c r="B60" s="288" t="s">
        <v>945</v>
      </c>
      <c r="C60" s="440"/>
      <c r="D60" s="439"/>
      <c r="E60" s="439"/>
      <c r="F60" s="439"/>
      <c r="G60" s="439"/>
      <c r="H60" s="758"/>
      <c r="I60" s="133"/>
      <c r="J60" s="133"/>
    </row>
    <row r="61" spans="2:10" x14ac:dyDescent="0.35">
      <c r="B61" s="259" t="s">
        <v>807</v>
      </c>
      <c r="C61" s="260"/>
      <c r="D61" s="180">
        <f>'Capacity (local prices)'!E82</f>
        <v>212.1492977840544</v>
      </c>
      <c r="E61" s="180">
        <f>'Capacity (local prices)'!F82</f>
        <v>336.33461204504329</v>
      </c>
      <c r="F61" s="180">
        <f>'Capacity (local prices)'!G82</f>
        <v>416.27862702507082</v>
      </c>
      <c r="G61" s="180">
        <f>'Capacity (local prices)'!H82</f>
        <v>544.21015245094122</v>
      </c>
      <c r="H61" s="180">
        <f>'Capacity (local prices)'!I82</f>
        <v>627.05605284317471</v>
      </c>
      <c r="I61" s="133"/>
      <c r="J61" s="133"/>
    </row>
    <row r="62" spans="2:10" x14ac:dyDescent="0.35">
      <c r="B62" s="259" t="s">
        <v>808</v>
      </c>
      <c r="C62" s="260"/>
      <c r="D62" s="180">
        <f>'Capacity (local prices)'!E89</f>
        <v>212.1492977840544</v>
      </c>
      <c r="E62" s="180">
        <f>'Capacity (local prices)'!F89</f>
        <v>336.33461204504329</v>
      </c>
      <c r="F62" s="180">
        <f>'Capacity (local prices)'!G89</f>
        <v>416.27862702507082</v>
      </c>
      <c r="G62" s="180">
        <f>'Capacity (local prices)'!H89</f>
        <v>544.21015245094122</v>
      </c>
      <c r="H62" s="180">
        <f>'Capacity (local prices)'!I89</f>
        <v>627.05605284317471</v>
      </c>
      <c r="I62" s="133"/>
      <c r="J62" s="133"/>
    </row>
    <row r="63" spans="2:10" x14ac:dyDescent="0.35">
      <c r="B63" s="259" t="s">
        <v>809</v>
      </c>
      <c r="C63" s="260"/>
      <c r="D63" s="180">
        <f>'Capacity (local prices)'!E96</f>
        <v>212.1492977840544</v>
      </c>
      <c r="E63" s="180">
        <f>'Capacity (local prices)'!F96</f>
        <v>336.33461204504329</v>
      </c>
      <c r="F63" s="180">
        <f>'Capacity (local prices)'!G96</f>
        <v>416.27862702507082</v>
      </c>
      <c r="G63" s="180">
        <f>'Capacity (local prices)'!H96</f>
        <v>544.21015245094122</v>
      </c>
      <c r="H63" s="180">
        <f>'Capacity (local prices)'!I96</f>
        <v>627.05605284317471</v>
      </c>
      <c r="I63" s="133"/>
      <c r="J63" s="133"/>
    </row>
    <row r="64" spans="2:10" x14ac:dyDescent="0.35">
      <c r="B64" s="759" t="s">
        <v>946</v>
      </c>
      <c r="C64" s="260"/>
      <c r="D64" s="180"/>
      <c r="E64" s="180"/>
      <c r="F64" s="180"/>
      <c r="G64" s="180"/>
      <c r="H64" s="180"/>
      <c r="I64" s="133"/>
      <c r="J64" s="133"/>
    </row>
    <row r="65" spans="2:14" x14ac:dyDescent="0.35">
      <c r="B65" s="259" t="s">
        <v>807</v>
      </c>
      <c r="C65" s="260"/>
      <c r="D65" s="180">
        <f>'Capacity (local prices)'!E105</f>
        <v>596.43799352399037</v>
      </c>
      <c r="E65" s="180">
        <f>'Capacity (local prices)'!F105</f>
        <v>903.28310073258103</v>
      </c>
      <c r="F65" s="180">
        <f>'Capacity (local prices)'!G105</f>
        <v>1063.9911128878098</v>
      </c>
      <c r="G65" s="180">
        <f>'Capacity (local prices)'!H105</f>
        <v>1381.1784561534923</v>
      </c>
      <c r="H65" s="180">
        <f>'Capacity (local prices)'!I105</f>
        <v>1549.4394587789452</v>
      </c>
      <c r="I65" s="133"/>
      <c r="J65" s="133"/>
    </row>
    <row r="66" spans="2:14" x14ac:dyDescent="0.35">
      <c r="B66" s="259" t="s">
        <v>808</v>
      </c>
      <c r="C66" s="260"/>
      <c r="D66" s="180">
        <f>'Capacity (local prices)'!E113</f>
        <v>596.43799352399037</v>
      </c>
      <c r="E66" s="180">
        <f>'Capacity (local prices)'!F113</f>
        <v>903.28310073258103</v>
      </c>
      <c r="F66" s="180">
        <f>'Capacity (local prices)'!G113</f>
        <v>1063.9911128878098</v>
      </c>
      <c r="G66" s="180">
        <f>'Capacity (local prices)'!H113</f>
        <v>1381.1784561534923</v>
      </c>
      <c r="H66" s="180">
        <f>'Capacity (local prices)'!I113</f>
        <v>1549.4394587789452</v>
      </c>
      <c r="I66" s="133"/>
      <c r="J66" s="133"/>
    </row>
    <row r="67" spans="2:14" x14ac:dyDescent="0.35">
      <c r="B67" s="259" t="s">
        <v>809</v>
      </c>
      <c r="C67" s="260"/>
      <c r="D67" s="180">
        <f>'Capacity (local prices)'!E121</f>
        <v>596.43799352399037</v>
      </c>
      <c r="E67" s="180">
        <f>'Capacity (local prices)'!F121</f>
        <v>903.28310073258103</v>
      </c>
      <c r="F67" s="180">
        <f>'Capacity (local prices)'!G121</f>
        <v>1063.9911128878098</v>
      </c>
      <c r="G67" s="180">
        <f>'Capacity (local prices)'!H121</f>
        <v>1381.1784561534923</v>
      </c>
      <c r="H67" s="180">
        <f>'Capacity (local prices)'!I121</f>
        <v>1549.4394587789452</v>
      </c>
      <c r="I67" s="133"/>
      <c r="J67" s="133"/>
    </row>
    <row r="68" spans="2:14" x14ac:dyDescent="0.35">
      <c r="B68" s="259"/>
      <c r="C68" s="260"/>
      <c r="D68" s="180"/>
      <c r="E68" s="180"/>
      <c r="F68" s="180"/>
      <c r="G68" s="180"/>
      <c r="H68" s="180"/>
      <c r="I68" s="133"/>
      <c r="J68" s="133"/>
    </row>
    <row r="69" spans="2:14" x14ac:dyDescent="0.35">
      <c r="I69" s="133"/>
      <c r="J69" s="133"/>
    </row>
    <row r="70" spans="2:14" x14ac:dyDescent="0.35">
      <c r="B70" s="257" t="s">
        <v>810</v>
      </c>
      <c r="C70" s="258"/>
      <c r="D70" s="252"/>
      <c r="E70" s="252"/>
      <c r="F70" s="252"/>
      <c r="G70" s="252"/>
      <c r="H70" s="253"/>
      <c r="I70" s="133"/>
      <c r="J70" s="133"/>
    </row>
    <row r="71" spans="2:14" x14ac:dyDescent="0.35">
      <c r="B71" s="318" t="s">
        <v>1001</v>
      </c>
      <c r="C71" s="265"/>
      <c r="D71" s="355">
        <f>'Capacity (local prices)'!E130</f>
        <v>106.0746488920272</v>
      </c>
      <c r="E71" s="355">
        <f>'Capacity (local prices)'!F130</f>
        <v>168.16730602252164</v>
      </c>
      <c r="F71" s="355">
        <f>'Capacity (local prices)'!G130</f>
        <v>208.13931351253541</v>
      </c>
      <c r="G71" s="355">
        <f>'Capacity (local prices)'!H130</f>
        <v>272.10507622547061</v>
      </c>
      <c r="H71" s="355">
        <f>'Capacity (local prices)'!I130</f>
        <v>313.52802642158736</v>
      </c>
      <c r="I71" s="133"/>
      <c r="J71" s="133"/>
    </row>
    <row r="72" spans="2:14" x14ac:dyDescent="0.35">
      <c r="B72" s="318" t="s">
        <v>1002</v>
      </c>
      <c r="C72" s="265"/>
      <c r="D72" s="355">
        <f>'Capacity (local prices)'!E138</f>
        <v>298.21899676199519</v>
      </c>
      <c r="E72" s="355">
        <f>'Capacity (local prices)'!F138</f>
        <v>451.64155036629052</v>
      </c>
      <c r="F72" s="355">
        <f>'Capacity (local prices)'!G138</f>
        <v>531.99555644390489</v>
      </c>
      <c r="G72" s="355">
        <f>'Capacity (local prices)'!H138</f>
        <v>690.58922807674617</v>
      </c>
      <c r="H72" s="355">
        <f>'Capacity (local prices)'!I138</f>
        <v>774.7197293894726</v>
      </c>
      <c r="I72" s="133"/>
      <c r="J72" s="133"/>
    </row>
    <row r="73" spans="2:14" x14ac:dyDescent="0.35">
      <c r="B73" s="1" t="s">
        <v>1008</v>
      </c>
    </row>
    <row r="74" spans="2:14" x14ac:dyDescent="0.35">
      <c r="B74" t="s">
        <v>1034</v>
      </c>
      <c r="D74" s="760"/>
      <c r="E74" s="761"/>
      <c r="F74" s="761"/>
      <c r="G74" s="761"/>
      <c r="H74" s="761"/>
      <c r="I74" s="761"/>
      <c r="J74" s="761"/>
      <c r="K74" s="761"/>
      <c r="L74" s="761"/>
      <c r="M74" s="761"/>
      <c r="N74" s="761"/>
    </row>
    <row r="75" spans="2:14" x14ac:dyDescent="0.35">
      <c r="B75" t="s">
        <v>1055</v>
      </c>
      <c r="D75" s="760"/>
      <c r="E75" s="761"/>
      <c r="F75" s="761"/>
      <c r="G75" s="761"/>
      <c r="H75" s="761"/>
      <c r="I75" s="761"/>
      <c r="J75" s="761"/>
      <c r="K75" s="761"/>
      <c r="L75" s="761"/>
      <c r="M75" s="761"/>
      <c r="N75" s="761"/>
    </row>
  </sheetData>
  <sheetProtection algorithmName="SHA-512" hashValue="hN81ZjPOEXqDbkdJo11sK+Ank7X7bS7SOzL2rB1lpExmWan2h69BKI9raAfYRKkXnINn6umF6mdbGxSsKMvzWQ==" saltValue="R0v6KzvOC3/40r06ffLOsw==" spinCount="100000" sheet="1" objects="1" scenarios="1"/>
  <mergeCells count="1">
    <mergeCell ref="B4:H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5"/>
  <sheetViews>
    <sheetView showGridLines="0" topLeftCell="A2" zoomScale="80" zoomScaleNormal="80" zoomScaleSheetLayoutView="80" workbookViewId="0">
      <selection activeCell="M9" sqref="M9"/>
    </sheetView>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0" width="11.453125" bestFit="1" customWidth="1"/>
    <col min="11" max="11" width="13.1796875" bestFit="1" customWidth="1"/>
    <col min="12" max="12" width="13.54296875" bestFit="1" customWidth="1"/>
    <col min="13" max="13" width="14.1796875" customWidth="1"/>
    <col min="14" max="14" width="1.54296875" customWidth="1"/>
    <col min="15" max="15" width="14.81640625" customWidth="1"/>
    <col min="16" max="20" width="10.81640625" customWidth="1"/>
    <col min="22" max="35" width="8.81640625" customWidth="1"/>
  </cols>
  <sheetData>
    <row r="1" spans="2:34" ht="30" customHeight="1" x14ac:dyDescent="0.35">
      <c r="B1" s="492" t="str">
        <f>'Inputs and eligible population'!B1</f>
        <v xml:space="preserve">Pembrolizumab as neoadjuvant (with chemotherapy) and adjuvant (as monotherapy) treatment for resectable non-small-cell lung cancer </v>
      </c>
      <c r="C1" s="127"/>
      <c r="D1" s="127"/>
      <c r="E1" s="127"/>
      <c r="F1" s="127"/>
      <c r="G1" s="127"/>
      <c r="H1" s="127"/>
      <c r="I1" s="127"/>
      <c r="J1" s="127"/>
      <c r="K1" s="127"/>
      <c r="L1" s="127"/>
      <c r="M1" s="127"/>
      <c r="N1" s="127"/>
      <c r="O1" s="127"/>
      <c r="P1" s="127"/>
      <c r="Q1" s="127"/>
      <c r="R1" s="127"/>
      <c r="S1" s="127"/>
      <c r="T1" s="127"/>
    </row>
    <row r="2" spans="2:34" ht="38.15" customHeight="1" x14ac:dyDescent="0.35">
      <c r="B2" s="353" t="s">
        <v>811</v>
      </c>
      <c r="C2" s="127" t="s">
        <v>745</v>
      </c>
      <c r="D2" s="127" t="s">
        <v>745</v>
      </c>
      <c r="E2" s="127" t="s">
        <v>745</v>
      </c>
      <c r="F2" s="127" t="s">
        <v>745</v>
      </c>
      <c r="G2" s="127" t="s">
        <v>745</v>
      </c>
      <c r="H2" s="127"/>
      <c r="I2" s="127" t="s">
        <v>745</v>
      </c>
      <c r="J2" s="127" t="s">
        <v>745</v>
      </c>
      <c r="K2" s="133"/>
      <c r="L2" s="127"/>
      <c r="M2" s="127"/>
      <c r="N2" s="127"/>
      <c r="O2" s="127"/>
      <c r="P2" s="127"/>
      <c r="Q2" s="127"/>
      <c r="R2" s="127"/>
      <c r="S2" s="127"/>
      <c r="T2" s="127"/>
    </row>
    <row r="3" spans="2:34" x14ac:dyDescent="0.35">
      <c r="B3" s="130" t="s">
        <v>745</v>
      </c>
      <c r="C3" s="133" t="s">
        <v>745</v>
      </c>
      <c r="D3" s="133" t="s">
        <v>745</v>
      </c>
      <c r="E3" s="133" t="s">
        <v>745</v>
      </c>
      <c r="F3" s="133" t="s">
        <v>745</v>
      </c>
      <c r="G3" s="133" t="s">
        <v>745</v>
      </c>
      <c r="H3" s="133" t="s">
        <v>745</v>
      </c>
      <c r="I3" s="133" t="s">
        <v>745</v>
      </c>
      <c r="J3" s="133" t="s">
        <v>745</v>
      </c>
      <c r="K3" s="133"/>
      <c r="L3" s="133"/>
      <c r="M3" s="133"/>
      <c r="N3" s="133"/>
      <c r="O3" s="133"/>
      <c r="P3" s="133"/>
      <c r="Q3" s="133"/>
      <c r="R3" s="133"/>
      <c r="S3" s="133"/>
      <c r="T3" s="133"/>
    </row>
    <row r="4" spans="2:34" s="240" customFormat="1" x14ac:dyDescent="0.35">
      <c r="B4" s="245" t="s">
        <v>812</v>
      </c>
      <c r="F4" s="133"/>
      <c r="G4" s="133"/>
      <c r="H4" s="133"/>
      <c r="I4" s="133"/>
      <c r="J4" s="133" t="s">
        <v>745</v>
      </c>
      <c r="K4" s="133"/>
      <c r="L4" s="133"/>
      <c r="M4" s="133"/>
      <c r="N4" s="133"/>
      <c r="O4" s="133"/>
      <c r="P4" s="133"/>
      <c r="Q4" s="133"/>
      <c r="R4" s="133"/>
      <c r="S4" s="133"/>
      <c r="T4" s="133"/>
    </row>
    <row r="5" spans="2:34" s="240" customFormat="1" x14ac:dyDescent="0.35">
      <c r="B5" s="245" t="s">
        <v>813</v>
      </c>
      <c r="F5" s="133"/>
      <c r="G5" s="133"/>
      <c r="H5" s="133"/>
      <c r="I5" s="133"/>
      <c r="J5" s="133"/>
      <c r="K5" s="133"/>
      <c r="L5" s="133"/>
      <c r="M5" s="133"/>
      <c r="N5" s="133"/>
      <c r="O5" s="133"/>
      <c r="P5" s="133"/>
      <c r="Q5" s="133"/>
      <c r="R5" s="133"/>
      <c r="S5" s="133"/>
      <c r="T5" s="133"/>
    </row>
    <row r="6" spans="2:34" s="240" customFormat="1" x14ac:dyDescent="0.35">
      <c r="B6" s="245"/>
      <c r="C6" s="133" t="s">
        <v>745</v>
      </c>
      <c r="D6" s="133" t="s">
        <v>745</v>
      </c>
      <c r="E6" s="133"/>
      <c r="F6" s="133"/>
      <c r="G6" s="133"/>
      <c r="H6" s="133"/>
      <c r="I6" s="133" t="s">
        <v>745</v>
      </c>
      <c r="J6" s="133" t="s">
        <v>745</v>
      </c>
      <c r="K6" s="133"/>
      <c r="L6" s="133"/>
      <c r="M6" s="133"/>
      <c r="N6" s="133"/>
      <c r="O6" s="133"/>
      <c r="P6" s="133"/>
      <c r="Q6" s="133"/>
      <c r="R6" s="133"/>
      <c r="S6" s="133"/>
      <c r="T6" s="133"/>
    </row>
    <row r="7" spans="2:34" s="240" customFormat="1" ht="43.5" x14ac:dyDescent="0.35">
      <c r="B7" s="255" t="s">
        <v>785</v>
      </c>
      <c r="C7" s="266"/>
      <c r="D7" s="387" t="s">
        <v>814</v>
      </c>
      <c r="E7" s="267" t="s">
        <v>676</v>
      </c>
      <c r="F7" s="267" t="s">
        <v>677</v>
      </c>
      <c r="G7" s="268" t="s">
        <v>782</v>
      </c>
      <c r="H7" s="268" t="s">
        <v>783</v>
      </c>
      <c r="I7" s="267" t="s">
        <v>784</v>
      </c>
      <c r="K7" s="133"/>
      <c r="L7" s="133"/>
      <c r="N7" s="133"/>
      <c r="O7" s="133"/>
      <c r="P7" s="133"/>
      <c r="Q7" s="133"/>
      <c r="R7" s="133"/>
      <c r="S7" s="133"/>
      <c r="T7" s="133"/>
    </row>
    <row r="8" spans="2:34" s="240" customFormat="1" x14ac:dyDescent="0.35">
      <c r="B8" s="734" t="s">
        <v>945</v>
      </c>
      <c r="C8" s="730"/>
      <c r="D8" s="732">
        <f>'Inputs and eligible population'!F49</f>
        <v>2250.4463666590245</v>
      </c>
      <c r="E8" s="733">
        <f>'Inputs and eligible population'!G49</f>
        <v>2272.1447372342491</v>
      </c>
      <c r="F8" s="733">
        <f>'Inputs and eligible population'!H49</f>
        <v>2294.052319320841</v>
      </c>
      <c r="G8" s="733">
        <f>'Inputs and eligible population'!I49</f>
        <v>2316.1711300959123</v>
      </c>
      <c r="H8" s="733">
        <f>'Inputs and eligible population'!J49</f>
        <v>2338.5032061858074</v>
      </c>
      <c r="I8" s="733">
        <f>'Inputs and eligible population'!K49</f>
        <v>2361.0506038536309</v>
      </c>
      <c r="K8" s="133"/>
      <c r="L8" s="133"/>
      <c r="N8" s="133"/>
      <c r="O8" s="133"/>
      <c r="P8" s="133"/>
      <c r="Q8" s="133"/>
      <c r="R8" s="133"/>
      <c r="S8" s="133"/>
      <c r="T8" s="133"/>
    </row>
    <row r="9" spans="2:34" s="148" customFormat="1" x14ac:dyDescent="0.35">
      <c r="B9" s="223" t="s">
        <v>785</v>
      </c>
      <c r="C9" s="181"/>
      <c r="D9" s="180">
        <f t="shared" ref="D9:I9" si="0">SUM(D8:D8)</f>
        <v>2250.4463666590245</v>
      </c>
      <c r="E9" s="180">
        <f t="shared" si="0"/>
        <v>2272.1447372342491</v>
      </c>
      <c r="F9" s="180">
        <f t="shared" si="0"/>
        <v>2294.052319320841</v>
      </c>
      <c r="G9" s="180">
        <f t="shared" si="0"/>
        <v>2316.1711300959123</v>
      </c>
      <c r="H9" s="180">
        <f t="shared" si="0"/>
        <v>2338.5032061858074</v>
      </c>
      <c r="I9" s="180">
        <f t="shared" si="0"/>
        <v>2361.0506038536309</v>
      </c>
      <c r="K9" s="133"/>
      <c r="L9" s="133"/>
    </row>
    <row r="10" spans="2:34" s="240" customFormat="1" x14ac:dyDescent="0.35">
      <c r="B10" s="242" t="s">
        <v>745</v>
      </c>
      <c r="C10" s="133" t="s">
        <v>745</v>
      </c>
      <c r="D10" s="133" t="s">
        <v>745</v>
      </c>
      <c r="E10" s="133" t="s">
        <v>745</v>
      </c>
      <c r="F10" s="133" t="s">
        <v>745</v>
      </c>
      <c r="G10" s="133" t="s">
        <v>745</v>
      </c>
      <c r="H10" s="133"/>
      <c r="I10" s="133"/>
      <c r="K10" s="133"/>
      <c r="L10" s="133"/>
      <c r="N10" s="133"/>
      <c r="O10" s="133"/>
      <c r="P10" s="133"/>
      <c r="Q10" s="133"/>
      <c r="R10" s="133"/>
      <c r="S10" s="133"/>
      <c r="T10" s="133"/>
      <c r="AD10" s="269"/>
      <c r="AE10" s="269"/>
      <c r="AF10" s="269"/>
      <c r="AG10" s="269"/>
      <c r="AH10" s="269"/>
    </row>
    <row r="11" spans="2:34" s="240" customFormat="1" x14ac:dyDescent="0.35">
      <c r="B11" s="314" t="s">
        <v>788</v>
      </c>
      <c r="C11" s="315"/>
      <c r="D11" s="316"/>
      <c r="E11" s="316"/>
      <c r="F11" s="316"/>
      <c r="G11" s="316"/>
      <c r="H11" s="316"/>
      <c r="I11" s="317"/>
      <c r="K11" s="133"/>
      <c r="L11" s="133"/>
      <c r="N11" s="133"/>
      <c r="O11" s="133"/>
      <c r="P11" s="133"/>
      <c r="Q11" s="133"/>
      <c r="R11" s="133"/>
      <c r="S11" s="133"/>
      <c r="T11" s="133"/>
    </row>
    <row r="12" spans="2:34" s="240" customFormat="1" x14ac:dyDescent="0.35">
      <c r="B12" s="242"/>
      <c r="C12" s="133"/>
      <c r="D12" s="133"/>
      <c r="E12" s="133"/>
      <c r="F12" s="133"/>
      <c r="G12" s="133"/>
      <c r="H12" s="133"/>
      <c r="I12" s="133"/>
      <c r="N12" s="133"/>
      <c r="O12" s="133"/>
      <c r="P12" s="133"/>
      <c r="Q12" s="133"/>
      <c r="R12" s="133"/>
      <c r="S12" s="133"/>
      <c r="T12" s="133"/>
      <c r="AD12" s="269"/>
      <c r="AE12" s="269"/>
      <c r="AF12" s="269"/>
      <c r="AG12" s="269"/>
      <c r="AH12" s="269"/>
    </row>
    <row r="13" spans="2:34" s="240" customFormat="1" x14ac:dyDescent="0.35">
      <c r="B13" s="275" t="s">
        <v>815</v>
      </c>
      <c r="C13" s="270"/>
      <c r="D13" s="182"/>
      <c r="E13" s="182"/>
      <c r="F13" s="182"/>
      <c r="G13" s="182"/>
      <c r="H13" s="182"/>
      <c r="I13" s="183"/>
      <c r="N13" s="133"/>
      <c r="O13" s="133"/>
      <c r="P13" s="133"/>
      <c r="Q13" s="133"/>
      <c r="R13" s="133"/>
      <c r="S13" s="133"/>
      <c r="T13" s="133"/>
    </row>
    <row r="14" spans="2:34" s="240" customFormat="1" x14ac:dyDescent="0.35">
      <c r="B14" s="731" t="s">
        <v>945</v>
      </c>
      <c r="C14" s="326"/>
      <c r="D14" s="271"/>
      <c r="E14" s="271"/>
      <c r="F14" s="271"/>
      <c r="G14" s="271"/>
      <c r="H14" s="271"/>
      <c r="I14" s="271"/>
      <c r="N14" s="133"/>
      <c r="O14" s="133"/>
      <c r="P14" s="133"/>
      <c r="Q14" s="133"/>
      <c r="R14" s="133"/>
      <c r="S14" s="133"/>
      <c r="T14" s="133"/>
      <c r="V14" s="269"/>
      <c r="W14" s="269"/>
      <c r="X14" s="269"/>
      <c r="Y14" s="269"/>
      <c r="Z14" s="269"/>
      <c r="AA14" s="269"/>
      <c r="AC14" s="269"/>
      <c r="AD14" s="269"/>
      <c r="AE14" s="269"/>
      <c r="AF14" s="269"/>
      <c r="AG14" s="269"/>
      <c r="AH14" s="269"/>
    </row>
    <row r="15" spans="2:34" s="240" customFormat="1" x14ac:dyDescent="0.35">
      <c r="B15" s="325" t="s">
        <v>964</v>
      </c>
      <c r="C15" s="326"/>
      <c r="D15" s="271">
        <f>'Inputs and eligible population'!L82</f>
        <v>0</v>
      </c>
      <c r="E15" s="271">
        <f>'Inputs and eligible population'!M82</f>
        <v>454.42894744684986</v>
      </c>
      <c r="F15" s="271">
        <f>'Inputs and eligible population'!N82</f>
        <v>688.21569579625225</v>
      </c>
      <c r="G15" s="271">
        <f>'Inputs and eligible population'!O82</f>
        <v>810.65989553356928</v>
      </c>
      <c r="H15" s="271">
        <f>'Inputs and eligible population'!P82</f>
        <v>1052.3264427836134</v>
      </c>
      <c r="I15" s="271">
        <f>'Inputs and eligible population'!Q82</f>
        <v>1180.5253019268155</v>
      </c>
      <c r="K15" s="269"/>
      <c r="L15" s="269"/>
      <c r="M15" s="269"/>
      <c r="N15" s="269"/>
      <c r="O15" s="269"/>
      <c r="P15" s="133"/>
      <c r="Q15" s="133"/>
      <c r="R15" s="133"/>
      <c r="S15" s="133"/>
      <c r="T15" s="133"/>
      <c r="V15" s="269"/>
      <c r="W15" s="269"/>
      <c r="X15" s="269"/>
      <c r="Y15" s="269"/>
      <c r="Z15" s="269"/>
      <c r="AA15" s="269"/>
      <c r="AC15" s="269"/>
      <c r="AD15" s="269"/>
      <c r="AE15" s="269"/>
      <c r="AF15" s="269"/>
      <c r="AG15" s="269"/>
      <c r="AH15" s="269"/>
    </row>
    <row r="16" spans="2:34" s="240" customFormat="1" x14ac:dyDescent="0.35">
      <c r="B16" s="325" t="s">
        <v>965</v>
      </c>
      <c r="C16" s="326"/>
      <c r="D16" s="271">
        <f>'Inputs and eligible population'!L83</f>
        <v>2250.4463666590245</v>
      </c>
      <c r="E16" s="271">
        <f>'Inputs and eligible population'!M83</f>
        <v>1817.7157897873994</v>
      </c>
      <c r="F16" s="271">
        <f>'Inputs and eligible population'!N83</f>
        <v>1605.8366235245885</v>
      </c>
      <c r="G16" s="271">
        <f>'Inputs and eligible population'!O83</f>
        <v>1505.5112345623431</v>
      </c>
      <c r="H16" s="271">
        <f>'Inputs and eligible population'!P83</f>
        <v>1286.1767634021942</v>
      </c>
      <c r="I16" s="271">
        <f>'Inputs and eligible population'!Q83</f>
        <v>1180.5253019268155</v>
      </c>
      <c r="K16" s="806"/>
      <c r="L16" s="806"/>
      <c r="M16" s="806"/>
      <c r="N16" s="806"/>
      <c r="O16" s="806"/>
      <c r="P16" s="133"/>
      <c r="Q16" s="133"/>
      <c r="R16" s="133"/>
      <c r="S16" s="133"/>
      <c r="T16" s="133"/>
      <c r="V16" s="269"/>
      <c r="W16" s="269"/>
      <c r="X16" s="269"/>
      <c r="Y16" s="269"/>
      <c r="Z16" s="269"/>
      <c r="AA16" s="269"/>
      <c r="AC16" s="269"/>
      <c r="AD16" s="269"/>
      <c r="AE16" s="269"/>
      <c r="AF16" s="269"/>
      <c r="AG16" s="269"/>
      <c r="AH16" s="269"/>
    </row>
    <row r="17" spans="2:34" s="240" customFormat="1" x14ac:dyDescent="0.35">
      <c r="B17" s="735" t="s">
        <v>966</v>
      </c>
      <c r="C17" s="326"/>
      <c r="D17" s="180">
        <f t="shared" ref="D17:I17" si="1">SUM(D15:D16)</f>
        <v>2250.4463666590245</v>
      </c>
      <c r="E17" s="180">
        <f t="shared" si="1"/>
        <v>2272.1447372342491</v>
      </c>
      <c r="F17" s="180">
        <f t="shared" si="1"/>
        <v>2294.052319320841</v>
      </c>
      <c r="G17" s="180">
        <f t="shared" si="1"/>
        <v>2316.1711300959123</v>
      </c>
      <c r="H17" s="180">
        <f t="shared" si="1"/>
        <v>2338.5032061858074</v>
      </c>
      <c r="I17" s="180">
        <f t="shared" si="1"/>
        <v>2361.0506038536309</v>
      </c>
      <c r="N17" s="133"/>
      <c r="O17" s="133"/>
      <c r="P17" s="133"/>
      <c r="Q17" s="133"/>
      <c r="R17" s="133"/>
      <c r="S17" s="133"/>
      <c r="T17" s="133"/>
      <c r="V17" s="269"/>
      <c r="W17" s="269"/>
      <c r="X17" s="269"/>
      <c r="Y17" s="269"/>
      <c r="Z17" s="269"/>
      <c r="AA17" s="269"/>
      <c r="AC17" s="269"/>
      <c r="AD17" s="269"/>
      <c r="AE17" s="269"/>
      <c r="AF17" s="269"/>
      <c r="AG17" s="269"/>
      <c r="AH17" s="269"/>
    </row>
    <row r="18" spans="2:34" s="240" customFormat="1" x14ac:dyDescent="0.35">
      <c r="B18" s="735" t="s">
        <v>946</v>
      </c>
      <c r="C18" s="326"/>
      <c r="D18" s="180"/>
      <c r="E18" s="180"/>
      <c r="F18" s="180"/>
      <c r="G18" s="180"/>
      <c r="H18" s="180"/>
      <c r="I18" s="180"/>
      <c r="N18" s="133"/>
      <c r="O18" s="133"/>
      <c r="P18" s="133"/>
      <c r="Q18" s="133"/>
      <c r="R18" s="133"/>
      <c r="S18" s="133"/>
      <c r="T18" s="133"/>
      <c r="V18" s="269"/>
      <c r="W18" s="269"/>
      <c r="X18" s="269"/>
      <c r="Y18" s="269"/>
      <c r="Z18" s="269"/>
      <c r="AA18" s="269"/>
      <c r="AC18" s="269"/>
      <c r="AD18" s="269"/>
      <c r="AE18" s="269"/>
      <c r="AF18" s="269"/>
      <c r="AG18" s="269"/>
      <c r="AH18" s="269"/>
    </row>
    <row r="19" spans="2:34" s="240" customFormat="1" x14ac:dyDescent="0.35">
      <c r="B19" s="325" t="s">
        <v>1003</v>
      </c>
      <c r="C19" s="326"/>
      <c r="D19" s="128">
        <f>'Inputs and eligible population'!L88</f>
        <v>0</v>
      </c>
      <c r="E19" s="128">
        <f>'Inputs and eligible population'!M88</f>
        <v>323.55341058215708</v>
      </c>
      <c r="F19" s="128">
        <f>'Inputs and eligible population'!N88</f>
        <v>490.00957540693162</v>
      </c>
      <c r="G19" s="128">
        <f>'Inputs and eligible population'!O88</f>
        <v>577.18984561990135</v>
      </c>
      <c r="H19" s="128">
        <f>'Inputs and eligible population'!P88</f>
        <v>749.25642726193269</v>
      </c>
      <c r="I19" s="128">
        <f>'Inputs and eligible population'!Q88</f>
        <v>840.53401497189259</v>
      </c>
      <c r="K19" s="269"/>
      <c r="L19" s="269"/>
      <c r="M19" s="269"/>
      <c r="N19" s="269"/>
      <c r="O19" s="269"/>
      <c r="P19" s="133"/>
      <c r="Q19" s="133"/>
      <c r="R19" s="133"/>
      <c r="S19" s="133"/>
      <c r="T19" s="133"/>
      <c r="V19" s="269"/>
      <c r="W19" s="269"/>
      <c r="X19" s="269"/>
      <c r="Y19" s="269"/>
      <c r="Z19" s="269"/>
      <c r="AA19" s="269"/>
      <c r="AC19" s="269"/>
      <c r="AD19" s="269"/>
      <c r="AE19" s="269"/>
      <c r="AF19" s="269"/>
      <c r="AG19" s="269"/>
      <c r="AH19" s="269"/>
    </row>
    <row r="20" spans="2:34" s="240" customFormat="1" x14ac:dyDescent="0.35">
      <c r="B20" s="735" t="s">
        <v>966</v>
      </c>
      <c r="C20" s="327"/>
      <c r="D20" s="180">
        <f t="shared" ref="D20:I20" si="2">SUM(D19:D19)</f>
        <v>0</v>
      </c>
      <c r="E20" s="180">
        <f t="shared" si="2"/>
        <v>323.55341058215708</v>
      </c>
      <c r="F20" s="180">
        <f t="shared" si="2"/>
        <v>490.00957540693162</v>
      </c>
      <c r="G20" s="180">
        <f t="shared" si="2"/>
        <v>577.18984561990135</v>
      </c>
      <c r="H20" s="180">
        <f t="shared" si="2"/>
        <v>749.25642726193269</v>
      </c>
      <c r="I20" s="180">
        <f t="shared" si="2"/>
        <v>840.53401497189259</v>
      </c>
      <c r="K20" s="269"/>
      <c r="L20" s="269"/>
      <c r="M20" s="269"/>
      <c r="N20" s="269"/>
      <c r="O20" s="269"/>
      <c r="P20" s="133"/>
      <c r="Q20" s="133"/>
      <c r="R20" s="133"/>
      <c r="S20" s="133"/>
      <c r="T20" s="133"/>
      <c r="V20" s="269"/>
      <c r="W20" s="269"/>
      <c r="X20" s="269"/>
      <c r="Y20" s="269"/>
      <c r="Z20" s="269"/>
      <c r="AA20" s="269"/>
      <c r="AC20" s="269"/>
      <c r="AD20" s="269"/>
      <c r="AE20" s="269"/>
      <c r="AF20" s="269"/>
      <c r="AG20" s="269"/>
      <c r="AH20" s="269"/>
    </row>
    <row r="21" spans="2:34" s="240" customFormat="1" x14ac:dyDescent="0.35">
      <c r="B21" s="276"/>
      <c r="C21" s="184"/>
      <c r="D21" s="185">
        <f t="shared" ref="D21:I21" si="3">D17</f>
        <v>2250.4463666590245</v>
      </c>
      <c r="E21" s="185">
        <f t="shared" si="3"/>
        <v>2272.1447372342491</v>
      </c>
      <c r="F21" s="185">
        <f t="shared" si="3"/>
        <v>2294.052319320841</v>
      </c>
      <c r="G21" s="185">
        <f t="shared" si="3"/>
        <v>2316.1711300959123</v>
      </c>
      <c r="H21" s="185">
        <f t="shared" si="3"/>
        <v>2338.5032061858074</v>
      </c>
      <c r="I21" s="185">
        <f t="shared" si="3"/>
        <v>2361.0506038536309</v>
      </c>
      <c r="K21" s="336"/>
      <c r="L21" s="336"/>
      <c r="M21" s="336"/>
      <c r="N21" s="336"/>
      <c r="O21" s="336"/>
      <c r="P21" s="133"/>
      <c r="Q21" s="133"/>
      <c r="R21" s="133"/>
      <c r="S21" s="133"/>
      <c r="T21" s="133"/>
      <c r="V21" s="269"/>
      <c r="W21" s="269"/>
      <c r="X21" s="269"/>
      <c r="Y21" s="269"/>
      <c r="Z21" s="269"/>
      <c r="AA21" s="269"/>
      <c r="AC21" s="269"/>
      <c r="AD21" s="269"/>
      <c r="AE21" s="269"/>
      <c r="AF21" s="269"/>
      <c r="AG21" s="269"/>
      <c r="AH21" s="269"/>
    </row>
    <row r="22" spans="2:34" s="240" customFormat="1" x14ac:dyDescent="0.35">
      <c r="B22" s="277"/>
      <c r="C22" s="133"/>
      <c r="D22" s="133"/>
      <c r="E22" s="133"/>
      <c r="F22" s="133"/>
      <c r="G22" s="133"/>
      <c r="H22" s="133"/>
      <c r="I22" s="133"/>
      <c r="K22" s="269"/>
      <c r="L22" s="269"/>
      <c r="M22" s="269"/>
      <c r="N22" s="269"/>
      <c r="O22" s="269"/>
      <c r="P22" s="133"/>
      <c r="Q22" s="133"/>
      <c r="R22" s="133"/>
      <c r="S22" s="133"/>
      <c r="T22" s="133"/>
      <c r="AD22" s="269"/>
      <c r="AE22" s="269"/>
      <c r="AF22" s="269"/>
      <c r="AG22" s="269"/>
      <c r="AH22" s="269"/>
    </row>
    <row r="23" spans="2:34" s="240" customFormat="1" x14ac:dyDescent="0.35">
      <c r="B23" s="278" t="s">
        <v>816</v>
      </c>
      <c r="C23" s="272" t="s">
        <v>817</v>
      </c>
      <c r="D23" s="648" t="s">
        <v>789</v>
      </c>
      <c r="E23" s="648" t="s">
        <v>789</v>
      </c>
      <c r="F23" s="648" t="s">
        <v>789</v>
      </c>
      <c r="G23" s="648" t="s">
        <v>789</v>
      </c>
      <c r="H23" s="648" t="s">
        <v>789</v>
      </c>
      <c r="I23" s="648" t="s">
        <v>789</v>
      </c>
      <c r="N23" s="133"/>
      <c r="O23" s="133"/>
      <c r="P23" s="133"/>
      <c r="Q23" s="133"/>
      <c r="R23" s="133"/>
      <c r="S23" s="133"/>
      <c r="T23" s="133"/>
      <c r="AD23" s="269"/>
      <c r="AE23" s="269"/>
      <c r="AF23" s="269"/>
      <c r="AG23" s="269"/>
      <c r="AH23" s="269"/>
    </row>
    <row r="24" spans="2:34" s="240" customFormat="1" x14ac:dyDescent="0.35">
      <c r="B24" s="324" t="str">
        <f>'Inputs and eligible population'!C55</f>
        <v>Pembrolizumab + chemo - neoadjuvant</v>
      </c>
      <c r="C24" s="841" t="str">
        <f>'Unit costs'!T14</f>
        <v>£0</v>
      </c>
      <c r="D24" s="273">
        <f>D15*$C24/1000</f>
        <v>0</v>
      </c>
      <c r="E24" s="273">
        <f>(E15*$C24)/1000</f>
        <v>0</v>
      </c>
      <c r="F24" s="273">
        <f>F15*$C24/1000</f>
        <v>0</v>
      </c>
      <c r="G24" s="273">
        <f>G15*$C24/1000</f>
        <v>0</v>
      </c>
      <c r="H24" s="273">
        <f>H15*$C24/1000</f>
        <v>0</v>
      </c>
      <c r="I24" s="273">
        <f>I15*$C24/1000</f>
        <v>0</v>
      </c>
      <c r="N24" s="133"/>
      <c r="O24" s="133"/>
      <c r="P24" s="133"/>
      <c r="Q24" s="133"/>
      <c r="R24" s="133"/>
      <c r="S24" s="133"/>
      <c r="T24" s="133"/>
      <c r="AD24" s="269"/>
      <c r="AE24" s="269"/>
      <c r="AF24" s="269"/>
      <c r="AG24" s="269"/>
      <c r="AH24" s="269"/>
    </row>
    <row r="25" spans="2:34" s="240" customFormat="1" x14ac:dyDescent="0.35">
      <c r="B25" s="324" t="s">
        <v>967</v>
      </c>
      <c r="C25" s="273">
        <f>'Unit costs'!T19/2</f>
        <v>0</v>
      </c>
      <c r="D25" s="273">
        <f>D19*$C25/1000</f>
        <v>0</v>
      </c>
      <c r="E25" s="273">
        <f>(E19*$C25)/1000</f>
        <v>0</v>
      </c>
      <c r="F25" s="273">
        <f>(F19*$C25/1000)</f>
        <v>0</v>
      </c>
      <c r="G25" s="273">
        <f>(G19*$C25)/1000</f>
        <v>0</v>
      </c>
      <c r="H25" s="273">
        <f>(H19*$C25)/1000</f>
        <v>0</v>
      </c>
      <c r="I25" s="273">
        <f>(I19*$C25)/1000</f>
        <v>0</v>
      </c>
      <c r="N25" s="133"/>
      <c r="O25" s="133"/>
      <c r="P25" s="133"/>
      <c r="Q25" s="133"/>
      <c r="R25" s="133"/>
      <c r="S25" s="133"/>
      <c r="T25" s="133"/>
      <c r="AD25" s="269"/>
      <c r="AE25" s="269"/>
      <c r="AF25" s="269"/>
      <c r="AG25" s="269"/>
      <c r="AH25" s="269"/>
    </row>
    <row r="26" spans="2:34" s="240" customFormat="1" x14ac:dyDescent="0.35">
      <c r="B26" s="324" t="s">
        <v>968</v>
      </c>
      <c r="C26" s="273">
        <f>'Unit costs'!T19/2</f>
        <v>0</v>
      </c>
      <c r="D26" s="273">
        <v>0</v>
      </c>
      <c r="E26" s="273">
        <v>0</v>
      </c>
      <c r="F26" s="273">
        <f>E19*$C26/1000</f>
        <v>0</v>
      </c>
      <c r="G26" s="273">
        <f>F19*$C26/1000</f>
        <v>0</v>
      </c>
      <c r="H26" s="273">
        <f>G19*$C26/1000</f>
        <v>0</v>
      </c>
      <c r="I26" s="273">
        <f>H19*$C26/1000</f>
        <v>0</v>
      </c>
      <c r="L26" s="799"/>
      <c r="M26" s="799"/>
      <c r="N26" s="133"/>
      <c r="O26" s="133"/>
      <c r="P26" s="133"/>
      <c r="Q26" s="133"/>
      <c r="R26" s="133"/>
      <c r="S26" s="133"/>
      <c r="T26" s="133"/>
      <c r="AD26" s="269"/>
      <c r="AE26" s="269"/>
      <c r="AF26" s="269"/>
      <c r="AG26" s="269"/>
      <c r="AH26" s="269"/>
    </row>
    <row r="27" spans="2:34" s="240" customFormat="1" x14ac:dyDescent="0.35">
      <c r="B27" s="324" t="str">
        <f>'Inputs and eligible population'!C58</f>
        <v>Nivolumab neoadjuvant</v>
      </c>
      <c r="C27" s="841" t="str">
        <f>'Unit costs'!T30</f>
        <v>£0</v>
      </c>
      <c r="D27" s="273">
        <f t="shared" ref="D27:I27" si="4">(D16*$C27)/1000</f>
        <v>0</v>
      </c>
      <c r="E27" s="273">
        <f t="shared" si="4"/>
        <v>0</v>
      </c>
      <c r="F27" s="273">
        <f t="shared" si="4"/>
        <v>0</v>
      </c>
      <c r="G27" s="273">
        <f t="shared" si="4"/>
        <v>0</v>
      </c>
      <c r="H27" s="273">
        <f t="shared" si="4"/>
        <v>0</v>
      </c>
      <c r="I27" s="273">
        <f t="shared" si="4"/>
        <v>0</v>
      </c>
      <c r="K27" s="799"/>
      <c r="N27" s="133"/>
      <c r="O27" s="133"/>
      <c r="P27" s="133"/>
      <c r="Q27" s="133"/>
      <c r="R27" s="133"/>
      <c r="S27" s="133"/>
      <c r="T27" s="133"/>
      <c r="AD27" s="269"/>
      <c r="AE27" s="269"/>
      <c r="AF27" s="269"/>
      <c r="AG27" s="269"/>
      <c r="AH27" s="269"/>
    </row>
    <row r="28" spans="2:34" s="240" customFormat="1" x14ac:dyDescent="0.35">
      <c r="B28" s="276" t="s">
        <v>818</v>
      </c>
      <c r="C28" s="612"/>
      <c r="D28" s="186">
        <f t="shared" ref="D28:I28" si="5">SUM(D24:D27)</f>
        <v>0</v>
      </c>
      <c r="E28" s="186">
        <f t="shared" si="5"/>
        <v>0</v>
      </c>
      <c r="F28" s="186">
        <f t="shared" si="5"/>
        <v>0</v>
      </c>
      <c r="G28" s="186">
        <f t="shared" si="5"/>
        <v>0</v>
      </c>
      <c r="H28" s="187">
        <f t="shared" si="5"/>
        <v>0</v>
      </c>
      <c r="I28" s="186">
        <f t="shared" si="5"/>
        <v>0</v>
      </c>
      <c r="J28" s="333"/>
      <c r="N28" s="133"/>
      <c r="O28" s="133"/>
      <c r="P28" s="133"/>
      <c r="Q28" s="133"/>
      <c r="R28" s="133"/>
      <c r="S28" s="133"/>
      <c r="T28" s="133"/>
      <c r="AD28" s="269"/>
      <c r="AE28" s="269"/>
      <c r="AF28" s="269"/>
      <c r="AG28" s="269"/>
      <c r="AH28" s="269"/>
    </row>
    <row r="29" spans="2:34" s="240" customFormat="1" x14ac:dyDescent="0.35">
      <c r="B29" s="277"/>
      <c r="C29" s="133"/>
      <c r="D29" s="133"/>
      <c r="E29" s="133"/>
      <c r="F29" s="133"/>
      <c r="G29" s="133"/>
      <c r="H29" s="133"/>
      <c r="I29" s="133"/>
      <c r="N29" s="133"/>
      <c r="O29" s="133"/>
      <c r="P29" s="133"/>
      <c r="Q29" s="133"/>
      <c r="R29" s="133"/>
      <c r="S29" s="133"/>
      <c r="T29" s="133"/>
      <c r="AD29" s="269"/>
      <c r="AE29" s="269"/>
      <c r="AF29" s="269"/>
      <c r="AG29" s="269"/>
      <c r="AH29" s="269"/>
    </row>
    <row r="30" spans="2:34" s="240" customFormat="1" x14ac:dyDescent="0.35">
      <c r="B30" s="354"/>
      <c r="C30" s="274"/>
      <c r="D30" s="332" t="s">
        <v>791</v>
      </c>
      <c r="E30" s="186">
        <f>E28-$D$28</f>
        <v>0</v>
      </c>
      <c r="F30" s="186">
        <f t="shared" ref="F30:I30" si="6">F28-$D$28</f>
        <v>0</v>
      </c>
      <c r="G30" s="186">
        <f t="shared" si="6"/>
        <v>0</v>
      </c>
      <c r="H30" s="186">
        <f t="shared" si="6"/>
        <v>0</v>
      </c>
      <c r="I30" s="186">
        <f t="shared" si="6"/>
        <v>0</v>
      </c>
      <c r="N30" s="133"/>
      <c r="O30" s="133"/>
      <c r="P30" s="133"/>
      <c r="Q30" s="133"/>
      <c r="R30" s="133"/>
      <c r="S30" s="133"/>
      <c r="T30" s="133"/>
      <c r="AD30" s="269"/>
      <c r="AE30" s="269"/>
      <c r="AF30" s="269"/>
      <c r="AG30" s="269"/>
      <c r="AH30" s="269"/>
    </row>
    <row r="31" spans="2:34" s="240" customFormat="1" x14ac:dyDescent="0.35">
      <c r="B31" s="354"/>
      <c r="C31" s="274"/>
      <c r="D31" s="280" t="s">
        <v>819</v>
      </c>
      <c r="E31" s="186">
        <f>E30</f>
        <v>0</v>
      </c>
      <c r="F31" s="188">
        <f>F30-E30</f>
        <v>0</v>
      </c>
      <c r="G31" s="188">
        <f t="shared" ref="G31:I31" si="7">G30-F30</f>
        <v>0</v>
      </c>
      <c r="H31" s="188">
        <f t="shared" si="7"/>
        <v>0</v>
      </c>
      <c r="I31" s="188">
        <f t="shared" si="7"/>
        <v>0</v>
      </c>
      <c r="J31" s="133"/>
      <c r="K31" s="133"/>
      <c r="L31" s="133"/>
      <c r="M31" s="133"/>
      <c r="N31" s="133"/>
      <c r="O31" s="133"/>
      <c r="P31" s="133"/>
      <c r="Q31" s="133"/>
      <c r="R31" s="133"/>
      <c r="S31" s="133"/>
      <c r="T31" s="133"/>
      <c r="AD31" s="269"/>
      <c r="AE31" s="269"/>
      <c r="AF31" s="269"/>
      <c r="AG31" s="269"/>
      <c r="AH31" s="269"/>
    </row>
    <row r="33" spans="2:11" x14ac:dyDescent="0.35">
      <c r="B33" t="s">
        <v>1097</v>
      </c>
      <c r="J33" s="240"/>
      <c r="K33" s="240"/>
    </row>
    <row r="34" spans="2:11" x14ac:dyDescent="0.35">
      <c r="B34" t="s">
        <v>1078</v>
      </c>
      <c r="J34" s="240"/>
      <c r="K34" s="240"/>
    </row>
    <row r="35" spans="2:11" x14ac:dyDescent="0.35">
      <c r="J35" s="240"/>
      <c r="K35" s="240"/>
    </row>
  </sheetData>
  <sheetProtection algorithmName="SHA-512" hashValue="1xJwKWB/jxJAO5Hzw2Jlzw28OUOEKAXKfn1AYL8rgAB+9y+QUqd823mM4FNQdOBT1ClG5lfBeDfCcWWBSIro6w==" saltValue="heqGnJ5ohqRt2L4OHLyc9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44"/>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92" t="str">
        <f>'Inputs and eligible population'!B1</f>
        <v xml:space="preserve">Pembrolizumab as neoadjuvant (with chemotherapy) and adjuvant (as monotherapy) treatment for resectable non-small-cell lung cancer </v>
      </c>
      <c r="C1" s="127"/>
      <c r="D1" s="127"/>
      <c r="F1" s="127"/>
      <c r="G1" s="127"/>
      <c r="H1" s="127"/>
      <c r="I1" s="127"/>
      <c r="J1" s="127"/>
      <c r="K1" s="127"/>
      <c r="L1" s="127"/>
      <c r="M1" s="127"/>
      <c r="N1" s="127"/>
      <c r="O1" s="127"/>
      <c r="P1" s="127"/>
      <c r="R1" s="127"/>
      <c r="S1" s="127"/>
      <c r="T1" s="127"/>
      <c r="U1" s="127"/>
      <c r="V1" s="127"/>
      <c r="W1" s="127"/>
      <c r="X1" s="127"/>
      <c r="Y1" s="127"/>
      <c r="Z1" s="127"/>
    </row>
    <row r="2" spans="1:40" ht="42.65" customHeight="1" x14ac:dyDescent="0.35">
      <c r="B2" s="214" t="s">
        <v>820</v>
      </c>
      <c r="C2" s="127" t="s">
        <v>745</v>
      </c>
      <c r="D2" s="127" t="s">
        <v>745</v>
      </c>
      <c r="E2" s="443"/>
      <c r="F2" s="127" t="s">
        <v>745</v>
      </c>
      <c r="G2" s="127" t="s">
        <v>745</v>
      </c>
      <c r="H2" s="127" t="s">
        <v>745</v>
      </c>
      <c r="I2" s="127" t="s">
        <v>745</v>
      </c>
      <c r="J2" s="127"/>
      <c r="K2" s="127"/>
      <c r="L2" s="127"/>
      <c r="M2" s="127"/>
      <c r="N2" s="127"/>
      <c r="O2" s="127"/>
      <c r="P2" s="127"/>
      <c r="Q2" s="127"/>
      <c r="R2" s="127"/>
      <c r="S2" s="127"/>
      <c r="T2" s="127"/>
      <c r="U2" s="127"/>
      <c r="V2" s="127"/>
      <c r="W2" s="127"/>
      <c r="X2" s="127"/>
      <c r="Y2" s="127"/>
      <c r="Z2" s="127"/>
    </row>
    <row r="3" spans="1:40" ht="14.75" customHeight="1" x14ac:dyDescent="0.35">
      <c r="B3" s="130" t="s">
        <v>745</v>
      </c>
      <c r="C3" s="133" t="s">
        <v>745</v>
      </c>
      <c r="D3" s="133" t="s">
        <v>745</v>
      </c>
      <c r="F3" s="133" t="s">
        <v>745</v>
      </c>
      <c r="G3" s="133" t="s">
        <v>745</v>
      </c>
      <c r="H3" s="133" t="s">
        <v>745</v>
      </c>
      <c r="I3" s="133" t="s">
        <v>745</v>
      </c>
      <c r="J3" s="127"/>
      <c r="K3" s="127"/>
      <c r="L3" s="127"/>
      <c r="M3" s="127"/>
      <c r="N3" s="127"/>
      <c r="O3" s="127"/>
      <c r="P3" s="127"/>
      <c r="Q3" s="133"/>
      <c r="R3" s="133"/>
      <c r="S3" s="133"/>
      <c r="T3" s="133"/>
      <c r="U3" s="133"/>
      <c r="V3" s="133"/>
      <c r="W3" s="133"/>
      <c r="X3" s="133"/>
      <c r="Y3" s="133"/>
      <c r="Z3" s="133"/>
    </row>
    <row r="4" spans="1:40" ht="14.75" customHeight="1" x14ac:dyDescent="0.35">
      <c r="B4" t="s">
        <v>821</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33"/>
      <c r="T5" s="133"/>
      <c r="U5" s="133"/>
      <c r="V5" s="133"/>
      <c r="W5" s="133"/>
      <c r="X5" s="133"/>
      <c r="Y5" s="133"/>
      <c r="Z5" s="133"/>
    </row>
    <row r="6" spans="1:40" ht="43.5" x14ac:dyDescent="0.35">
      <c r="B6" s="255" t="s">
        <v>785</v>
      </c>
      <c r="C6" s="209"/>
      <c r="D6" s="387" t="s">
        <v>814</v>
      </c>
      <c r="E6" s="253" t="s">
        <v>676</v>
      </c>
      <c r="F6" s="253" t="s">
        <v>677</v>
      </c>
      <c r="G6" s="164" t="s">
        <v>782</v>
      </c>
      <c r="H6" s="164" t="s">
        <v>783</v>
      </c>
      <c r="I6" s="253" t="s">
        <v>784</v>
      </c>
      <c r="L6" s="387" t="s">
        <v>814</v>
      </c>
      <c r="M6" s="253" t="s">
        <v>676</v>
      </c>
      <c r="N6" s="253" t="s">
        <v>677</v>
      </c>
      <c r="O6" s="164" t="s">
        <v>782</v>
      </c>
      <c r="P6" s="164" t="s">
        <v>783</v>
      </c>
      <c r="Q6" s="253" t="s">
        <v>784</v>
      </c>
      <c r="R6" s="133"/>
      <c r="S6" s="133"/>
      <c r="T6" s="133"/>
      <c r="U6" s="133"/>
      <c r="V6" s="133"/>
      <c r="W6" s="133"/>
      <c r="X6" s="133"/>
      <c r="Y6" s="133"/>
      <c r="Z6" s="133"/>
      <c r="AJ6" s="282"/>
      <c r="AK6" s="282"/>
      <c r="AL6" s="282"/>
      <c r="AM6" s="282"/>
      <c r="AN6" s="282"/>
    </row>
    <row r="7" spans="1:40" x14ac:dyDescent="0.35">
      <c r="B7" s="223" t="s">
        <v>785</v>
      </c>
      <c r="C7" s="167"/>
      <c r="D7" s="355">
        <f>'Inputs and eligible population'!F49</f>
        <v>2250.4463666590245</v>
      </c>
      <c r="E7" s="355">
        <f>'Inputs and eligible population'!G49</f>
        <v>2272.1447372342491</v>
      </c>
      <c r="F7" s="355">
        <f>'Inputs and eligible population'!H49</f>
        <v>2294.052319320841</v>
      </c>
      <c r="G7" s="355">
        <f>'Inputs and eligible population'!I49</f>
        <v>2316.1711300959123</v>
      </c>
      <c r="H7" s="355">
        <f>'Inputs and eligible population'!J49</f>
        <v>2338.5032061858074</v>
      </c>
      <c r="I7" s="355">
        <f>'Inputs and eligible population'!K49</f>
        <v>2361.0506038536309</v>
      </c>
      <c r="P7" s="133"/>
      <c r="Q7" s="133"/>
      <c r="R7" s="133"/>
      <c r="S7" s="133"/>
      <c r="T7" s="133"/>
      <c r="U7" s="133"/>
      <c r="V7" s="133"/>
      <c r="W7" s="133"/>
      <c r="X7" s="133"/>
      <c r="Y7" s="133"/>
      <c r="Z7" s="133"/>
      <c r="AJ7" s="282"/>
      <c r="AK7" s="282"/>
      <c r="AL7" s="282"/>
      <c r="AM7" s="282"/>
      <c r="AN7" s="282"/>
    </row>
    <row r="8" spans="1:40" x14ac:dyDescent="0.35">
      <c r="B8"/>
      <c r="P8" s="133"/>
      <c r="Q8" s="133"/>
      <c r="R8" s="133"/>
      <c r="S8" s="133"/>
      <c r="T8" s="133"/>
      <c r="U8" s="133"/>
      <c r="V8" s="133"/>
      <c r="W8" s="133"/>
      <c r="X8" s="133"/>
      <c r="Y8" s="133"/>
      <c r="Z8" s="133"/>
      <c r="AJ8" s="282"/>
      <c r="AK8" s="282"/>
      <c r="AL8" s="282"/>
      <c r="AM8" s="282"/>
      <c r="AN8" s="282"/>
    </row>
    <row r="9" spans="1:40" x14ac:dyDescent="0.35">
      <c r="B9" s="275" t="s">
        <v>822</v>
      </c>
      <c r="C9" s="394"/>
      <c r="D9" s="394"/>
      <c r="E9" s="395"/>
      <c r="F9" s="394"/>
      <c r="G9" s="396"/>
      <c r="H9" s="397"/>
      <c r="I9" s="518"/>
      <c r="L9" s="648" t="s">
        <v>789</v>
      </c>
      <c r="M9" s="648" t="s">
        <v>789</v>
      </c>
      <c r="N9" s="648" t="s">
        <v>789</v>
      </c>
      <c r="O9" s="648" t="s">
        <v>789</v>
      </c>
      <c r="P9" s="648" t="s">
        <v>789</v>
      </c>
      <c r="Q9" s="648" t="s">
        <v>789</v>
      </c>
      <c r="R9" s="133"/>
      <c r="S9" s="133"/>
      <c r="T9" s="133"/>
      <c r="U9" s="133"/>
      <c r="V9" s="133"/>
      <c r="W9" s="133"/>
      <c r="X9" s="133"/>
      <c r="Y9" s="133"/>
      <c r="Z9" s="133"/>
      <c r="AJ9" s="282"/>
      <c r="AK9" s="282"/>
      <c r="AL9" s="282"/>
      <c r="AM9" s="282"/>
      <c r="AN9" s="282"/>
    </row>
    <row r="10" spans="1:40" x14ac:dyDescent="0.35">
      <c r="A10" s="284"/>
      <c r="B10" s="511" t="str">
        <f>'Capacity (national prices)'!B10</f>
        <v>First attendances - number of appointments (neoadjuvant setting)</v>
      </c>
      <c r="C10" s="360"/>
      <c r="D10" s="389"/>
      <c r="E10" s="389"/>
      <c r="F10" s="389"/>
      <c r="G10" s="389"/>
      <c r="H10" s="389"/>
      <c r="I10" s="389"/>
      <c r="L10" s="250"/>
      <c r="M10" s="250"/>
      <c r="N10" s="250"/>
      <c r="O10" s="250"/>
      <c r="P10" s="250"/>
      <c r="Q10" s="250"/>
      <c r="R10" s="133"/>
      <c r="S10" s="133"/>
      <c r="T10" s="133"/>
      <c r="U10" s="133"/>
      <c r="V10" s="133"/>
      <c r="W10" s="133"/>
      <c r="X10" s="133"/>
      <c r="Y10" s="133"/>
      <c r="Z10" s="133"/>
      <c r="AJ10" s="282"/>
      <c r="AK10" s="282"/>
      <c r="AL10" s="282"/>
      <c r="AM10" s="282"/>
      <c r="AN10" s="282"/>
    </row>
    <row r="11" spans="1:40" x14ac:dyDescent="0.35">
      <c r="A11" s="284"/>
      <c r="B11" s="511" t="str">
        <f>'Capacity (national prices)'!B13</f>
        <v>Follow up attendances - number of appointments (neoadjuvant setting)</v>
      </c>
      <c r="C11" s="360"/>
      <c r="D11" s="389"/>
      <c r="E11" s="389"/>
      <c r="F11" s="389"/>
      <c r="G11" s="389"/>
      <c r="H11" s="389"/>
      <c r="I11" s="389"/>
      <c r="L11" s="250"/>
      <c r="M11" s="250"/>
      <c r="N11" s="250"/>
      <c r="O11" s="250"/>
      <c r="P11" s="250"/>
      <c r="Q11" s="250"/>
      <c r="R11" s="133"/>
      <c r="S11" s="133"/>
      <c r="T11" s="133"/>
      <c r="U11" s="133"/>
      <c r="V11" s="133"/>
      <c r="W11" s="133"/>
      <c r="X11" s="133"/>
      <c r="Y11" s="133"/>
      <c r="Z11" s="133"/>
      <c r="AJ11" s="282"/>
      <c r="AK11" s="282"/>
      <c r="AL11" s="282"/>
      <c r="AM11" s="282"/>
      <c r="AN11" s="282"/>
    </row>
    <row r="12" spans="1:40" x14ac:dyDescent="0.35">
      <c r="A12" s="284"/>
      <c r="B12" s="511" t="str">
        <f>B30</f>
        <v>First attendances - hours and cost (neoadjuvant setting)</v>
      </c>
      <c r="C12" s="360"/>
      <c r="D12" s="389">
        <f>D34</f>
        <v>1125.2231833295123</v>
      </c>
      <c r="E12" s="389">
        <f t="shared" ref="E12:I12" si="0">E34</f>
        <v>1136.0723686171245</v>
      </c>
      <c r="F12" s="389">
        <f t="shared" si="0"/>
        <v>1147.0261596604205</v>
      </c>
      <c r="G12" s="389">
        <f t="shared" si="0"/>
        <v>1158.0855650479562</v>
      </c>
      <c r="H12" s="389">
        <f t="shared" si="0"/>
        <v>1169.2516030929037</v>
      </c>
      <c r="I12" s="389">
        <f t="shared" si="0"/>
        <v>1180.5253019268155</v>
      </c>
      <c r="L12" s="286">
        <f>L34</f>
        <v>136.24202303753734</v>
      </c>
      <c r="M12" s="286">
        <f t="shared" ref="M12:Q12" si="1">M34</f>
        <v>137.55564239216145</v>
      </c>
      <c r="N12" s="286">
        <f t="shared" si="1"/>
        <v>138.88192741168371</v>
      </c>
      <c r="O12" s="286">
        <f t="shared" si="1"/>
        <v>140.22100021600653</v>
      </c>
      <c r="P12" s="286">
        <f t="shared" si="1"/>
        <v>141.57298410248879</v>
      </c>
      <c r="Q12" s="286">
        <f t="shared" si="1"/>
        <v>142.9380035572988</v>
      </c>
      <c r="R12" s="133"/>
      <c r="S12" s="133"/>
      <c r="T12" s="133"/>
      <c r="U12" s="133"/>
      <c r="V12" s="133"/>
      <c r="W12" s="133"/>
      <c r="X12" s="133"/>
      <c r="Y12" s="133"/>
      <c r="Z12" s="133"/>
      <c r="AJ12" s="282"/>
      <c r="AK12" s="282"/>
      <c r="AL12" s="282"/>
      <c r="AM12" s="282"/>
      <c r="AN12" s="282"/>
    </row>
    <row r="13" spans="1:40" x14ac:dyDescent="0.35">
      <c r="A13" s="284"/>
      <c r="B13" s="511" t="str">
        <f>B38</f>
        <v>First attendances - hours and cost (adjuvant setting)</v>
      </c>
      <c r="C13" s="360"/>
      <c r="D13" s="389">
        <f>D41</f>
        <v>0</v>
      </c>
      <c r="E13" s="389">
        <f t="shared" ref="E13:I13" si="2">E41</f>
        <v>161.77670529107854</v>
      </c>
      <c r="F13" s="389">
        <f t="shared" si="2"/>
        <v>245.00478770346581</v>
      </c>
      <c r="G13" s="389">
        <f t="shared" si="2"/>
        <v>288.59492280995067</v>
      </c>
      <c r="H13" s="389">
        <f t="shared" si="2"/>
        <v>374.62821363096634</v>
      </c>
      <c r="I13" s="389">
        <f t="shared" si="2"/>
        <v>420.26700748594629</v>
      </c>
      <c r="L13" s="286">
        <f>L41</f>
        <v>0</v>
      </c>
      <c r="M13" s="286">
        <f t="shared" ref="M13:Q13" si="3">M41</f>
        <v>19.587923476643788</v>
      </c>
      <c r="N13" s="286">
        <f t="shared" si="3"/>
        <v>29.665179695135638</v>
      </c>
      <c r="O13" s="286">
        <f t="shared" si="3"/>
        <v>34.943073253828828</v>
      </c>
      <c r="P13" s="286">
        <f t="shared" si="3"/>
        <v>45.359984106437402</v>
      </c>
      <c r="Q13" s="286">
        <f t="shared" si="3"/>
        <v>50.885929266398378</v>
      </c>
      <c r="R13" s="133"/>
      <c r="S13" s="133"/>
      <c r="T13" s="133"/>
      <c r="U13" s="133"/>
      <c r="V13" s="133"/>
      <c r="W13" s="133"/>
      <c r="X13" s="133"/>
      <c r="Y13" s="133"/>
      <c r="Z13" s="133"/>
      <c r="AJ13" s="282"/>
      <c r="AK13" s="282"/>
      <c r="AL13" s="282"/>
      <c r="AM13" s="282"/>
      <c r="AN13" s="282"/>
    </row>
    <row r="14" spans="1:40" x14ac:dyDescent="0.35">
      <c r="A14" s="284"/>
      <c r="B14" s="511" t="str">
        <f>B45</f>
        <v>Follow up attendances hours and cost (neoadjuvant setting)</v>
      </c>
      <c r="C14" s="360"/>
      <c r="D14" s="389">
        <f>D49</f>
        <v>0</v>
      </c>
      <c r="E14" s="389">
        <f t="shared" ref="E14:I14" si="4">E49</f>
        <v>0</v>
      </c>
      <c r="F14" s="389">
        <f t="shared" si="4"/>
        <v>0</v>
      </c>
      <c r="G14" s="389">
        <f t="shared" si="4"/>
        <v>0</v>
      </c>
      <c r="H14" s="389">
        <f t="shared" si="4"/>
        <v>0</v>
      </c>
      <c r="I14" s="389">
        <f t="shared" si="4"/>
        <v>0</v>
      </c>
      <c r="L14" s="286">
        <f>L49</f>
        <v>0</v>
      </c>
      <c r="M14" s="286">
        <f t="shared" ref="M14:Q14" si="5">M49</f>
        <v>0</v>
      </c>
      <c r="N14" s="286">
        <f t="shared" si="5"/>
        <v>0</v>
      </c>
      <c r="O14" s="286">
        <f t="shared" si="5"/>
        <v>0</v>
      </c>
      <c r="P14" s="286">
        <f t="shared" si="5"/>
        <v>0</v>
      </c>
      <c r="Q14" s="286">
        <f t="shared" si="5"/>
        <v>0</v>
      </c>
      <c r="R14" s="133"/>
      <c r="S14" s="133"/>
      <c r="T14" s="133"/>
      <c r="U14" s="133"/>
      <c r="V14" s="133"/>
      <c r="W14" s="133"/>
      <c r="X14" s="133"/>
      <c r="Y14" s="133"/>
      <c r="Z14" s="133"/>
      <c r="AJ14" s="282"/>
      <c r="AK14" s="282"/>
      <c r="AL14" s="282"/>
      <c r="AM14" s="282"/>
      <c r="AN14" s="282"/>
    </row>
    <row r="15" spans="1:40" x14ac:dyDescent="0.35">
      <c r="A15" s="284"/>
      <c r="B15" s="511" t="str">
        <f>B53</f>
        <v>Follow up attendances hours and cost (adjuvant setting)</v>
      </c>
      <c r="C15" s="360"/>
      <c r="D15" s="389">
        <f>D56</f>
        <v>0</v>
      </c>
      <c r="E15" s="389">
        <f t="shared" ref="E15:I15" si="6">E56</f>
        <v>0</v>
      </c>
      <c r="F15" s="389">
        <f t="shared" si="6"/>
        <v>0</v>
      </c>
      <c r="G15" s="389">
        <f t="shared" si="6"/>
        <v>0</v>
      </c>
      <c r="H15" s="389">
        <f t="shared" si="6"/>
        <v>0</v>
      </c>
      <c r="I15" s="389">
        <f t="shared" si="6"/>
        <v>0</v>
      </c>
      <c r="L15" s="286">
        <f>L56</f>
        <v>0</v>
      </c>
      <c r="M15" s="286">
        <f t="shared" ref="M15:Q15" si="7">M56</f>
        <v>0</v>
      </c>
      <c r="N15" s="286">
        <f t="shared" si="7"/>
        <v>0</v>
      </c>
      <c r="O15" s="286">
        <f t="shared" si="7"/>
        <v>0</v>
      </c>
      <c r="P15" s="286">
        <f t="shared" si="7"/>
        <v>0</v>
      </c>
      <c r="Q15" s="286">
        <f t="shared" si="7"/>
        <v>0</v>
      </c>
      <c r="R15" s="133"/>
      <c r="S15" s="133"/>
      <c r="T15" s="133"/>
      <c r="U15" s="133"/>
      <c r="V15" s="133"/>
      <c r="W15" s="133"/>
      <c r="X15" s="133"/>
      <c r="Y15" s="133"/>
      <c r="Z15" s="133"/>
      <c r="AJ15" s="282"/>
      <c r="AK15" s="282"/>
      <c r="AL15" s="282"/>
      <c r="AM15" s="282"/>
      <c r="AN15" s="282"/>
    </row>
    <row r="16" spans="1:40" x14ac:dyDescent="0.35">
      <c r="A16" s="290"/>
      <c r="B16" s="398" t="str">
        <f>B61</f>
        <v>Administrations (IV)- number of cycles (neoadjuvant)</v>
      </c>
      <c r="C16" s="384"/>
      <c r="D16" s="383">
        <f>D65</f>
        <v>6301.2498266452685</v>
      </c>
      <c r="E16" s="383">
        <f t="shared" ref="E16:I16" si="8">E65</f>
        <v>6725.5484222133773</v>
      </c>
      <c r="F16" s="383">
        <f t="shared" si="8"/>
        <v>6973.9190507353551</v>
      </c>
      <c r="G16" s="383">
        <f t="shared" si="8"/>
        <v>7133.8070806954101</v>
      </c>
      <c r="H16" s="383">
        <f t="shared" si="8"/>
        <v>7389.670131547151</v>
      </c>
      <c r="I16" s="383">
        <f t="shared" si="8"/>
        <v>7555.3619323316179</v>
      </c>
      <c r="L16" s="207"/>
      <c r="M16" s="207"/>
      <c r="N16" s="207"/>
      <c r="O16" s="207"/>
      <c r="P16" s="382"/>
      <c r="Q16" s="382"/>
      <c r="R16" s="133"/>
      <c r="S16" s="133"/>
      <c r="T16" s="133"/>
      <c r="U16" s="133"/>
      <c r="V16" s="133"/>
      <c r="W16" s="133"/>
      <c r="X16" s="133"/>
      <c r="Y16" s="133"/>
      <c r="Z16" s="133"/>
      <c r="AJ16" s="282"/>
      <c r="AK16" s="282"/>
      <c r="AL16" s="282"/>
      <c r="AM16" s="282"/>
      <c r="AN16" s="282"/>
    </row>
    <row r="17" spans="1:40" x14ac:dyDescent="0.35">
      <c r="A17" s="290"/>
      <c r="B17" s="398" t="str">
        <f>B68</f>
        <v>Administrations (IV) - number of cycles (adjuvant)</v>
      </c>
      <c r="C17" s="384"/>
      <c r="D17" s="383">
        <f>D72</f>
        <v>0</v>
      </c>
      <c r="E17" s="383">
        <f t="shared" ref="E17:I17" si="9">E72</f>
        <v>1192.8759870479807</v>
      </c>
      <c r="F17" s="383">
        <f t="shared" si="9"/>
        <v>1806.5662014651621</v>
      </c>
      <c r="G17" s="383">
        <f t="shared" si="9"/>
        <v>2127.9822257756196</v>
      </c>
      <c r="H17" s="383">
        <f t="shared" si="9"/>
        <v>2762.3569123069847</v>
      </c>
      <c r="I17" s="383">
        <f t="shared" si="9"/>
        <v>3098.8789175578904</v>
      </c>
      <c r="L17" s="207"/>
      <c r="M17" s="207"/>
      <c r="N17" s="207"/>
      <c r="O17" s="207"/>
      <c r="P17" s="382"/>
      <c r="Q17" s="382"/>
      <c r="R17" s="133"/>
      <c r="S17" s="133"/>
      <c r="T17" s="133"/>
      <c r="U17" s="133"/>
      <c r="V17" s="133"/>
      <c r="W17" s="133"/>
      <c r="X17" s="133"/>
      <c r="Y17" s="133"/>
      <c r="Z17" s="133"/>
      <c r="AJ17" s="282"/>
      <c r="AK17" s="282"/>
      <c r="AL17" s="282"/>
      <c r="AM17" s="282"/>
      <c r="AN17" s="282"/>
    </row>
    <row r="18" spans="1:40" ht="29" x14ac:dyDescent="0.35">
      <c r="A18" s="283"/>
      <c r="B18" s="399" t="str">
        <f>B77</f>
        <v>Administrations - duration of administrations (hours)  - neoadjuvant</v>
      </c>
      <c r="C18" s="402"/>
      <c r="D18" s="385">
        <f>D81</f>
        <v>3150.6249133226343</v>
      </c>
      <c r="E18" s="385">
        <f t="shared" ref="E18:I18" si="10">E81</f>
        <v>3362.7742111066887</v>
      </c>
      <c r="F18" s="385">
        <f t="shared" si="10"/>
        <v>3486.9595253676775</v>
      </c>
      <c r="G18" s="385">
        <f t="shared" si="10"/>
        <v>3566.9035403477051</v>
      </c>
      <c r="H18" s="385">
        <f t="shared" si="10"/>
        <v>3694.8350657735755</v>
      </c>
      <c r="I18" s="385">
        <f t="shared" si="10"/>
        <v>3777.680966165809</v>
      </c>
      <c r="L18" s="286">
        <f>L81</f>
        <v>132.79884009654904</v>
      </c>
      <c r="M18" s="286">
        <f t="shared" ref="M18:Q18" si="11">M81</f>
        <v>141.74093299814692</v>
      </c>
      <c r="N18" s="286">
        <f t="shared" si="11"/>
        <v>146.97534399424762</v>
      </c>
      <c r="O18" s="286">
        <f t="shared" si="11"/>
        <v>150.34498422565576</v>
      </c>
      <c r="P18" s="286">
        <f t="shared" si="11"/>
        <v>155.73729802235621</v>
      </c>
      <c r="Q18" s="286">
        <f t="shared" si="11"/>
        <v>159.22925272388886</v>
      </c>
      <c r="R18" s="133"/>
      <c r="S18" s="133"/>
      <c r="T18" s="133"/>
      <c r="U18" s="133"/>
      <c r="V18" s="133"/>
      <c r="W18" s="133"/>
      <c r="X18" s="133"/>
      <c r="Y18" s="133"/>
      <c r="Z18" s="133"/>
      <c r="AJ18" s="282"/>
      <c r="AK18" s="282"/>
      <c r="AL18" s="282"/>
      <c r="AM18" s="282"/>
      <c r="AN18" s="282"/>
    </row>
    <row r="19" spans="1:40" x14ac:dyDescent="0.35">
      <c r="A19" s="283"/>
      <c r="B19" s="399" t="str">
        <f>B84</f>
        <v>Preparation time before administration (hours) - neoadjuvant</v>
      </c>
      <c r="C19" s="402"/>
      <c r="D19" s="385">
        <f>D88</f>
        <v>3150.6249133226343</v>
      </c>
      <c r="E19" s="385">
        <f t="shared" ref="E19:I19" si="12">E88</f>
        <v>3362.7742111066887</v>
      </c>
      <c r="F19" s="385">
        <f t="shared" si="12"/>
        <v>3486.9595253676775</v>
      </c>
      <c r="G19" s="385">
        <f t="shared" si="12"/>
        <v>3566.9035403477051</v>
      </c>
      <c r="H19" s="385">
        <f t="shared" si="12"/>
        <v>3694.8350657735755</v>
      </c>
      <c r="I19" s="385">
        <f t="shared" si="12"/>
        <v>3777.680966165809</v>
      </c>
      <c r="L19" s="286">
        <f>L88</f>
        <v>132.79884009654904</v>
      </c>
      <c r="M19" s="286">
        <f t="shared" ref="M19:Q19" si="13">M88</f>
        <v>141.74093299814692</v>
      </c>
      <c r="N19" s="286">
        <f t="shared" si="13"/>
        <v>146.97534399424762</v>
      </c>
      <c r="O19" s="286">
        <f t="shared" si="13"/>
        <v>150.34498422565576</v>
      </c>
      <c r="P19" s="286">
        <f t="shared" si="13"/>
        <v>155.73729802235621</v>
      </c>
      <c r="Q19" s="286">
        <f t="shared" si="13"/>
        <v>159.22925272388886</v>
      </c>
      <c r="R19" s="133"/>
      <c r="S19" s="133"/>
      <c r="T19" s="133"/>
      <c r="U19" s="133"/>
      <c r="V19" s="133"/>
      <c r="W19" s="133"/>
      <c r="X19" s="133"/>
      <c r="Y19" s="133"/>
      <c r="Z19" s="133"/>
      <c r="AJ19" s="282"/>
      <c r="AK19" s="282"/>
      <c r="AL19" s="282"/>
      <c r="AM19" s="282"/>
      <c r="AN19" s="282"/>
    </row>
    <row r="20" spans="1:40" x14ac:dyDescent="0.35">
      <c r="A20" s="283"/>
      <c r="B20" s="399" t="str">
        <f>B91</f>
        <v>Post administration nursing time (hours) - neoadjuvant</v>
      </c>
      <c r="C20" s="402"/>
      <c r="D20" s="385">
        <f>D95</f>
        <v>3150.6249133226343</v>
      </c>
      <c r="E20" s="385">
        <f t="shared" ref="E20:I20" si="14">E95</f>
        <v>3362.7742111066887</v>
      </c>
      <c r="F20" s="385">
        <f t="shared" si="14"/>
        <v>3486.9595253676775</v>
      </c>
      <c r="G20" s="385">
        <f t="shared" si="14"/>
        <v>3566.9035403477051</v>
      </c>
      <c r="H20" s="385">
        <f t="shared" si="14"/>
        <v>3694.8350657735755</v>
      </c>
      <c r="I20" s="385">
        <f t="shared" si="14"/>
        <v>3777.680966165809</v>
      </c>
      <c r="L20" s="286">
        <f>L95</f>
        <v>132.79884009654904</v>
      </c>
      <c r="M20" s="286">
        <f t="shared" ref="M20:Q20" si="15">M95</f>
        <v>141.74093299814692</v>
      </c>
      <c r="N20" s="286">
        <f t="shared" si="15"/>
        <v>146.97534399424762</v>
      </c>
      <c r="O20" s="286">
        <f t="shared" si="15"/>
        <v>150.34498422565576</v>
      </c>
      <c r="P20" s="286">
        <f t="shared" si="15"/>
        <v>155.73729802235621</v>
      </c>
      <c r="Q20" s="286">
        <f t="shared" si="15"/>
        <v>159.22925272388886</v>
      </c>
      <c r="R20" s="133"/>
      <c r="S20" s="133"/>
      <c r="T20" s="133"/>
      <c r="U20" s="133"/>
      <c r="V20" s="133"/>
      <c r="W20" s="133"/>
      <c r="X20" s="133"/>
      <c r="Y20" s="133"/>
      <c r="Z20" s="133"/>
      <c r="AJ20" s="282"/>
      <c r="AK20" s="282"/>
      <c r="AL20" s="282"/>
      <c r="AM20" s="282"/>
      <c r="AN20" s="282"/>
    </row>
    <row r="21" spans="1:40" x14ac:dyDescent="0.35">
      <c r="A21" s="283"/>
      <c r="B21" s="748" t="str">
        <f>B100</f>
        <v>Administrations - duration of administrations (hours)  - adjuvant</v>
      </c>
      <c r="C21" s="402"/>
      <c r="D21" s="385">
        <f>D104</f>
        <v>0</v>
      </c>
      <c r="E21" s="385">
        <f t="shared" ref="E21:I21" si="16">E104</f>
        <v>596.43799352399037</v>
      </c>
      <c r="F21" s="385">
        <f t="shared" si="16"/>
        <v>903.28310073258103</v>
      </c>
      <c r="G21" s="385">
        <f t="shared" si="16"/>
        <v>1063.9911128878098</v>
      </c>
      <c r="H21" s="385">
        <f t="shared" si="16"/>
        <v>1381.1784561534923</v>
      </c>
      <c r="I21" s="385">
        <f t="shared" si="16"/>
        <v>1549.4394587789452</v>
      </c>
      <c r="L21" s="286">
        <f>L104</f>
        <v>0</v>
      </c>
      <c r="M21" s="286">
        <f t="shared" ref="M21:Q21" si="17">M104</f>
        <v>25.139861427036195</v>
      </c>
      <c r="N21" s="286">
        <f t="shared" si="17"/>
        <v>38.073382695878287</v>
      </c>
      <c r="O21" s="286">
        <f t="shared" si="17"/>
        <v>44.847225408221178</v>
      </c>
      <c r="P21" s="286">
        <f t="shared" si="17"/>
        <v>58.216671926869708</v>
      </c>
      <c r="Q21" s="286">
        <f t="shared" si="17"/>
        <v>65.308873187532541</v>
      </c>
      <c r="R21" s="133"/>
      <c r="S21" s="133"/>
      <c r="T21" s="133"/>
      <c r="U21" s="133"/>
      <c r="V21" s="133"/>
      <c r="W21" s="133"/>
      <c r="X21" s="133"/>
      <c r="Y21" s="133"/>
      <c r="Z21" s="133"/>
      <c r="AJ21" s="282"/>
      <c r="AK21" s="282"/>
      <c r="AL21" s="282"/>
      <c r="AM21" s="282"/>
      <c r="AN21" s="282"/>
    </row>
    <row r="22" spans="1:40" x14ac:dyDescent="0.35">
      <c r="A22" s="283"/>
      <c r="B22" s="399" t="str">
        <f>B108</f>
        <v>Preparation time before administration (hours) - adjuvant</v>
      </c>
      <c r="C22" s="402"/>
      <c r="D22" s="385">
        <f>D112</f>
        <v>0</v>
      </c>
      <c r="E22" s="385">
        <f t="shared" ref="E22:I22" si="18">E112</f>
        <v>596.43799352399037</v>
      </c>
      <c r="F22" s="385">
        <f t="shared" si="18"/>
        <v>903.28310073258103</v>
      </c>
      <c r="G22" s="385">
        <f t="shared" si="18"/>
        <v>1063.9911128878098</v>
      </c>
      <c r="H22" s="385">
        <f t="shared" si="18"/>
        <v>1381.1784561534923</v>
      </c>
      <c r="I22" s="385">
        <f t="shared" si="18"/>
        <v>1549.4394587789452</v>
      </c>
      <c r="L22" s="286">
        <f>L112</f>
        <v>0</v>
      </c>
      <c r="M22" s="286">
        <f t="shared" ref="M22:Q22" si="19">M112</f>
        <v>25.139861427036195</v>
      </c>
      <c r="N22" s="286">
        <f t="shared" si="19"/>
        <v>38.073382695878287</v>
      </c>
      <c r="O22" s="286">
        <f t="shared" si="19"/>
        <v>44.847225408221178</v>
      </c>
      <c r="P22" s="286">
        <f t="shared" si="19"/>
        <v>58.216671926869708</v>
      </c>
      <c r="Q22" s="286">
        <f t="shared" si="19"/>
        <v>65.308873187532541</v>
      </c>
      <c r="R22" s="133"/>
      <c r="S22" s="133"/>
      <c r="T22" s="133"/>
      <c r="U22" s="133"/>
      <c r="V22" s="133"/>
      <c r="W22" s="133"/>
      <c r="X22" s="133"/>
      <c r="Y22" s="133"/>
      <c r="Z22" s="133"/>
      <c r="AJ22" s="282"/>
      <c r="AK22" s="282"/>
      <c r="AL22" s="282"/>
      <c r="AM22" s="282"/>
      <c r="AN22" s="282"/>
    </row>
    <row r="23" spans="1:40" x14ac:dyDescent="0.35">
      <c r="A23" s="283"/>
      <c r="B23" s="399" t="str">
        <f>B116</f>
        <v>Post administration nursing time (hours) - adjuvant</v>
      </c>
      <c r="C23" s="402"/>
      <c r="D23" s="385">
        <f>D120</f>
        <v>0</v>
      </c>
      <c r="E23" s="385">
        <f t="shared" ref="E23:I23" si="20">E120</f>
        <v>596.43799352399037</v>
      </c>
      <c r="F23" s="385">
        <f t="shared" si="20"/>
        <v>903.28310073258103</v>
      </c>
      <c r="G23" s="385">
        <f t="shared" si="20"/>
        <v>1063.9911128878098</v>
      </c>
      <c r="H23" s="385">
        <f t="shared" si="20"/>
        <v>1381.1784561534923</v>
      </c>
      <c r="I23" s="385">
        <f t="shared" si="20"/>
        <v>1549.4394587789452</v>
      </c>
      <c r="L23" s="286">
        <f>L120</f>
        <v>0</v>
      </c>
      <c r="M23" s="286">
        <f t="shared" ref="M23:Q23" si="21">M120</f>
        <v>25.139861427036195</v>
      </c>
      <c r="N23" s="286">
        <f t="shared" si="21"/>
        <v>38.073382695878287</v>
      </c>
      <c r="O23" s="286">
        <f t="shared" si="21"/>
        <v>44.847225408221178</v>
      </c>
      <c r="P23" s="286">
        <f t="shared" si="21"/>
        <v>58.216671926869708</v>
      </c>
      <c r="Q23" s="286">
        <f t="shared" si="21"/>
        <v>65.308873187532541</v>
      </c>
      <c r="R23" s="133"/>
      <c r="S23" s="133"/>
      <c r="T23" s="133"/>
      <c r="U23" s="133"/>
      <c r="V23" s="133"/>
      <c r="W23" s="133"/>
      <c r="X23" s="133"/>
      <c r="Y23" s="133"/>
      <c r="Z23" s="133"/>
      <c r="AJ23" s="282"/>
      <c r="AK23" s="282"/>
      <c r="AL23" s="282"/>
      <c r="AM23" s="282"/>
      <c r="AN23" s="282"/>
    </row>
    <row r="24" spans="1:40" x14ac:dyDescent="0.35">
      <c r="A24" s="285"/>
      <c r="B24" s="400" t="str">
        <f>B125</f>
        <v>Pharmacy support (hours) - neoadjuvant</v>
      </c>
      <c r="C24" s="403"/>
      <c r="D24" s="386">
        <f>D129</f>
        <v>1575.3124566613171</v>
      </c>
      <c r="E24" s="386">
        <f t="shared" ref="E24:I24" si="22">E129</f>
        <v>1681.3871055533443</v>
      </c>
      <c r="F24" s="386">
        <f t="shared" si="22"/>
        <v>1743.4797626838388</v>
      </c>
      <c r="G24" s="386">
        <f t="shared" si="22"/>
        <v>1783.4517701738525</v>
      </c>
      <c r="H24" s="386">
        <f t="shared" si="22"/>
        <v>1847.4175328867877</v>
      </c>
      <c r="I24" s="386">
        <f t="shared" si="22"/>
        <v>1888.8404830829045</v>
      </c>
      <c r="L24" s="286">
        <f>L129</f>
        <v>73.677363598049809</v>
      </c>
      <c r="M24" s="286">
        <f t="shared" ref="M24:Q24" si="23">M129</f>
        <v>78.638474926729913</v>
      </c>
      <c r="N24" s="286">
        <f t="shared" si="23"/>
        <v>81.542548500723143</v>
      </c>
      <c r="O24" s="286">
        <f t="shared" si="23"/>
        <v>83.412039291031093</v>
      </c>
      <c r="P24" s="286">
        <f t="shared" si="23"/>
        <v>86.403718013115082</v>
      </c>
      <c r="Q24" s="286">
        <f t="shared" si="23"/>
        <v>88.34106939378745</v>
      </c>
      <c r="R24" s="133"/>
      <c r="S24" s="133"/>
      <c r="T24" s="133"/>
      <c r="U24" s="133"/>
      <c r="V24" s="133"/>
      <c r="W24" s="133"/>
      <c r="X24" s="133"/>
      <c r="Y24" s="133"/>
      <c r="Z24" s="133"/>
      <c r="AJ24" s="282"/>
      <c r="AK24" s="282"/>
      <c r="AL24" s="282"/>
      <c r="AM24" s="282"/>
      <c r="AN24" s="282"/>
    </row>
    <row r="25" spans="1:40" x14ac:dyDescent="0.35">
      <c r="A25" s="285"/>
      <c r="B25" s="400" t="str">
        <f>B133</f>
        <v>Pharmacy support (hours) - adjuvant</v>
      </c>
      <c r="C25" s="403"/>
      <c r="D25" s="386">
        <f>D137</f>
        <v>0</v>
      </c>
      <c r="E25" s="386">
        <f t="shared" ref="E25:I25" si="24">E137</f>
        <v>298.21899676199519</v>
      </c>
      <c r="F25" s="386">
        <f t="shared" si="24"/>
        <v>451.64155036629052</v>
      </c>
      <c r="G25" s="386">
        <f t="shared" si="24"/>
        <v>531.99555644390489</v>
      </c>
      <c r="H25" s="386">
        <f t="shared" si="24"/>
        <v>690.58922807674617</v>
      </c>
      <c r="I25" s="386">
        <f t="shared" si="24"/>
        <v>774.7197293894726</v>
      </c>
      <c r="L25" s="286">
        <f>L137</f>
        <v>0</v>
      </c>
      <c r="M25" s="286">
        <f t="shared" ref="M25:Q25" si="25">M137</f>
        <v>13.947702478558519</v>
      </c>
      <c r="N25" s="286">
        <f t="shared" si="25"/>
        <v>21.12327531063141</v>
      </c>
      <c r="O25" s="286">
        <f t="shared" si="25"/>
        <v>24.881432174881432</v>
      </c>
      <c r="P25" s="286">
        <f t="shared" si="25"/>
        <v>32.298858197149421</v>
      </c>
      <c r="Q25" s="286">
        <f t="shared" si="25"/>
        <v>36.233641743545633</v>
      </c>
      <c r="R25" s="133"/>
      <c r="S25" s="133"/>
      <c r="T25" s="133"/>
      <c r="U25" s="133"/>
      <c r="V25" s="133"/>
      <c r="W25" s="133"/>
      <c r="X25" s="133"/>
      <c r="Y25" s="133"/>
      <c r="Z25" s="133"/>
      <c r="AJ25" s="282"/>
      <c r="AK25" s="282"/>
      <c r="AL25" s="282"/>
      <c r="AM25" s="282"/>
      <c r="AN25" s="282"/>
    </row>
    <row r="26" spans="1:40" x14ac:dyDescent="0.35">
      <c r="B26" s="245"/>
      <c r="D26" s="282"/>
      <c r="F26" s="133"/>
      <c r="G26" s="133"/>
      <c r="H26" s="133"/>
      <c r="I26" s="133"/>
      <c r="J26" s="133"/>
      <c r="K26" s="133"/>
      <c r="L26" s="287">
        <f t="shared" ref="L26:Q26" si="26">SUM(L12:L25)</f>
        <v>608.31590692523434</v>
      </c>
      <c r="M26" s="287">
        <f t="shared" si="26"/>
        <v>750.3721265496431</v>
      </c>
      <c r="N26" s="287">
        <f t="shared" si="26"/>
        <v>826.35911098855161</v>
      </c>
      <c r="O26" s="287">
        <f t="shared" si="26"/>
        <v>869.03417383737883</v>
      </c>
      <c r="P26" s="287">
        <f t="shared" si="26"/>
        <v>947.49745426686843</v>
      </c>
      <c r="Q26" s="287">
        <f t="shared" si="26"/>
        <v>992.01302169529436</v>
      </c>
      <c r="R26" s="133"/>
      <c r="S26" s="133"/>
      <c r="T26" s="133"/>
      <c r="U26" s="133"/>
      <c r="V26" s="133"/>
      <c r="W26" s="133"/>
      <c r="X26" s="133"/>
      <c r="Y26" s="133"/>
      <c r="Z26" s="133"/>
    </row>
    <row r="27" spans="1:40" x14ac:dyDescent="0.35">
      <c r="B27" s="303"/>
      <c r="C27" s="303"/>
      <c r="D27" s="303"/>
      <c r="E27" s="303"/>
      <c r="F27" s="303"/>
      <c r="G27" s="303"/>
      <c r="H27" s="303"/>
      <c r="I27" s="303"/>
      <c r="J27" s="303"/>
      <c r="K27" s="303"/>
      <c r="L27" s="303"/>
      <c r="P27" s="133"/>
      <c r="Q27" s="133"/>
      <c r="R27" s="133"/>
      <c r="S27" s="133"/>
      <c r="V27" s="133"/>
      <c r="W27" s="133"/>
      <c r="X27" s="133"/>
      <c r="Y27" s="133"/>
      <c r="Z27" s="133"/>
      <c r="AJ27" s="282"/>
      <c r="AK27" s="282"/>
      <c r="AL27" s="282"/>
      <c r="AM27" s="282"/>
      <c r="AN27" s="282"/>
    </row>
    <row r="28" spans="1:40" x14ac:dyDescent="0.35">
      <c r="B28" s="347" t="s">
        <v>823</v>
      </c>
      <c r="C28" s="348"/>
      <c r="D28" s="348"/>
      <c r="E28" s="349"/>
      <c r="F28" s="348"/>
      <c r="G28" s="350"/>
      <c r="H28" s="351"/>
      <c r="I28" s="351"/>
      <c r="J28" s="351"/>
      <c r="K28" s="351"/>
      <c r="L28" s="351"/>
      <c r="M28" s="351"/>
      <c r="N28" s="351"/>
      <c r="O28" s="351"/>
      <c r="P28" s="351"/>
      <c r="Q28" s="352"/>
      <c r="R28" s="133"/>
      <c r="S28" s="133"/>
      <c r="T28" s="133"/>
      <c r="U28" s="133"/>
      <c r="V28" s="133"/>
      <c r="W28" s="133"/>
      <c r="X28" s="133"/>
      <c r="Y28" s="133"/>
      <c r="Z28" s="133"/>
      <c r="AJ28" s="282"/>
      <c r="AK28" s="282"/>
      <c r="AL28" s="282"/>
      <c r="AM28" s="282"/>
      <c r="AN28" s="282"/>
    </row>
    <row r="29" spans="1:40" x14ac:dyDescent="0.35">
      <c r="A29" s="284"/>
      <c r="B29" s="505" t="s">
        <v>973</v>
      </c>
      <c r="C29" s="498"/>
      <c r="D29" s="499"/>
      <c r="E29" s="500"/>
      <c r="F29" s="284"/>
      <c r="G29" s="284"/>
      <c r="H29" s="219"/>
      <c r="I29" s="219"/>
      <c r="J29" s="219"/>
      <c r="K29" s="219"/>
      <c r="L29" s="219"/>
      <c r="M29" s="219"/>
      <c r="N29" s="219"/>
      <c r="O29" s="219"/>
      <c r="P29" s="219"/>
      <c r="Q29" s="219"/>
      <c r="R29" s="133"/>
      <c r="S29" s="133"/>
      <c r="T29" s="133"/>
      <c r="U29" s="133"/>
      <c r="V29" s="133"/>
      <c r="W29" s="133"/>
      <c r="X29" s="133"/>
      <c r="Y29" s="133"/>
      <c r="Z29" s="133"/>
      <c r="AJ29" s="282"/>
      <c r="AK29" s="282"/>
      <c r="AL29" s="282"/>
      <c r="AM29" s="282"/>
      <c r="AN29" s="282"/>
    </row>
    <row r="30" spans="1:40" x14ac:dyDescent="0.35">
      <c r="A30" s="496"/>
      <c r="B30" s="501" t="s">
        <v>974</v>
      </c>
      <c r="C30" s="369"/>
      <c r="D30" s="369"/>
      <c r="E30" s="369"/>
      <c r="F30" s="369"/>
      <c r="G30" s="369"/>
      <c r="H30" s="369"/>
      <c r="I30" s="218"/>
      <c r="J30" s="219"/>
      <c r="K30" s="219"/>
      <c r="L30" s="219"/>
      <c r="M30" s="219"/>
      <c r="N30" s="219"/>
      <c r="O30" s="219"/>
      <c r="P30" s="219"/>
      <c r="Q30" s="219"/>
      <c r="R30" s="133"/>
      <c r="S30" s="133"/>
      <c r="T30" s="133"/>
      <c r="U30" s="133"/>
      <c r="V30" s="133"/>
      <c r="W30" s="133"/>
      <c r="X30" s="133"/>
      <c r="Y30" s="133"/>
      <c r="Z30" s="133"/>
      <c r="AJ30" s="282"/>
      <c r="AK30" s="282"/>
      <c r="AL30" s="282"/>
      <c r="AM30" s="282"/>
      <c r="AN30" s="282"/>
    </row>
    <row r="31" spans="1:40" ht="43.5" x14ac:dyDescent="0.35">
      <c r="A31" s="496"/>
      <c r="B31" s="302" t="s">
        <v>771</v>
      </c>
      <c r="C31" s="165" t="s">
        <v>824</v>
      </c>
      <c r="D31" s="387" t="s">
        <v>814</v>
      </c>
      <c r="E31" s="253" t="s">
        <v>676</v>
      </c>
      <c r="F31" s="253" t="s">
        <v>677</v>
      </c>
      <c r="G31" s="164" t="s">
        <v>782</v>
      </c>
      <c r="H31" s="164" t="s">
        <v>783</v>
      </c>
      <c r="I31" s="253" t="s">
        <v>784</v>
      </c>
      <c r="J31" s="504"/>
      <c r="K31" s="495" t="s">
        <v>825</v>
      </c>
      <c r="L31" s="387" t="s">
        <v>814</v>
      </c>
      <c r="M31" s="483" t="s">
        <v>676</v>
      </c>
      <c r="N31" s="483" t="s">
        <v>677</v>
      </c>
      <c r="O31" s="388" t="s">
        <v>782</v>
      </c>
      <c r="P31" s="388" t="s">
        <v>783</v>
      </c>
      <c r="Q31" s="483" t="s">
        <v>784</v>
      </c>
      <c r="R31" s="133"/>
      <c r="S31" s="133"/>
      <c r="T31" s="133"/>
      <c r="U31" s="133"/>
      <c r="V31" s="133"/>
      <c r="W31" s="133"/>
      <c r="X31" s="133"/>
      <c r="Y31" s="133"/>
      <c r="Z31" s="133"/>
      <c r="AJ31" s="282"/>
      <c r="AK31" s="282"/>
      <c r="AL31" s="282"/>
      <c r="AM31" s="282"/>
      <c r="AN31" s="282"/>
    </row>
    <row r="32" spans="1:40" x14ac:dyDescent="0.35">
      <c r="A32" s="496"/>
      <c r="B32" s="325" t="str">
        <f>'Inputs and eligible population'!F102</f>
        <v>Pembrolizumab (neoadjuvant)</v>
      </c>
      <c r="C32" s="149">
        <f>'Inputs and eligible population'!F103</f>
        <v>1</v>
      </c>
      <c r="D32" s="128">
        <f>'Financial impact (cash)'!D15*$C$32*'Inputs and eligible population'!$F$104/60</f>
        <v>0</v>
      </c>
      <c r="E32" s="128">
        <f>'Financial impact (cash)'!E15*$C$32*'Inputs and eligible population'!$F$104/60</f>
        <v>227.21447372342493</v>
      </c>
      <c r="F32" s="128">
        <f>'Financial impact (cash)'!F15*$C$32*'Inputs and eligible population'!$F$104/60</f>
        <v>344.10784789812612</v>
      </c>
      <c r="G32" s="128">
        <f>'Financial impact (cash)'!G15*$C$32*'Inputs and eligible population'!$F$104/60</f>
        <v>405.32994776678464</v>
      </c>
      <c r="H32" s="128">
        <f>'Financial impact (cash)'!H15*$C$32*'Inputs and eligible population'!$F$104/60</f>
        <v>526.1632213918067</v>
      </c>
      <c r="I32" s="128">
        <f>'Financial impact (cash)'!I15*$C$32*'Inputs and eligible population'!$F$104/60</f>
        <v>590.26265096340774</v>
      </c>
      <c r="J32" s="504"/>
      <c r="K32" s="510">
        <f>'Inputs and eligible population'!M104</f>
        <v>121.08</v>
      </c>
      <c r="L32" s="512">
        <f>$K32/1000*D32</f>
        <v>0</v>
      </c>
      <c r="M32" s="512">
        <f t="shared" ref="M32:Q33" si="27">$K32/1000*E32</f>
        <v>27.51112847843229</v>
      </c>
      <c r="N32" s="512">
        <f t="shared" si="27"/>
        <v>41.66457822350511</v>
      </c>
      <c r="O32" s="512">
        <f t="shared" si="27"/>
        <v>49.077350075602283</v>
      </c>
      <c r="P32" s="512">
        <f t="shared" si="27"/>
        <v>63.707842846119952</v>
      </c>
      <c r="Q32" s="512">
        <f t="shared" si="27"/>
        <v>71.4690017786494</v>
      </c>
      <c r="R32" s="133"/>
      <c r="S32" s="133"/>
      <c r="T32" s="133"/>
      <c r="U32" s="133"/>
      <c r="V32" s="133"/>
      <c r="W32" s="133"/>
      <c r="X32" s="133"/>
      <c r="Y32" s="133"/>
      <c r="Z32" s="133"/>
      <c r="AJ32" s="282"/>
      <c r="AK32" s="282"/>
      <c r="AL32" s="282"/>
      <c r="AM32" s="282"/>
      <c r="AN32" s="282"/>
    </row>
    <row r="33" spans="1:40" x14ac:dyDescent="0.35">
      <c r="A33" s="496"/>
      <c r="B33" s="325" t="str">
        <f>'Inputs and eligible population'!H102</f>
        <v>Nivolumab (neoadjuvant)</v>
      </c>
      <c r="C33" s="149">
        <f>'Inputs and eligible population'!H103</f>
        <v>1</v>
      </c>
      <c r="D33" s="128">
        <f>'Financial impact (cash)'!D16*$C$33*'Inputs and eligible population'!$H$104/60</f>
        <v>1125.2231833295123</v>
      </c>
      <c r="E33" s="128">
        <f>'Financial impact (cash)'!E16*$C$33*'Inputs and eligible population'!$H$104/60</f>
        <v>908.85789489369972</v>
      </c>
      <c r="F33" s="128">
        <f>'Financial impact (cash)'!F16*$C$33*'Inputs and eligible population'!$H$104/60</f>
        <v>802.91831176229425</v>
      </c>
      <c r="G33" s="128">
        <f>'Financial impact (cash)'!G16*$C$33*'Inputs and eligible population'!$H$104/60</f>
        <v>752.75561728117157</v>
      </c>
      <c r="H33" s="128">
        <f>'Financial impact (cash)'!H16*$C$33*'Inputs and eligible population'!$H$104/60</f>
        <v>643.08838170109709</v>
      </c>
      <c r="I33" s="128">
        <f>'Financial impact (cash)'!I16*$C$33*'Inputs and eligible population'!$H$104/60</f>
        <v>590.26265096340774</v>
      </c>
      <c r="J33" s="504"/>
      <c r="K33" s="510">
        <f>'Inputs and eligible population'!M104</f>
        <v>121.08</v>
      </c>
      <c r="L33" s="512">
        <f t="shared" ref="L33" si="28">$K33/1000*D33</f>
        <v>136.24202303753734</v>
      </c>
      <c r="M33" s="512">
        <f t="shared" si="27"/>
        <v>110.04451391372916</v>
      </c>
      <c r="N33" s="512">
        <f t="shared" si="27"/>
        <v>97.217349188178588</v>
      </c>
      <c r="O33" s="512">
        <f t="shared" si="27"/>
        <v>91.143650140404247</v>
      </c>
      <c r="P33" s="512">
        <f t="shared" si="27"/>
        <v>77.86514125636883</v>
      </c>
      <c r="Q33" s="512">
        <f t="shared" si="27"/>
        <v>71.4690017786494</v>
      </c>
      <c r="R33" s="133"/>
      <c r="S33" s="133"/>
      <c r="T33" s="133"/>
      <c r="U33" s="133"/>
      <c r="V33" s="133"/>
      <c r="W33" s="133"/>
      <c r="X33" s="133"/>
      <c r="Y33" s="133"/>
      <c r="Z33" s="133"/>
      <c r="AJ33" s="282"/>
      <c r="AK33" s="282"/>
      <c r="AL33" s="282"/>
      <c r="AM33" s="282"/>
      <c r="AN33" s="282"/>
    </row>
    <row r="34" spans="1:40" x14ac:dyDescent="0.35">
      <c r="A34" s="496"/>
      <c r="B34" s="465"/>
      <c r="C34" s="279"/>
      <c r="D34" s="185">
        <f t="shared" ref="D34:I34" si="29">SUM(D32:D33)</f>
        <v>1125.2231833295123</v>
      </c>
      <c r="E34" s="185">
        <f t="shared" si="29"/>
        <v>1136.0723686171245</v>
      </c>
      <c r="F34" s="185">
        <f t="shared" si="29"/>
        <v>1147.0261596604205</v>
      </c>
      <c r="G34" s="185">
        <f t="shared" si="29"/>
        <v>1158.0855650479562</v>
      </c>
      <c r="H34" s="185">
        <f t="shared" si="29"/>
        <v>1169.2516030929037</v>
      </c>
      <c r="I34" s="185">
        <f t="shared" si="29"/>
        <v>1180.5253019268155</v>
      </c>
      <c r="J34" s="504"/>
      <c r="K34" s="219"/>
      <c r="L34" s="287">
        <f t="shared" ref="L34:Q34" si="30">SUM(L32:L33)</f>
        <v>136.24202303753734</v>
      </c>
      <c r="M34" s="287">
        <f t="shared" si="30"/>
        <v>137.55564239216145</v>
      </c>
      <c r="N34" s="287">
        <f t="shared" si="30"/>
        <v>138.88192741168371</v>
      </c>
      <c r="O34" s="287">
        <f t="shared" si="30"/>
        <v>140.22100021600653</v>
      </c>
      <c r="P34" s="287">
        <f t="shared" si="30"/>
        <v>141.57298410248879</v>
      </c>
      <c r="Q34" s="287">
        <f t="shared" si="30"/>
        <v>142.9380035572988</v>
      </c>
      <c r="R34" s="133"/>
      <c r="S34" s="133"/>
      <c r="T34" s="133"/>
      <c r="U34" s="133"/>
      <c r="V34" s="133"/>
      <c r="W34" s="133"/>
      <c r="X34" s="133"/>
      <c r="Y34" s="133"/>
      <c r="Z34" s="133"/>
      <c r="AJ34" s="282"/>
      <c r="AK34" s="282"/>
      <c r="AL34" s="282"/>
      <c r="AM34" s="282"/>
      <c r="AN34" s="282"/>
    </row>
    <row r="35" spans="1:40" x14ac:dyDescent="0.35">
      <c r="A35" s="496"/>
      <c r="B35" s="254"/>
      <c r="C35" s="254"/>
      <c r="D35" s="281" t="s">
        <v>980</v>
      </c>
      <c r="E35" s="185">
        <f>E34-$D$34</f>
        <v>10.849185287612272</v>
      </c>
      <c r="F35" s="185">
        <f>F34-$D$34</f>
        <v>21.802976330908223</v>
      </c>
      <c r="G35" s="185">
        <f>G34-$D$34</f>
        <v>32.862381718443885</v>
      </c>
      <c r="H35" s="185">
        <f>H34-$D$34</f>
        <v>44.028419763391412</v>
      </c>
      <c r="I35" s="185">
        <f>I34-$D$34</f>
        <v>55.302118597303206</v>
      </c>
      <c r="J35" s="504"/>
      <c r="K35" s="219"/>
      <c r="L35" s="219"/>
      <c r="M35" s="287">
        <f>M34-$L34</f>
        <v>1.3136193546241088</v>
      </c>
      <c r="N35" s="287">
        <f t="shared" ref="N35:Q35" si="31">N34-$L34</f>
        <v>2.6399043741463686</v>
      </c>
      <c r="O35" s="287">
        <f t="shared" si="31"/>
        <v>3.9789771784691936</v>
      </c>
      <c r="P35" s="287">
        <f t="shared" si="31"/>
        <v>5.3309610649514525</v>
      </c>
      <c r="Q35" s="287">
        <f t="shared" si="31"/>
        <v>6.6959805197614628</v>
      </c>
      <c r="R35" s="133"/>
      <c r="S35" s="133"/>
      <c r="T35" s="133"/>
      <c r="U35" s="133"/>
      <c r="V35" s="133"/>
      <c r="W35" s="133"/>
      <c r="X35" s="133"/>
      <c r="Y35" s="133"/>
      <c r="Z35" s="133"/>
      <c r="AJ35" s="282"/>
      <c r="AK35" s="282"/>
      <c r="AL35" s="282"/>
      <c r="AM35" s="282"/>
      <c r="AN35" s="282"/>
    </row>
    <row r="36" spans="1:40" x14ac:dyDescent="0.35">
      <c r="A36" s="284"/>
      <c r="B36" s="497"/>
      <c r="C36" s="498"/>
      <c r="D36" s="499"/>
      <c r="E36" s="500"/>
      <c r="F36" s="284"/>
      <c r="G36" s="284"/>
      <c r="H36" s="284"/>
      <c r="I36" s="741"/>
      <c r="J36" s="219"/>
      <c r="K36" s="219"/>
      <c r="L36" s="219"/>
      <c r="M36" s="219"/>
      <c r="N36" s="219"/>
      <c r="O36" s="219"/>
      <c r="P36" s="219"/>
      <c r="Q36" s="219"/>
      <c r="R36" s="133"/>
      <c r="S36" s="133"/>
      <c r="T36" s="133"/>
      <c r="U36" s="133"/>
      <c r="V36" s="133"/>
      <c r="W36" s="133"/>
      <c r="X36" s="133"/>
      <c r="Y36" s="133"/>
      <c r="Z36" s="133"/>
      <c r="AJ36" s="282"/>
      <c r="AK36" s="282"/>
      <c r="AL36" s="282"/>
      <c r="AM36" s="282"/>
      <c r="AN36" s="282"/>
    </row>
    <row r="37" spans="1:40" x14ac:dyDescent="0.35">
      <c r="A37" s="284"/>
      <c r="B37" s="505" t="s">
        <v>973</v>
      </c>
      <c r="C37" s="498"/>
      <c r="D37" s="499"/>
      <c r="E37" s="500"/>
      <c r="F37" s="284"/>
      <c r="G37" s="284"/>
      <c r="H37" s="219"/>
      <c r="I37" s="219"/>
      <c r="J37" s="219"/>
      <c r="K37" s="219"/>
      <c r="L37" s="219"/>
      <c r="M37" s="219"/>
      <c r="N37" s="219"/>
      <c r="O37" s="219"/>
      <c r="P37" s="219"/>
      <c r="Q37" s="219"/>
      <c r="R37" s="133"/>
      <c r="S37" s="133"/>
      <c r="T37" s="133"/>
      <c r="U37" s="133"/>
      <c r="V37" s="133"/>
      <c r="W37" s="133"/>
      <c r="X37" s="133"/>
      <c r="Y37" s="133"/>
      <c r="Z37" s="133"/>
      <c r="AJ37" s="282"/>
      <c r="AK37" s="282"/>
      <c r="AL37" s="282"/>
      <c r="AM37" s="282"/>
      <c r="AN37" s="282"/>
    </row>
    <row r="38" spans="1:40" x14ac:dyDescent="0.35">
      <c r="A38" s="284"/>
      <c r="B38" s="368" t="s">
        <v>975</v>
      </c>
      <c r="C38" s="369"/>
      <c r="D38" s="369"/>
      <c r="E38" s="369"/>
      <c r="F38" s="369"/>
      <c r="G38" s="369"/>
      <c r="H38" s="369"/>
      <c r="I38" s="218"/>
      <c r="J38" s="219"/>
      <c r="K38" s="219"/>
      <c r="L38" s="219"/>
      <c r="M38" s="219"/>
      <c r="N38" s="219"/>
      <c r="O38" s="219"/>
      <c r="P38" s="219"/>
      <c r="Q38" s="219"/>
      <c r="R38" s="133"/>
      <c r="S38" s="133"/>
      <c r="T38" s="133"/>
      <c r="U38" s="133"/>
      <c r="V38" s="133"/>
      <c r="W38" s="133"/>
      <c r="X38" s="133"/>
      <c r="Y38" s="133"/>
      <c r="Z38" s="133"/>
      <c r="AJ38" s="282"/>
      <c r="AK38" s="282"/>
      <c r="AL38" s="282"/>
      <c r="AM38" s="282"/>
      <c r="AN38" s="282"/>
    </row>
    <row r="39" spans="1:40" ht="43.5" x14ac:dyDescent="0.35">
      <c r="A39" s="284"/>
      <c r="B39" s="275" t="s">
        <v>771</v>
      </c>
      <c r="C39" s="165" t="s">
        <v>824</v>
      </c>
      <c r="D39" s="387" t="s">
        <v>814</v>
      </c>
      <c r="E39" s="253" t="s">
        <v>676</v>
      </c>
      <c r="F39" s="253" t="s">
        <v>677</v>
      </c>
      <c r="G39" s="164" t="s">
        <v>782</v>
      </c>
      <c r="H39" s="164" t="s">
        <v>783</v>
      </c>
      <c r="I39" s="253" t="s">
        <v>784</v>
      </c>
      <c r="J39" s="504"/>
      <c r="K39" s="495" t="s">
        <v>825</v>
      </c>
      <c r="L39" s="387" t="s">
        <v>814</v>
      </c>
      <c r="M39" s="483" t="s">
        <v>676</v>
      </c>
      <c r="N39" s="483" t="s">
        <v>677</v>
      </c>
      <c r="O39" s="388" t="s">
        <v>782</v>
      </c>
      <c r="P39" s="388" t="s">
        <v>783</v>
      </c>
      <c r="Q39" s="483" t="s">
        <v>784</v>
      </c>
      <c r="R39" s="133"/>
      <c r="S39" s="133"/>
      <c r="T39" s="133"/>
      <c r="U39" s="133"/>
      <c r="V39" s="133"/>
      <c r="W39" s="133"/>
      <c r="X39" s="133"/>
      <c r="Y39" s="133"/>
      <c r="Z39" s="133"/>
      <c r="AJ39" s="282"/>
      <c r="AK39" s="282"/>
      <c r="AL39" s="282"/>
      <c r="AM39" s="282"/>
      <c r="AN39" s="282"/>
    </row>
    <row r="40" spans="1:40" x14ac:dyDescent="0.35">
      <c r="A40" s="284"/>
      <c r="B40" s="325" t="str">
        <f>'Inputs and eligible population'!G102</f>
        <v>Pembrolizumab (adjuvant)</v>
      </c>
      <c r="C40" s="149">
        <f>'Inputs and eligible population'!G103</f>
        <v>1</v>
      </c>
      <c r="D40" s="128">
        <f>'Financial impact (cash)'!D19*$C$40*'Inputs and eligible population'!$G$104/60</f>
        <v>0</v>
      </c>
      <c r="E40" s="128">
        <f>'Financial impact (cash)'!E19*$C$40*'Inputs and eligible population'!$G$104/60</f>
        <v>161.77670529107854</v>
      </c>
      <c r="F40" s="128">
        <f>'Financial impact (cash)'!F19*$C$40*'Inputs and eligible population'!$G$104/60</f>
        <v>245.00478770346581</v>
      </c>
      <c r="G40" s="128">
        <f>'Financial impact (cash)'!G19*$C$40*'Inputs and eligible population'!$G$104/60</f>
        <v>288.59492280995067</v>
      </c>
      <c r="H40" s="128">
        <f>'Financial impact (cash)'!H19*$C$40*'Inputs and eligible population'!$G$104/60</f>
        <v>374.62821363096634</v>
      </c>
      <c r="I40" s="128">
        <f>'Financial impact (cash)'!I19*$C$40*'Inputs and eligible population'!$G$104/60</f>
        <v>420.26700748594629</v>
      </c>
      <c r="J40" s="504"/>
      <c r="K40" s="510">
        <f>'Inputs and eligible population'!M104</f>
        <v>121.08</v>
      </c>
      <c r="L40" s="512">
        <f>$K40/1000*D40</f>
        <v>0</v>
      </c>
      <c r="M40" s="512">
        <f t="shared" ref="M40" si="32">$K40/1000*E40</f>
        <v>19.587923476643788</v>
      </c>
      <c r="N40" s="512">
        <f t="shared" ref="N40" si="33">$K40/1000*F40</f>
        <v>29.665179695135638</v>
      </c>
      <c r="O40" s="512">
        <f t="shared" ref="O40" si="34">$K40/1000*G40</f>
        <v>34.943073253828828</v>
      </c>
      <c r="P40" s="512">
        <f t="shared" ref="P40" si="35">$K40/1000*H40</f>
        <v>45.359984106437402</v>
      </c>
      <c r="Q40" s="512">
        <f t="shared" ref="Q40" si="36">$K40/1000*I40</f>
        <v>50.885929266398378</v>
      </c>
      <c r="R40" s="133"/>
      <c r="S40" s="133"/>
      <c r="T40" s="133"/>
      <c r="U40" s="133"/>
      <c r="V40" s="133"/>
      <c r="W40" s="133"/>
      <c r="X40" s="133"/>
      <c r="Y40" s="133"/>
      <c r="Z40" s="133"/>
      <c r="AJ40" s="282"/>
      <c r="AK40" s="282"/>
      <c r="AL40" s="282"/>
      <c r="AM40" s="282"/>
      <c r="AN40" s="282"/>
    </row>
    <row r="41" spans="1:40" x14ac:dyDescent="0.35">
      <c r="A41" s="284"/>
      <c r="B41" s="276"/>
      <c r="C41" s="279"/>
      <c r="D41" s="185">
        <f t="shared" ref="D41:I41" si="37">SUM(D40:D40)</f>
        <v>0</v>
      </c>
      <c r="E41" s="185">
        <f t="shared" si="37"/>
        <v>161.77670529107854</v>
      </c>
      <c r="F41" s="185">
        <f t="shared" si="37"/>
        <v>245.00478770346581</v>
      </c>
      <c r="G41" s="185">
        <f t="shared" si="37"/>
        <v>288.59492280995067</v>
      </c>
      <c r="H41" s="185">
        <f t="shared" si="37"/>
        <v>374.62821363096634</v>
      </c>
      <c r="I41" s="185">
        <f t="shared" si="37"/>
        <v>420.26700748594629</v>
      </c>
      <c r="J41" s="504"/>
      <c r="K41" s="219"/>
      <c r="L41" s="287">
        <f t="shared" ref="L41:Q41" si="38">SUM(L40:L40)</f>
        <v>0</v>
      </c>
      <c r="M41" s="287">
        <f t="shared" si="38"/>
        <v>19.587923476643788</v>
      </c>
      <c r="N41" s="287">
        <f t="shared" si="38"/>
        <v>29.665179695135638</v>
      </c>
      <c r="O41" s="287">
        <f t="shared" si="38"/>
        <v>34.943073253828828</v>
      </c>
      <c r="P41" s="287">
        <f t="shared" si="38"/>
        <v>45.359984106437402</v>
      </c>
      <c r="Q41" s="287">
        <f t="shared" si="38"/>
        <v>50.885929266398378</v>
      </c>
      <c r="R41" s="133"/>
      <c r="S41" s="133"/>
      <c r="T41" s="133"/>
      <c r="U41" s="133"/>
      <c r="V41" s="133"/>
      <c r="W41" s="133"/>
      <c r="X41" s="133"/>
      <c r="Y41" s="133"/>
      <c r="Z41" s="133"/>
      <c r="AJ41" s="282"/>
      <c r="AK41" s="282"/>
      <c r="AL41" s="282"/>
      <c r="AM41" s="282"/>
      <c r="AN41" s="282"/>
    </row>
    <row r="42" spans="1:40" x14ac:dyDescent="0.35">
      <c r="A42" s="284"/>
      <c r="B42" s="300"/>
      <c r="C42" s="254"/>
      <c r="D42" s="281" t="s">
        <v>980</v>
      </c>
      <c r="E42" s="185">
        <f>E41-$D$41</f>
        <v>161.77670529107854</v>
      </c>
      <c r="F42" s="185">
        <f t="shared" ref="F42:I42" si="39">F41-$D$41</f>
        <v>245.00478770346581</v>
      </c>
      <c r="G42" s="185">
        <f t="shared" si="39"/>
        <v>288.59492280995067</v>
      </c>
      <c r="H42" s="185">
        <f t="shared" si="39"/>
        <v>374.62821363096634</v>
      </c>
      <c r="I42" s="185">
        <f t="shared" si="39"/>
        <v>420.26700748594629</v>
      </c>
      <c r="J42" s="504"/>
      <c r="K42" s="219"/>
      <c r="L42" s="219"/>
      <c r="M42" s="287">
        <f>M41-$L41</f>
        <v>19.587923476643788</v>
      </c>
      <c r="N42" s="287">
        <f t="shared" ref="N42:Q42" si="40">N41-$L41</f>
        <v>29.665179695135638</v>
      </c>
      <c r="O42" s="287">
        <f t="shared" si="40"/>
        <v>34.943073253828828</v>
      </c>
      <c r="P42" s="287">
        <f t="shared" si="40"/>
        <v>45.359984106437402</v>
      </c>
      <c r="Q42" s="287">
        <f t="shared" si="40"/>
        <v>50.885929266398378</v>
      </c>
      <c r="R42" s="133"/>
      <c r="S42" s="133"/>
      <c r="T42" s="133"/>
      <c r="U42" s="133"/>
      <c r="V42" s="133"/>
      <c r="W42" s="133"/>
      <c r="X42" s="133"/>
      <c r="Y42" s="133"/>
      <c r="Z42" s="133"/>
      <c r="AJ42" s="282"/>
      <c r="AK42" s="282"/>
      <c r="AL42" s="282"/>
      <c r="AM42" s="282"/>
      <c r="AN42" s="282"/>
    </row>
    <row r="43" spans="1:40" x14ac:dyDescent="0.35">
      <c r="A43" s="284"/>
      <c r="B43" s="497"/>
      <c r="C43" s="498"/>
      <c r="D43" s="499"/>
      <c r="E43" s="500"/>
      <c r="F43" s="284"/>
      <c r="G43" s="284"/>
      <c r="H43" s="284"/>
      <c r="I43" s="284"/>
      <c r="J43" s="219"/>
      <c r="K43" s="219"/>
      <c r="L43" s="219"/>
      <c r="M43" s="219"/>
      <c r="N43" s="219"/>
      <c r="O43" s="219"/>
      <c r="P43" s="219"/>
      <c r="Q43" s="219"/>
      <c r="R43" s="133"/>
      <c r="S43" s="133"/>
      <c r="T43" s="133"/>
      <c r="U43" s="133"/>
      <c r="V43" s="133"/>
      <c r="W43" s="133"/>
      <c r="X43" s="133"/>
      <c r="Y43" s="133"/>
      <c r="Z43" s="133"/>
      <c r="AJ43" s="282"/>
      <c r="AK43" s="282"/>
      <c r="AL43" s="282"/>
      <c r="AM43" s="282"/>
      <c r="AN43" s="282"/>
    </row>
    <row r="44" spans="1:40" x14ac:dyDescent="0.35">
      <c r="A44" s="284"/>
      <c r="B44" s="497"/>
      <c r="C44" s="498"/>
      <c r="D44" s="499"/>
      <c r="E44" s="500"/>
      <c r="F44" s="284"/>
      <c r="G44" s="284"/>
      <c r="H44" s="284"/>
      <c r="I44" s="742"/>
      <c r="J44" s="219"/>
      <c r="K44" s="219"/>
      <c r="L44" s="219"/>
      <c r="M44" s="219"/>
      <c r="N44" s="219"/>
      <c r="O44" s="219"/>
      <c r="P44" s="219"/>
      <c r="Q44" s="219"/>
      <c r="R44" s="133"/>
      <c r="S44" s="133"/>
      <c r="T44" s="133"/>
      <c r="U44" s="133"/>
      <c r="V44" s="133"/>
      <c r="W44" s="133"/>
      <c r="X44" s="133"/>
      <c r="Y44" s="133"/>
      <c r="Z44" s="133"/>
      <c r="AJ44" s="282"/>
      <c r="AK44" s="282"/>
      <c r="AL44" s="282"/>
      <c r="AM44" s="282"/>
      <c r="AN44" s="282"/>
    </row>
    <row r="45" spans="1:40" x14ac:dyDescent="0.35">
      <c r="A45" s="284"/>
      <c r="B45" s="368" t="s">
        <v>976</v>
      </c>
      <c r="C45" s="369"/>
      <c r="D45" s="369"/>
      <c r="E45" s="369"/>
      <c r="F45" s="369"/>
      <c r="G45" s="369"/>
      <c r="H45" s="369"/>
      <c r="I45" s="218"/>
      <c r="J45" s="219"/>
      <c r="K45" s="219"/>
      <c r="L45" s="219"/>
      <c r="M45" s="219"/>
      <c r="N45" s="219"/>
      <c r="O45" s="219"/>
      <c r="P45" s="219"/>
      <c r="Q45" s="219"/>
      <c r="R45" s="133"/>
      <c r="S45" s="133"/>
      <c r="T45" s="133"/>
      <c r="U45" s="133"/>
      <c r="V45" s="133"/>
      <c r="W45" s="133"/>
      <c r="X45" s="133"/>
      <c r="Y45" s="133"/>
      <c r="Z45" s="133"/>
      <c r="AJ45" s="282"/>
      <c r="AK45" s="282"/>
      <c r="AL45" s="282"/>
      <c r="AM45" s="282"/>
      <c r="AN45" s="282"/>
    </row>
    <row r="46" spans="1:40" ht="43.5" x14ac:dyDescent="0.35">
      <c r="A46" s="284"/>
      <c r="B46" s="278" t="s">
        <v>771</v>
      </c>
      <c r="C46" s="165" t="s">
        <v>824</v>
      </c>
      <c r="D46" s="387" t="s">
        <v>814</v>
      </c>
      <c r="E46" s="253" t="s">
        <v>676</v>
      </c>
      <c r="F46" s="253" t="s">
        <v>677</v>
      </c>
      <c r="G46" s="164" t="s">
        <v>782</v>
      </c>
      <c r="H46" s="164" t="s">
        <v>783</v>
      </c>
      <c r="I46" s="253" t="s">
        <v>784</v>
      </c>
      <c r="J46" s="219"/>
      <c r="K46" s="495" t="s">
        <v>825</v>
      </c>
      <c r="L46" s="387" t="s">
        <v>814</v>
      </c>
      <c r="M46" s="483" t="s">
        <v>676</v>
      </c>
      <c r="N46" s="483" t="s">
        <v>677</v>
      </c>
      <c r="O46" s="388" t="s">
        <v>782</v>
      </c>
      <c r="P46" s="388" t="s">
        <v>783</v>
      </c>
      <c r="Q46" s="483" t="s">
        <v>784</v>
      </c>
      <c r="R46" s="133"/>
      <c r="S46" s="133"/>
      <c r="T46" s="133"/>
      <c r="U46" s="133"/>
      <c r="V46" s="133"/>
      <c r="W46" s="133"/>
      <c r="X46" s="133"/>
      <c r="Y46" s="133"/>
      <c r="Z46" s="133"/>
      <c r="AJ46" s="282"/>
      <c r="AK46" s="282"/>
      <c r="AL46" s="282"/>
      <c r="AM46" s="282"/>
      <c r="AN46" s="282"/>
    </row>
    <row r="47" spans="1:40" x14ac:dyDescent="0.35">
      <c r="A47" s="284"/>
      <c r="B47" s="325" t="str">
        <f>'Inputs and eligible population'!F102</f>
        <v>Pembrolizumab (neoadjuvant)</v>
      </c>
      <c r="C47" s="649">
        <f>'Inputs and eligible population'!F105</f>
        <v>0</v>
      </c>
      <c r="D47" s="128">
        <f>'Financial impact (cash)'!D15*$C47*'Inputs and eligible population'!$F$107/60</f>
        <v>0</v>
      </c>
      <c r="E47" s="128">
        <f>'Financial impact (cash)'!E15*$C47*'Inputs and eligible population'!$F$107/60</f>
        <v>0</v>
      </c>
      <c r="F47" s="128">
        <f>'Financial impact (cash)'!F15*$C47*'Inputs and eligible population'!$F$107/60</f>
        <v>0</v>
      </c>
      <c r="G47" s="128">
        <f>'Financial impact (cash)'!G15*$C47*'Inputs and eligible population'!$F$107/60</f>
        <v>0</v>
      </c>
      <c r="H47" s="128">
        <f>'Financial impact (cash)'!H15*$C47*'Inputs and eligible population'!$F$107/60</f>
        <v>0</v>
      </c>
      <c r="I47" s="128">
        <f>'Financial impact (cash)'!I15*$C47*'Inputs and eligible population'!$F$107/60</f>
        <v>0</v>
      </c>
      <c r="J47" s="219"/>
      <c r="K47" s="510">
        <f>'Inputs and eligible population'!M106</f>
        <v>121.08</v>
      </c>
      <c r="L47" s="512">
        <f>$K47/1000*D47</f>
        <v>0</v>
      </c>
      <c r="M47" s="512">
        <f t="shared" ref="M47:M48" si="41">$K47/1000*E47</f>
        <v>0</v>
      </c>
      <c r="N47" s="512">
        <f t="shared" ref="N47:N48" si="42">$K47/1000*F47</f>
        <v>0</v>
      </c>
      <c r="O47" s="512">
        <f t="shared" ref="O47:O48" si="43">$K47/1000*G47</f>
        <v>0</v>
      </c>
      <c r="P47" s="512">
        <f t="shared" ref="P47:P48" si="44">$K47/1000*H47</f>
        <v>0</v>
      </c>
      <c r="Q47" s="512">
        <f t="shared" ref="Q47:Q48" si="45">$K47/1000*I47</f>
        <v>0</v>
      </c>
      <c r="R47" s="133"/>
      <c r="S47" s="133"/>
      <c r="T47" s="133"/>
      <c r="U47" s="133"/>
      <c r="V47" s="133"/>
      <c r="W47" s="133"/>
      <c r="X47" s="133"/>
      <c r="Y47" s="133"/>
      <c r="Z47" s="133"/>
      <c r="AJ47" s="282"/>
      <c r="AK47" s="282"/>
      <c r="AL47" s="282"/>
      <c r="AM47" s="282"/>
      <c r="AN47" s="282"/>
    </row>
    <row r="48" spans="1:40" x14ac:dyDescent="0.35">
      <c r="A48" s="284"/>
      <c r="B48" s="325" t="str">
        <f>'Inputs and eligible population'!H102</f>
        <v>Nivolumab (neoadjuvant)</v>
      </c>
      <c r="C48" s="149">
        <f>'Inputs and eligible population'!H105</f>
        <v>0</v>
      </c>
      <c r="D48" s="128">
        <f>'Financial impact (cash)'!D16*$C48*'Inputs and eligible population'!$H$107/60</f>
        <v>0</v>
      </c>
      <c r="E48" s="128">
        <f>'Financial impact (cash)'!E16*$C48*'Inputs and eligible population'!$H$107/60</f>
        <v>0</v>
      </c>
      <c r="F48" s="128">
        <f>'Financial impact (cash)'!F16*$C48*'Inputs and eligible population'!$H$107/60</f>
        <v>0</v>
      </c>
      <c r="G48" s="128">
        <f>'Financial impact (cash)'!G16*$C48*'Inputs and eligible population'!$H$107/60</f>
        <v>0</v>
      </c>
      <c r="H48" s="128">
        <f>'Financial impact (cash)'!H16*$C48*'Inputs and eligible population'!$H$107/60</f>
        <v>0</v>
      </c>
      <c r="I48" s="128">
        <f>'Financial impact (cash)'!I16*$C48*'Inputs and eligible population'!$H$107/60</f>
        <v>0</v>
      </c>
      <c r="J48" s="219"/>
      <c r="K48" s="510">
        <f>'Inputs and eligible population'!M106</f>
        <v>121.08</v>
      </c>
      <c r="L48" s="512">
        <f t="shared" ref="L48" si="46">$K48/1000*D48</f>
        <v>0</v>
      </c>
      <c r="M48" s="512">
        <f t="shared" si="41"/>
        <v>0</v>
      </c>
      <c r="N48" s="512">
        <f t="shared" si="42"/>
        <v>0</v>
      </c>
      <c r="O48" s="512">
        <f t="shared" si="43"/>
        <v>0</v>
      </c>
      <c r="P48" s="512">
        <f t="shared" si="44"/>
        <v>0</v>
      </c>
      <c r="Q48" s="512">
        <f t="shared" si="45"/>
        <v>0</v>
      </c>
      <c r="R48" s="133"/>
      <c r="S48" s="133"/>
      <c r="T48" s="133"/>
      <c r="U48" s="133"/>
      <c r="V48" s="133"/>
      <c r="W48" s="133"/>
      <c r="X48" s="133"/>
      <c r="Y48" s="133"/>
      <c r="Z48" s="133"/>
      <c r="AJ48" s="282"/>
      <c r="AK48" s="282"/>
      <c r="AL48" s="282"/>
      <c r="AM48" s="282"/>
      <c r="AN48" s="282"/>
    </row>
    <row r="49" spans="1:40" x14ac:dyDescent="0.35">
      <c r="A49" s="496"/>
      <c r="B49" s="465"/>
      <c r="C49" s="279"/>
      <c r="D49" s="185">
        <f t="shared" ref="D49:I49" si="47">SUM(D47:D48)</f>
        <v>0</v>
      </c>
      <c r="E49" s="185">
        <f t="shared" si="47"/>
        <v>0</v>
      </c>
      <c r="F49" s="185">
        <f t="shared" si="47"/>
        <v>0</v>
      </c>
      <c r="G49" s="185">
        <f t="shared" si="47"/>
        <v>0</v>
      </c>
      <c r="H49" s="185">
        <f t="shared" si="47"/>
        <v>0</v>
      </c>
      <c r="I49" s="185">
        <f t="shared" si="47"/>
        <v>0</v>
      </c>
      <c r="J49" s="504"/>
      <c r="K49" s="219"/>
      <c r="L49" s="287">
        <f t="shared" ref="L49:Q49" si="48">SUM(L47:L48)</f>
        <v>0</v>
      </c>
      <c r="M49" s="287">
        <f t="shared" si="48"/>
        <v>0</v>
      </c>
      <c r="N49" s="287">
        <f t="shared" si="48"/>
        <v>0</v>
      </c>
      <c r="O49" s="287">
        <f t="shared" si="48"/>
        <v>0</v>
      </c>
      <c r="P49" s="287">
        <f t="shared" si="48"/>
        <v>0</v>
      </c>
      <c r="Q49" s="287">
        <f t="shared" si="48"/>
        <v>0</v>
      </c>
      <c r="R49" s="133"/>
      <c r="S49" s="133"/>
      <c r="T49" s="133"/>
      <c r="U49" s="133"/>
      <c r="V49" s="133"/>
      <c r="W49" s="133"/>
      <c r="X49" s="133"/>
      <c r="Y49" s="133"/>
      <c r="Z49" s="133"/>
      <c r="AJ49" s="282"/>
      <c r="AK49" s="282"/>
      <c r="AL49" s="282"/>
      <c r="AM49" s="282"/>
      <c r="AN49" s="282"/>
    </row>
    <row r="50" spans="1:40" x14ac:dyDescent="0.35">
      <c r="A50" s="496"/>
      <c r="B50" s="254"/>
      <c r="C50" s="254"/>
      <c r="D50" s="281" t="s">
        <v>978</v>
      </c>
      <c r="E50" s="185">
        <f>E49-$D$49</f>
        <v>0</v>
      </c>
      <c r="F50" s="185">
        <f t="shared" ref="F50:I50" si="49">F49-$D$49</f>
        <v>0</v>
      </c>
      <c r="G50" s="185">
        <f t="shared" si="49"/>
        <v>0</v>
      </c>
      <c r="H50" s="185">
        <f t="shared" si="49"/>
        <v>0</v>
      </c>
      <c r="I50" s="185">
        <f t="shared" si="49"/>
        <v>0</v>
      </c>
      <c r="J50" s="504"/>
      <c r="K50" s="219"/>
      <c r="L50" s="219"/>
      <c r="M50" s="287">
        <f>M49-$L49</f>
        <v>0</v>
      </c>
      <c r="N50" s="287">
        <f t="shared" ref="N50:Q50" si="50">N49-$L49</f>
        <v>0</v>
      </c>
      <c r="O50" s="287">
        <f t="shared" si="50"/>
        <v>0</v>
      </c>
      <c r="P50" s="287">
        <f t="shared" si="50"/>
        <v>0</v>
      </c>
      <c r="Q50" s="287">
        <f t="shared" si="50"/>
        <v>0</v>
      </c>
      <c r="R50" s="133"/>
      <c r="S50" s="133"/>
      <c r="T50" s="133"/>
      <c r="U50" s="133"/>
      <c r="V50" s="133"/>
      <c r="W50" s="133"/>
      <c r="X50" s="133"/>
      <c r="Y50" s="133"/>
      <c r="Z50" s="133"/>
      <c r="AJ50" s="282"/>
      <c r="AK50" s="282"/>
      <c r="AL50" s="282"/>
      <c r="AM50" s="282"/>
      <c r="AN50" s="282"/>
    </row>
    <row r="51" spans="1:40" x14ac:dyDescent="0.35">
      <c r="A51" s="284"/>
      <c r="B51" s="497"/>
      <c r="C51" s="498"/>
      <c r="D51" s="499"/>
      <c r="E51" s="500"/>
      <c r="F51" s="284"/>
      <c r="G51" s="284"/>
      <c r="H51" s="284"/>
      <c r="I51" s="284"/>
      <c r="J51" s="219"/>
      <c r="K51" s="219"/>
      <c r="L51" s="219"/>
      <c r="M51" s="219"/>
      <c r="N51" s="219"/>
      <c r="O51" s="219"/>
      <c r="P51" s="219"/>
      <c r="Q51" s="219"/>
      <c r="R51" s="133"/>
      <c r="S51" s="133"/>
      <c r="T51" s="133"/>
      <c r="U51" s="133"/>
      <c r="V51" s="133"/>
      <c r="W51" s="133"/>
      <c r="X51" s="133"/>
      <c r="Y51" s="133"/>
      <c r="Z51" s="133"/>
      <c r="AJ51" s="282"/>
      <c r="AK51" s="282"/>
      <c r="AL51" s="282"/>
      <c r="AM51" s="282"/>
      <c r="AN51" s="282"/>
    </row>
    <row r="52" spans="1:40" x14ac:dyDescent="0.35">
      <c r="A52" s="284"/>
      <c r="B52" s="497"/>
      <c r="C52" s="498"/>
      <c r="D52" s="499"/>
      <c r="E52" s="500"/>
      <c r="F52" s="284"/>
      <c r="G52" s="284"/>
      <c r="H52" s="284"/>
      <c r="I52" s="284"/>
      <c r="J52" s="219"/>
      <c r="K52" s="219"/>
      <c r="L52" s="219"/>
      <c r="M52" s="219"/>
      <c r="N52" s="219"/>
      <c r="O52" s="219"/>
      <c r="P52" s="219"/>
      <c r="Q52" s="219"/>
      <c r="R52" s="133"/>
      <c r="S52" s="133"/>
      <c r="T52" s="133"/>
      <c r="U52" s="133"/>
      <c r="V52" s="133"/>
      <c r="W52" s="133"/>
      <c r="X52" s="133"/>
      <c r="Y52" s="133"/>
      <c r="Z52" s="133"/>
      <c r="AJ52" s="282"/>
      <c r="AK52" s="282"/>
      <c r="AL52" s="282"/>
      <c r="AM52" s="282"/>
      <c r="AN52" s="282"/>
    </row>
    <row r="53" spans="1:40" x14ac:dyDescent="0.35">
      <c r="A53" s="284"/>
      <c r="B53" s="368" t="s">
        <v>977</v>
      </c>
      <c r="C53" s="369"/>
      <c r="D53" s="369"/>
      <c r="E53" s="369"/>
      <c r="F53" s="369"/>
      <c r="G53" s="369"/>
      <c r="H53" s="369"/>
      <c r="I53" s="218"/>
      <c r="J53" s="219"/>
      <c r="K53" s="219"/>
      <c r="L53" s="219"/>
      <c r="M53" s="219"/>
      <c r="N53" s="219"/>
      <c r="O53" s="219"/>
      <c r="P53" s="219"/>
      <c r="Q53" s="219"/>
      <c r="R53" s="133"/>
      <c r="S53" s="133"/>
      <c r="T53" s="133"/>
      <c r="U53" s="133"/>
      <c r="V53" s="133"/>
      <c r="W53" s="133"/>
      <c r="X53" s="133"/>
      <c r="Y53" s="133"/>
      <c r="Z53" s="133"/>
      <c r="AJ53" s="282"/>
      <c r="AK53" s="282"/>
      <c r="AL53" s="282"/>
      <c r="AM53" s="282"/>
      <c r="AN53" s="282"/>
    </row>
    <row r="54" spans="1:40" ht="43.5" x14ac:dyDescent="0.35">
      <c r="A54" s="284"/>
      <c r="B54" s="278" t="s">
        <v>771</v>
      </c>
      <c r="C54" s="165" t="s">
        <v>824</v>
      </c>
      <c r="D54" s="387" t="s">
        <v>814</v>
      </c>
      <c r="E54" s="253" t="s">
        <v>676</v>
      </c>
      <c r="F54" s="253" t="s">
        <v>677</v>
      </c>
      <c r="G54" s="164" t="s">
        <v>782</v>
      </c>
      <c r="H54" s="164" t="s">
        <v>783</v>
      </c>
      <c r="I54" s="253" t="s">
        <v>784</v>
      </c>
      <c r="J54" s="219"/>
      <c r="K54" s="495" t="s">
        <v>825</v>
      </c>
      <c r="L54" s="387" t="s">
        <v>814</v>
      </c>
      <c r="M54" s="483" t="s">
        <v>676</v>
      </c>
      <c r="N54" s="483" t="s">
        <v>677</v>
      </c>
      <c r="O54" s="388" t="s">
        <v>782</v>
      </c>
      <c r="P54" s="388" t="s">
        <v>783</v>
      </c>
      <c r="Q54" s="483" t="s">
        <v>784</v>
      </c>
      <c r="R54" s="133"/>
      <c r="S54" s="133"/>
      <c r="T54" s="133"/>
      <c r="U54" s="133"/>
      <c r="V54" s="133"/>
      <c r="W54" s="133"/>
      <c r="X54" s="133"/>
      <c r="Y54" s="133"/>
      <c r="Z54" s="133"/>
      <c r="AJ54" s="282"/>
      <c r="AK54" s="282"/>
      <c r="AL54" s="282"/>
      <c r="AM54" s="282"/>
      <c r="AN54" s="282"/>
    </row>
    <row r="55" spans="1:40" x14ac:dyDescent="0.35">
      <c r="A55" s="284"/>
      <c r="B55" s="325" t="str">
        <f>'Inputs and eligible population'!G102</f>
        <v>Pembrolizumab (adjuvant)</v>
      </c>
      <c r="C55" s="649">
        <f>'Inputs and eligible population'!G105</f>
        <v>0</v>
      </c>
      <c r="D55" s="128">
        <f>'Financial impact (cash)'!D19*'Capacity (local prices)'!$C55*'Inputs and eligible population'!$G$106/60</f>
        <v>0</v>
      </c>
      <c r="E55" s="128">
        <f>'Financial impact (cash)'!E19*'Capacity (local prices)'!$C55*'Inputs and eligible population'!$G$106/60</f>
        <v>0</v>
      </c>
      <c r="F55" s="128">
        <f>'Financial impact (cash)'!F19*'Capacity (local prices)'!$C55*'Inputs and eligible population'!$G$106/60</f>
        <v>0</v>
      </c>
      <c r="G55" s="128">
        <f>'Financial impact (cash)'!G19*'Capacity (local prices)'!$C55*'Inputs and eligible population'!$G$106/60</f>
        <v>0</v>
      </c>
      <c r="H55" s="128">
        <f>'Financial impact (cash)'!H19*'Capacity (local prices)'!$C55*'Inputs and eligible population'!$G$106/60</f>
        <v>0</v>
      </c>
      <c r="I55" s="128">
        <f>'Financial impact (cash)'!I19*'Capacity (local prices)'!$C55*'Inputs and eligible population'!$G$106/60</f>
        <v>0</v>
      </c>
      <c r="J55" s="219"/>
      <c r="K55" s="510">
        <f>'Inputs and eligible population'!M106</f>
        <v>121.08</v>
      </c>
      <c r="L55" s="512">
        <f>$K55/1000*D55</f>
        <v>0</v>
      </c>
      <c r="M55" s="512">
        <f t="shared" ref="M55" si="51">$K55/1000*E55</f>
        <v>0</v>
      </c>
      <c r="N55" s="512">
        <f t="shared" ref="N55" si="52">$K55/1000*F55</f>
        <v>0</v>
      </c>
      <c r="O55" s="512">
        <f t="shared" ref="O55" si="53">$K55/1000*G55</f>
        <v>0</v>
      </c>
      <c r="P55" s="512">
        <f t="shared" ref="P55" si="54">$K55/1000*H55</f>
        <v>0</v>
      </c>
      <c r="Q55" s="512">
        <f t="shared" ref="Q55" si="55">$K55/1000*I55</f>
        <v>0</v>
      </c>
      <c r="R55" s="133"/>
      <c r="S55" s="133"/>
      <c r="T55" s="133"/>
      <c r="U55" s="133"/>
      <c r="V55" s="133"/>
      <c r="W55" s="133"/>
      <c r="X55" s="133"/>
      <c r="Y55" s="133"/>
      <c r="Z55" s="133"/>
      <c r="AJ55" s="282"/>
      <c r="AK55" s="282"/>
      <c r="AL55" s="282"/>
      <c r="AM55" s="282"/>
      <c r="AN55" s="282"/>
    </row>
    <row r="56" spans="1:40" x14ac:dyDescent="0.35">
      <c r="A56" s="284"/>
      <c r="B56" s="465"/>
      <c r="C56" s="279"/>
      <c r="D56" s="185">
        <f t="shared" ref="D56:I56" si="56">SUM(D55:D55)</f>
        <v>0</v>
      </c>
      <c r="E56" s="185">
        <f t="shared" si="56"/>
        <v>0</v>
      </c>
      <c r="F56" s="185">
        <f t="shared" si="56"/>
        <v>0</v>
      </c>
      <c r="G56" s="185">
        <f t="shared" si="56"/>
        <v>0</v>
      </c>
      <c r="H56" s="185">
        <f t="shared" si="56"/>
        <v>0</v>
      </c>
      <c r="I56" s="185">
        <f t="shared" si="56"/>
        <v>0</v>
      </c>
      <c r="J56" s="504"/>
      <c r="K56" s="219"/>
      <c r="L56" s="287">
        <f t="shared" ref="L56:Q56" si="57">SUM(L55:L55)</f>
        <v>0</v>
      </c>
      <c r="M56" s="287">
        <f t="shared" si="57"/>
        <v>0</v>
      </c>
      <c r="N56" s="287">
        <f t="shared" si="57"/>
        <v>0</v>
      </c>
      <c r="O56" s="287">
        <f t="shared" si="57"/>
        <v>0</v>
      </c>
      <c r="P56" s="287">
        <f t="shared" si="57"/>
        <v>0</v>
      </c>
      <c r="Q56" s="287">
        <f t="shared" si="57"/>
        <v>0</v>
      </c>
      <c r="R56" s="133"/>
      <c r="S56" s="133"/>
      <c r="T56" s="133"/>
      <c r="U56" s="133"/>
      <c r="V56" s="133"/>
      <c r="W56" s="133"/>
      <c r="X56" s="133"/>
      <c r="Y56" s="133"/>
      <c r="Z56" s="133"/>
      <c r="AJ56" s="282"/>
      <c r="AK56" s="282"/>
      <c r="AL56" s="282"/>
      <c r="AM56" s="282"/>
      <c r="AN56" s="282"/>
    </row>
    <row r="57" spans="1:40" x14ac:dyDescent="0.35">
      <c r="A57" s="284"/>
      <c r="B57" s="254"/>
      <c r="C57" s="254"/>
      <c r="D57" s="281" t="s">
        <v>979</v>
      </c>
      <c r="E57" s="185">
        <f>E56-$D$56</f>
        <v>0</v>
      </c>
      <c r="F57" s="185">
        <f t="shared" ref="F57:I57" si="58">F56-$D$56</f>
        <v>0</v>
      </c>
      <c r="G57" s="185">
        <f t="shared" si="58"/>
        <v>0</v>
      </c>
      <c r="H57" s="185">
        <f t="shared" si="58"/>
        <v>0</v>
      </c>
      <c r="I57" s="185">
        <f t="shared" si="58"/>
        <v>0</v>
      </c>
      <c r="J57" s="504"/>
      <c r="K57" s="219"/>
      <c r="L57" s="219"/>
      <c r="M57" s="287">
        <f>M56-$L56</f>
        <v>0</v>
      </c>
      <c r="N57" s="287">
        <f t="shared" ref="N57:Q57" si="59">N56-$L56</f>
        <v>0</v>
      </c>
      <c r="O57" s="287">
        <f t="shared" si="59"/>
        <v>0</v>
      </c>
      <c r="P57" s="287">
        <f t="shared" si="59"/>
        <v>0</v>
      </c>
      <c r="Q57" s="287">
        <f t="shared" si="59"/>
        <v>0</v>
      </c>
      <c r="R57" s="133"/>
      <c r="S57" s="133"/>
      <c r="T57" s="133"/>
      <c r="U57" s="133"/>
      <c r="V57" s="133"/>
      <c r="W57" s="133"/>
      <c r="X57" s="133"/>
      <c r="Y57" s="133"/>
      <c r="Z57" s="133"/>
      <c r="AJ57" s="282"/>
      <c r="AK57" s="282"/>
      <c r="AL57" s="282"/>
      <c r="AM57" s="282"/>
      <c r="AN57" s="282"/>
    </row>
    <row r="58" spans="1:40" x14ac:dyDescent="0.35">
      <c r="A58" s="284"/>
      <c r="B58" s="497"/>
      <c r="C58" s="498"/>
      <c r="D58" s="499"/>
      <c r="E58" s="500"/>
      <c r="F58" s="284"/>
      <c r="G58" s="284"/>
      <c r="H58" s="284"/>
      <c r="I58" s="284"/>
      <c r="J58" s="219"/>
      <c r="K58" s="219"/>
      <c r="L58" s="219"/>
      <c r="M58" s="219"/>
      <c r="N58" s="219"/>
      <c r="O58" s="219"/>
      <c r="P58" s="219"/>
      <c r="Q58" s="219"/>
      <c r="R58" s="133"/>
      <c r="S58" s="133"/>
      <c r="T58" s="133"/>
      <c r="U58" s="133"/>
      <c r="V58" s="133"/>
      <c r="W58" s="133"/>
      <c r="X58" s="133"/>
      <c r="Y58" s="133"/>
      <c r="Z58" s="133"/>
      <c r="AJ58" s="282"/>
      <c r="AK58" s="282"/>
      <c r="AL58" s="282"/>
      <c r="AM58" s="282"/>
      <c r="AN58" s="282"/>
    </row>
    <row r="59" spans="1:40" x14ac:dyDescent="0.35">
      <c r="A59" s="284"/>
      <c r="B59" s="497"/>
      <c r="C59" s="498"/>
      <c r="D59" s="499"/>
      <c r="E59" s="500"/>
      <c r="F59" s="284"/>
      <c r="G59" s="284"/>
      <c r="H59" s="284"/>
      <c r="I59" s="284"/>
      <c r="J59" s="219"/>
      <c r="K59" s="219"/>
      <c r="L59" s="219"/>
      <c r="M59" s="219"/>
      <c r="N59" s="219"/>
      <c r="O59" s="219"/>
      <c r="P59" s="219"/>
      <c r="Q59" s="219"/>
      <c r="R59" s="133"/>
      <c r="S59" s="133"/>
      <c r="T59" s="133"/>
      <c r="U59" s="133"/>
      <c r="V59" s="133"/>
      <c r="W59" s="133"/>
      <c r="X59" s="133"/>
      <c r="Y59" s="133"/>
      <c r="Z59" s="133"/>
      <c r="AJ59" s="282"/>
      <c r="AK59" s="282"/>
      <c r="AL59" s="282"/>
      <c r="AM59" s="282"/>
      <c r="AN59" s="282"/>
    </row>
    <row r="60" spans="1:40" x14ac:dyDescent="0.35">
      <c r="A60" s="290"/>
      <c r="B60" s="304"/>
      <c r="C60" s="293"/>
      <c r="D60" s="292"/>
      <c r="E60" s="293"/>
      <c r="F60" s="294"/>
      <c r="G60" s="290"/>
      <c r="H60" s="290"/>
      <c r="I60" s="291"/>
      <c r="J60" s="215"/>
      <c r="K60" s="215"/>
      <c r="L60" s="215"/>
      <c r="M60" s="215"/>
      <c r="N60" s="215"/>
      <c r="O60" s="215"/>
      <c r="P60" s="215"/>
      <c r="Q60" s="215"/>
      <c r="R60" s="133"/>
      <c r="S60" s="133"/>
      <c r="T60" s="133"/>
      <c r="U60" s="133"/>
      <c r="V60" s="133"/>
      <c r="W60" s="133"/>
      <c r="X60" s="133"/>
      <c r="Y60" s="133"/>
      <c r="Z60" s="133"/>
      <c r="AJ60" s="282"/>
      <c r="AK60" s="282"/>
      <c r="AL60" s="282"/>
      <c r="AM60" s="282"/>
      <c r="AN60" s="282"/>
    </row>
    <row r="61" spans="1:40" x14ac:dyDescent="0.35">
      <c r="A61" s="295"/>
      <c r="B61" s="361" t="s">
        <v>999</v>
      </c>
      <c r="C61" s="362"/>
      <c r="D61" s="362"/>
      <c r="E61" s="362"/>
      <c r="F61" s="362"/>
      <c r="G61" s="362"/>
      <c r="H61" s="362"/>
      <c r="I61" s="362"/>
      <c r="J61" s="390"/>
      <c r="K61" s="215"/>
      <c r="L61" s="215"/>
      <c r="M61" s="215"/>
      <c r="N61" s="215"/>
      <c r="O61" s="215"/>
      <c r="P61" s="215"/>
      <c r="Q61" s="215"/>
      <c r="R61" s="133"/>
      <c r="S61" s="133"/>
      <c r="T61" s="133"/>
      <c r="U61" s="133"/>
      <c r="V61" s="133"/>
      <c r="W61" s="133"/>
      <c r="X61" s="133"/>
      <c r="Y61" s="133"/>
      <c r="Z61" s="133"/>
      <c r="AJ61" s="282"/>
      <c r="AK61" s="282"/>
      <c r="AL61" s="282"/>
      <c r="AM61" s="282"/>
      <c r="AN61" s="282"/>
    </row>
    <row r="62" spans="1:40" ht="43.5" x14ac:dyDescent="0.35">
      <c r="A62" s="295"/>
      <c r="B62" s="302" t="s">
        <v>771</v>
      </c>
      <c r="C62" s="165" t="s">
        <v>761</v>
      </c>
      <c r="D62" s="387" t="s">
        <v>814</v>
      </c>
      <c r="E62" s="253" t="s">
        <v>676</v>
      </c>
      <c r="F62" s="253" t="s">
        <v>677</v>
      </c>
      <c r="G62" s="164" t="s">
        <v>782</v>
      </c>
      <c r="H62" s="164" t="s">
        <v>783</v>
      </c>
      <c r="I62" s="253" t="s">
        <v>784</v>
      </c>
      <c r="J62" s="390"/>
      <c r="K62" s="215"/>
      <c r="L62" s="215"/>
      <c r="M62" s="215"/>
      <c r="N62" s="215"/>
      <c r="O62" s="215"/>
      <c r="P62" s="215"/>
      <c r="Q62" s="215"/>
      <c r="V62" s="133"/>
      <c r="AJ62" s="282"/>
      <c r="AK62" s="282"/>
      <c r="AL62" s="282"/>
      <c r="AM62" s="282"/>
      <c r="AN62" s="282"/>
    </row>
    <row r="63" spans="1:40" x14ac:dyDescent="0.35">
      <c r="A63" s="295"/>
      <c r="B63" s="325" t="str">
        <f>'Inputs and eligible population'!$C$55</f>
        <v>Pembrolizumab + chemo - neoadjuvant</v>
      </c>
      <c r="C63" s="289">
        <f>'Inputs and eligible population'!$F$55</f>
        <v>3.6</v>
      </c>
      <c r="D63" s="128">
        <f>'Inputs and eligible population'!L82*'Capacity (local prices)'!$C63</f>
        <v>0</v>
      </c>
      <c r="E63" s="128">
        <f>'Inputs and eligible population'!M82*'Capacity (local prices)'!$C63</f>
        <v>1635.9442108086596</v>
      </c>
      <c r="F63" s="128">
        <f>'Inputs and eligible population'!N82*'Capacity (local prices)'!$C63</f>
        <v>2477.576504866508</v>
      </c>
      <c r="G63" s="128">
        <f>'Inputs and eligible population'!O82*'Capacity (local prices)'!$C63</f>
        <v>2918.3756239208496</v>
      </c>
      <c r="H63" s="128">
        <f>'Inputs and eligible population'!P82*'Capacity (local prices)'!$C63</f>
        <v>3788.3751940210082</v>
      </c>
      <c r="I63" s="128">
        <f>'Inputs and eligible population'!Q82*'Capacity (local prices)'!$C63</f>
        <v>4249.8910869365354</v>
      </c>
      <c r="J63" s="390"/>
      <c r="K63" s="215"/>
      <c r="L63" s="215"/>
      <c r="M63" s="215"/>
      <c r="N63" s="215"/>
      <c r="O63" s="215"/>
      <c r="P63" s="215"/>
      <c r="Q63" s="215"/>
      <c r="V63" s="133"/>
      <c r="AJ63" s="282"/>
      <c r="AK63" s="282"/>
      <c r="AL63" s="282"/>
      <c r="AM63" s="282"/>
      <c r="AN63" s="282"/>
    </row>
    <row r="64" spans="1:40" x14ac:dyDescent="0.35">
      <c r="A64" s="295"/>
      <c r="B64" s="325" t="str">
        <f>'Inputs and eligible population'!$C$58</f>
        <v>Nivolumab neoadjuvant</v>
      </c>
      <c r="C64" s="289">
        <f>'Inputs and eligible population'!$F$58</f>
        <v>2.8</v>
      </c>
      <c r="D64" s="128">
        <f>'Inputs and eligible population'!L83*'Capacity (local prices)'!$C64</f>
        <v>6301.2498266452685</v>
      </c>
      <c r="E64" s="128">
        <f>'Inputs and eligible population'!M83*'Capacity (local prices)'!$C64</f>
        <v>5089.6042114047177</v>
      </c>
      <c r="F64" s="128">
        <f>'Inputs and eligible population'!N83*'Capacity (local prices)'!$C64</f>
        <v>4496.3425458688471</v>
      </c>
      <c r="G64" s="128">
        <f>'Inputs and eligible population'!O83*'Capacity (local prices)'!$C64</f>
        <v>4215.4314567745605</v>
      </c>
      <c r="H64" s="128">
        <f>'Inputs and eligible population'!P83*'Capacity (local prices)'!$C64</f>
        <v>3601.2949375261433</v>
      </c>
      <c r="I64" s="128">
        <f>'Inputs and eligible population'!Q83*'Capacity (local prices)'!$C64</f>
        <v>3305.470845395083</v>
      </c>
      <c r="J64" s="390"/>
      <c r="K64" s="215"/>
      <c r="L64" s="215"/>
      <c r="M64" s="215"/>
      <c r="N64" s="215"/>
      <c r="O64" s="215"/>
      <c r="P64" s="215"/>
      <c r="Q64" s="215"/>
      <c r="V64" s="133"/>
      <c r="AJ64" s="282"/>
      <c r="AK64" s="282"/>
      <c r="AL64" s="282"/>
      <c r="AM64" s="282"/>
      <c r="AN64" s="282"/>
    </row>
    <row r="65" spans="1:40" x14ac:dyDescent="0.35">
      <c r="A65" s="295"/>
      <c r="B65" s="305"/>
      <c r="C65" s="305"/>
      <c r="D65" s="185">
        <f t="shared" ref="D65:I65" si="60">SUM(D63:D64)</f>
        <v>6301.2498266452685</v>
      </c>
      <c r="E65" s="185">
        <f t="shared" si="60"/>
        <v>6725.5484222133773</v>
      </c>
      <c r="F65" s="185">
        <f t="shared" si="60"/>
        <v>6973.9190507353551</v>
      </c>
      <c r="G65" s="185">
        <f t="shared" si="60"/>
        <v>7133.8070806954101</v>
      </c>
      <c r="H65" s="185">
        <f t="shared" si="60"/>
        <v>7389.670131547151</v>
      </c>
      <c r="I65" s="185">
        <f t="shared" si="60"/>
        <v>7555.3619323316179</v>
      </c>
      <c r="J65" s="290"/>
      <c r="K65" s="290"/>
      <c r="L65" s="290"/>
      <c r="M65" s="290"/>
      <c r="N65" s="290"/>
      <c r="O65" s="290"/>
      <c r="P65" s="290"/>
      <c r="Q65" s="290"/>
      <c r="V65" s="133"/>
      <c r="AJ65" s="282"/>
      <c r="AK65" s="282"/>
      <c r="AL65" s="282"/>
      <c r="AM65" s="282"/>
      <c r="AN65" s="282"/>
    </row>
    <row r="66" spans="1:40" x14ac:dyDescent="0.35">
      <c r="A66" s="295"/>
      <c r="B66" s="254"/>
      <c r="C66" s="254"/>
      <c r="D66" s="281" t="s">
        <v>827</v>
      </c>
      <c r="E66" s="185">
        <f>E65-$D$65</f>
        <v>424.29859556810879</v>
      </c>
      <c r="F66" s="185">
        <f>F65-$D$65</f>
        <v>672.66922409008657</v>
      </c>
      <c r="G66" s="185">
        <f>G65-$D$65</f>
        <v>832.55725405014164</v>
      </c>
      <c r="H66" s="185">
        <f>H65-$D$65</f>
        <v>1088.4203049018824</v>
      </c>
      <c r="I66" s="185">
        <f>I65-$D$65</f>
        <v>1254.1121056863494</v>
      </c>
      <c r="J66" s="290"/>
      <c r="K66" s="290"/>
      <c r="L66" s="290"/>
      <c r="M66" s="290"/>
      <c r="N66" s="290"/>
      <c r="O66" s="290"/>
      <c r="P66" s="290"/>
      <c r="Q66" s="290"/>
      <c r="S66" s="133"/>
      <c r="T66" s="133"/>
      <c r="U66" s="133"/>
      <c r="V66" s="133"/>
      <c r="W66" s="133"/>
      <c r="X66" s="133"/>
      <c r="Y66" s="133"/>
      <c r="Z66" s="133"/>
      <c r="AJ66" s="282"/>
      <c r="AK66" s="282"/>
      <c r="AL66" s="282"/>
      <c r="AM66" s="282"/>
      <c r="AN66" s="282"/>
    </row>
    <row r="67" spans="1:40" x14ac:dyDescent="0.35">
      <c r="A67" s="290"/>
      <c r="B67" s="304"/>
      <c r="C67" s="293"/>
      <c r="D67" s="292"/>
      <c r="E67" s="293"/>
      <c r="F67" s="294"/>
      <c r="G67" s="290"/>
      <c r="H67" s="290"/>
      <c r="I67" s="743"/>
      <c r="J67" s="290"/>
      <c r="K67" s="290"/>
      <c r="L67" s="290"/>
      <c r="M67" s="290"/>
      <c r="N67" s="290"/>
      <c r="O67" s="290"/>
      <c r="P67" s="290"/>
      <c r="Q67" s="290"/>
      <c r="S67" s="133"/>
      <c r="T67" s="133"/>
      <c r="U67" s="133"/>
      <c r="V67" s="133"/>
      <c r="W67" s="133"/>
      <c r="X67" s="133"/>
      <c r="Y67" s="133"/>
      <c r="Z67" s="133"/>
      <c r="AJ67" s="282"/>
      <c r="AK67" s="282"/>
      <c r="AL67" s="282"/>
      <c r="AM67" s="282"/>
      <c r="AN67" s="282"/>
    </row>
    <row r="68" spans="1:40" x14ac:dyDescent="0.35">
      <c r="A68" s="290"/>
      <c r="B68" s="745" t="s">
        <v>1000</v>
      </c>
      <c r="C68" s="362"/>
      <c r="D68" s="362"/>
      <c r="E68" s="362"/>
      <c r="F68" s="362"/>
      <c r="G68" s="362"/>
      <c r="H68" s="362"/>
      <c r="I68" s="362"/>
      <c r="J68" s="290"/>
      <c r="K68" s="290"/>
      <c r="L68" s="290"/>
      <c r="M68" s="290"/>
      <c r="N68" s="290"/>
      <c r="O68" s="290"/>
      <c r="P68" s="290"/>
      <c r="Q68" s="290"/>
      <c r="S68" s="133"/>
      <c r="T68" s="133"/>
      <c r="U68" s="133"/>
      <c r="V68" s="133"/>
      <c r="W68" s="133"/>
      <c r="X68" s="133"/>
      <c r="Y68" s="133"/>
      <c r="Z68" s="133"/>
      <c r="AJ68" s="282"/>
      <c r="AK68" s="282"/>
      <c r="AL68" s="282"/>
      <c r="AM68" s="282"/>
      <c r="AN68" s="282"/>
    </row>
    <row r="69" spans="1:40" ht="43.5" x14ac:dyDescent="0.35">
      <c r="A69" s="290"/>
      <c r="B69" s="275" t="s">
        <v>771</v>
      </c>
      <c r="C69" s="165" t="s">
        <v>761</v>
      </c>
      <c r="D69" s="387" t="s">
        <v>814</v>
      </c>
      <c r="E69" s="253" t="s">
        <v>676</v>
      </c>
      <c r="F69" s="253" t="s">
        <v>677</v>
      </c>
      <c r="G69" s="164" t="s">
        <v>782</v>
      </c>
      <c r="H69" s="164" t="s">
        <v>783</v>
      </c>
      <c r="I69" s="253" t="s">
        <v>784</v>
      </c>
      <c r="J69" s="290"/>
      <c r="K69" s="290"/>
      <c r="L69" s="290"/>
      <c r="M69" s="290"/>
      <c r="N69" s="290"/>
      <c r="O69" s="290"/>
      <c r="P69" s="290"/>
      <c r="Q69" s="290"/>
      <c r="S69" s="133"/>
      <c r="T69" s="133"/>
      <c r="U69" s="133"/>
      <c r="V69" s="133"/>
      <c r="W69" s="133"/>
      <c r="X69" s="133"/>
      <c r="Y69" s="133"/>
      <c r="Z69" s="133"/>
      <c r="AJ69" s="282"/>
      <c r="AK69" s="282"/>
      <c r="AL69" s="282"/>
      <c r="AM69" s="282"/>
      <c r="AN69" s="282"/>
    </row>
    <row r="70" spans="1:40" x14ac:dyDescent="0.35">
      <c r="A70" s="290"/>
      <c r="B70" s="325" t="s">
        <v>1004</v>
      </c>
      <c r="C70" s="289">
        <f>IF('Unit costs'!$B$18="200mg every 3wks",'Inputs and eligible population'!F56,'Inputs and eligible population'!F57)</f>
        <v>2.625</v>
      </c>
      <c r="D70" s="128">
        <f>'Inputs and eligible population'!L88*'Capacity (local prices)'!$C70</f>
        <v>0</v>
      </c>
      <c r="E70" s="128">
        <f>'Inputs and eligible population'!M88*'Capacity (local prices)'!$C70</f>
        <v>849.32770277816235</v>
      </c>
      <c r="F70" s="128">
        <f>'Inputs and eligible population'!N88*'Capacity (local prices)'!$C70</f>
        <v>1286.2751354431955</v>
      </c>
      <c r="G70" s="128">
        <f>'Inputs and eligible population'!O88*'Capacity (local prices)'!$C70</f>
        <v>1515.1233447522411</v>
      </c>
      <c r="H70" s="128">
        <f>'Inputs and eligible population'!P88*'Capacity (local prices)'!$C70</f>
        <v>1966.7981215625732</v>
      </c>
      <c r="I70" s="128">
        <f>'Inputs and eligible population'!Q88*'Capacity (local prices)'!$C70</f>
        <v>2206.4017893012178</v>
      </c>
      <c r="J70" s="290"/>
      <c r="K70" s="290"/>
      <c r="L70" s="290"/>
      <c r="M70" s="290"/>
      <c r="N70" s="290"/>
      <c r="O70" s="290"/>
      <c r="P70" s="290"/>
      <c r="Q70" s="290"/>
      <c r="S70" s="133"/>
      <c r="T70" s="133"/>
      <c r="U70" s="133"/>
      <c r="V70" s="133"/>
      <c r="W70" s="133"/>
      <c r="X70" s="133"/>
      <c r="Y70" s="133"/>
      <c r="Z70" s="133"/>
      <c r="AJ70" s="282"/>
      <c r="AK70" s="282"/>
      <c r="AL70" s="282"/>
      <c r="AM70" s="282"/>
      <c r="AN70" s="282"/>
    </row>
    <row r="71" spans="1:40" x14ac:dyDescent="0.35">
      <c r="A71" s="290"/>
      <c r="B71" s="325" t="s">
        <v>1005</v>
      </c>
      <c r="C71" s="289">
        <f>IF('Unit costs'!$B$18="200mg every 3wks",'Inputs and eligible population'!G56,'Inputs and eligible population'!G57)</f>
        <v>2.625</v>
      </c>
      <c r="D71" s="128">
        <f>'Inputs and eligible population'!L89*'Capacity (local prices)'!$C71</f>
        <v>0</v>
      </c>
      <c r="E71" s="128">
        <f>'Inputs and eligible population'!M89*'Capacity (local prices)'!$C71</f>
        <v>343.54828426981851</v>
      </c>
      <c r="F71" s="128">
        <f>'Inputs and eligible population'!N89*'Capacity (local prices)'!$C71</f>
        <v>520.29106602196669</v>
      </c>
      <c r="G71" s="128">
        <f>'Inputs and eligible population'!O89*'Capacity (local prices)'!$C71</f>
        <v>612.85888102337844</v>
      </c>
      <c r="H71" s="128">
        <f>'Inputs and eligible population'!P89*'Capacity (local prices)'!$C71</f>
        <v>795.55879074441168</v>
      </c>
      <c r="I71" s="128">
        <f>'Inputs and eligible population'!Q89*'Capacity (local prices)'!$C71</f>
        <v>892.47712825667259</v>
      </c>
      <c r="J71" s="290"/>
      <c r="K71" s="290"/>
      <c r="L71" s="290"/>
      <c r="M71" s="290"/>
      <c r="N71" s="290"/>
      <c r="O71" s="290"/>
      <c r="P71" s="290"/>
      <c r="Q71" s="290"/>
      <c r="S71" s="133"/>
      <c r="T71" s="133"/>
      <c r="U71" s="133"/>
      <c r="V71" s="133"/>
      <c r="W71" s="133"/>
      <c r="X71" s="133"/>
      <c r="Y71" s="133"/>
      <c r="Z71" s="133"/>
      <c r="AJ71" s="282"/>
      <c r="AK71" s="282"/>
      <c r="AL71" s="282"/>
      <c r="AM71" s="282"/>
      <c r="AN71" s="282"/>
    </row>
    <row r="72" spans="1:40" x14ac:dyDescent="0.35">
      <c r="A72" s="290"/>
      <c r="B72" s="279"/>
      <c r="C72" s="305"/>
      <c r="D72" s="185">
        <f t="shared" ref="D72:I72" si="61">SUM(D70:D71)</f>
        <v>0</v>
      </c>
      <c r="E72" s="185">
        <f t="shared" si="61"/>
        <v>1192.8759870479807</v>
      </c>
      <c r="F72" s="185">
        <f t="shared" si="61"/>
        <v>1806.5662014651621</v>
      </c>
      <c r="G72" s="185">
        <f t="shared" si="61"/>
        <v>2127.9822257756196</v>
      </c>
      <c r="H72" s="185">
        <f t="shared" si="61"/>
        <v>2762.3569123069847</v>
      </c>
      <c r="I72" s="185">
        <f t="shared" si="61"/>
        <v>3098.8789175578904</v>
      </c>
      <c r="J72" s="290"/>
      <c r="K72" s="290"/>
      <c r="L72" s="290"/>
      <c r="M72" s="290"/>
      <c r="N72" s="290"/>
      <c r="O72" s="290"/>
      <c r="P72" s="290"/>
      <c r="Q72" s="290"/>
      <c r="S72" s="133"/>
      <c r="T72" s="133"/>
      <c r="U72" s="133"/>
      <c r="V72" s="133"/>
      <c r="W72" s="133"/>
      <c r="X72" s="133"/>
      <c r="Y72" s="133"/>
      <c r="Z72" s="133"/>
      <c r="AJ72" s="282"/>
      <c r="AK72" s="282"/>
      <c r="AL72" s="282"/>
      <c r="AM72" s="282"/>
      <c r="AN72" s="282"/>
    </row>
    <row r="73" spans="1:40" x14ac:dyDescent="0.35">
      <c r="A73" s="290"/>
      <c r="B73" s="300"/>
      <c r="C73" s="254"/>
      <c r="D73" s="281" t="s">
        <v>827</v>
      </c>
      <c r="E73" s="185">
        <f>E72-$D$72</f>
        <v>1192.8759870479807</v>
      </c>
      <c r="F73" s="185">
        <f t="shared" ref="F73:I73" si="62">F72-$D$72</f>
        <v>1806.5662014651621</v>
      </c>
      <c r="G73" s="185">
        <f t="shared" si="62"/>
        <v>2127.9822257756196</v>
      </c>
      <c r="H73" s="185">
        <f t="shared" si="62"/>
        <v>2762.3569123069847</v>
      </c>
      <c r="I73" s="185">
        <f t="shared" si="62"/>
        <v>3098.8789175578904</v>
      </c>
      <c r="J73" s="290"/>
      <c r="K73" s="290"/>
      <c r="L73" s="290"/>
      <c r="M73" s="290"/>
      <c r="N73" s="290"/>
      <c r="O73" s="290"/>
      <c r="P73" s="290"/>
      <c r="Q73" s="290"/>
      <c r="S73" s="133"/>
      <c r="T73" s="133"/>
      <c r="U73" s="133"/>
      <c r="V73" s="133"/>
      <c r="W73" s="133"/>
      <c r="X73" s="133"/>
      <c r="Y73" s="133"/>
      <c r="Z73" s="133"/>
      <c r="AJ73" s="282"/>
      <c r="AK73" s="282"/>
      <c r="AL73" s="282"/>
      <c r="AM73" s="282"/>
      <c r="AN73" s="282"/>
    </row>
    <row r="74" spans="1:40" x14ac:dyDescent="0.35">
      <c r="A74" s="290"/>
      <c r="B74" s="304"/>
      <c r="C74" s="293"/>
      <c r="D74" s="292"/>
      <c r="E74" s="293"/>
      <c r="F74" s="294"/>
      <c r="G74" s="290"/>
      <c r="H74" s="290"/>
      <c r="I74" s="290"/>
      <c r="J74" s="290"/>
      <c r="K74" s="290"/>
      <c r="L74" s="290"/>
      <c r="M74" s="290"/>
      <c r="N74" s="290"/>
      <c r="O74" s="290"/>
      <c r="P74" s="290"/>
      <c r="Q74" s="290"/>
      <c r="S74" s="133"/>
      <c r="T74" s="133"/>
      <c r="U74" s="133"/>
      <c r="V74" s="133"/>
      <c r="W74" s="133"/>
      <c r="X74" s="133"/>
      <c r="Y74" s="133"/>
      <c r="Z74" s="133"/>
      <c r="AJ74" s="282"/>
      <c r="AK74" s="282"/>
      <c r="AL74" s="282"/>
      <c r="AM74" s="282"/>
      <c r="AN74" s="282"/>
    </row>
    <row r="75" spans="1:40" x14ac:dyDescent="0.35">
      <c r="A75" s="290"/>
      <c r="B75" s="304"/>
      <c r="C75" s="293"/>
      <c r="D75" s="293"/>
      <c r="E75" s="294"/>
      <c r="F75" s="290"/>
      <c r="G75" s="290"/>
      <c r="H75" s="215"/>
      <c r="I75" s="744"/>
      <c r="J75" s="215"/>
      <c r="K75" s="215"/>
      <c r="L75" s="215"/>
      <c r="M75" s="215"/>
      <c r="N75" s="215"/>
      <c r="O75" s="215"/>
      <c r="P75" s="215"/>
      <c r="Q75" s="215"/>
      <c r="S75" s="133"/>
      <c r="T75" s="133"/>
      <c r="U75" s="133"/>
      <c r="V75" s="133"/>
      <c r="W75" s="133"/>
      <c r="X75" s="133"/>
      <c r="Y75" s="133"/>
      <c r="Z75" s="133"/>
      <c r="AJ75" s="282"/>
      <c r="AK75" s="282"/>
      <c r="AL75" s="282"/>
      <c r="AM75" s="282"/>
      <c r="AN75" s="282"/>
    </row>
    <row r="76" spans="1:40" x14ac:dyDescent="0.35">
      <c r="A76" s="283"/>
      <c r="B76" s="306" t="s">
        <v>828</v>
      </c>
      <c r="C76" s="296"/>
      <c r="D76" s="296"/>
      <c r="E76" s="297"/>
      <c r="F76" s="298"/>
      <c r="G76" s="299"/>
      <c r="H76" s="299"/>
      <c r="I76" s="299"/>
      <c r="J76" s="393"/>
      <c r="K76" s="283"/>
      <c r="L76" s="283"/>
      <c r="M76" s="283"/>
      <c r="N76" s="283"/>
      <c r="O76" s="283"/>
      <c r="P76" s="283"/>
      <c r="Q76" s="217"/>
      <c r="V76" s="133"/>
    </row>
    <row r="77" spans="1:40" x14ac:dyDescent="0.35">
      <c r="A77" s="283"/>
      <c r="B77" s="363" t="s">
        <v>981</v>
      </c>
      <c r="C77" s="364"/>
      <c r="D77" s="364"/>
      <c r="E77" s="364"/>
      <c r="F77" s="364"/>
      <c r="G77" s="364"/>
      <c r="H77" s="364"/>
      <c r="I77" s="216"/>
      <c r="J77" s="392"/>
      <c r="K77" s="217"/>
      <c r="L77" s="391"/>
      <c r="M77" s="391"/>
      <c r="N77" s="391"/>
      <c r="O77" s="391"/>
      <c r="P77" s="391"/>
      <c r="Q77" s="391"/>
      <c r="V77" s="133"/>
    </row>
    <row r="78" spans="1:40" ht="74.75" customHeight="1" x14ac:dyDescent="0.35">
      <c r="A78" s="283"/>
      <c r="B78" s="278" t="s">
        <v>771</v>
      </c>
      <c r="C78" s="165" t="s">
        <v>829</v>
      </c>
      <c r="D78" s="387" t="s">
        <v>814</v>
      </c>
      <c r="E78" s="253" t="s">
        <v>676</v>
      </c>
      <c r="F78" s="253" t="s">
        <v>677</v>
      </c>
      <c r="G78" s="164" t="s">
        <v>782</v>
      </c>
      <c r="H78" s="164" t="s">
        <v>783</v>
      </c>
      <c r="I78" s="253" t="s">
        <v>784</v>
      </c>
      <c r="J78" s="283"/>
      <c r="K78" s="495" t="s">
        <v>825</v>
      </c>
      <c r="L78" s="387" t="s">
        <v>814</v>
      </c>
      <c r="M78" s="483" t="s">
        <v>676</v>
      </c>
      <c r="N78" s="483" t="s">
        <v>677</v>
      </c>
      <c r="O78" s="388" t="s">
        <v>782</v>
      </c>
      <c r="P78" s="388" t="s">
        <v>783</v>
      </c>
      <c r="Q78" s="483" t="s">
        <v>784</v>
      </c>
      <c r="V78" s="133"/>
    </row>
    <row r="79" spans="1:40" x14ac:dyDescent="0.35">
      <c r="A79" s="283"/>
      <c r="B79" s="325" t="str">
        <f>B63</f>
        <v>Pembrolizumab + chemo - neoadjuvant</v>
      </c>
      <c r="C79" s="149">
        <f>'Inputs and eligible population'!F107</f>
        <v>30</v>
      </c>
      <c r="D79" s="128">
        <f t="shared" ref="D79:I79" si="63">(D63*$C$79)/60</f>
        <v>0</v>
      </c>
      <c r="E79" s="128">
        <f t="shared" si="63"/>
        <v>817.9721054043298</v>
      </c>
      <c r="F79" s="128">
        <f t="shared" si="63"/>
        <v>1238.788252433254</v>
      </c>
      <c r="G79" s="128">
        <f t="shared" si="63"/>
        <v>1459.1878119604248</v>
      </c>
      <c r="H79" s="128">
        <f t="shared" si="63"/>
        <v>1894.1875970105041</v>
      </c>
      <c r="I79" s="128">
        <f t="shared" si="63"/>
        <v>2124.9455434682677</v>
      </c>
      <c r="J79" s="283"/>
      <c r="K79" s="513">
        <f>'Inputs and eligible population'!M107</f>
        <v>42.15</v>
      </c>
      <c r="L79" s="286">
        <f>(D79*$K79)/1000</f>
        <v>0</v>
      </c>
      <c r="M79" s="286">
        <f t="shared" ref="M79:Q80" si="64">(E79*$K79)/1000</f>
        <v>34.477524242792498</v>
      </c>
      <c r="N79" s="286">
        <f t="shared" si="64"/>
        <v>52.214924840061656</v>
      </c>
      <c r="O79" s="286">
        <f t="shared" si="64"/>
        <v>61.50476627413191</v>
      </c>
      <c r="P79" s="286">
        <f t="shared" si="64"/>
        <v>79.840007213992749</v>
      </c>
      <c r="Q79" s="286">
        <f t="shared" si="64"/>
        <v>89.566454657187478</v>
      </c>
      <c r="S79" s="133"/>
      <c r="T79" s="133"/>
      <c r="U79" s="133"/>
      <c r="V79" s="133"/>
      <c r="W79" s="133"/>
      <c r="X79" s="133"/>
      <c r="Y79" s="133"/>
      <c r="Z79" s="133"/>
      <c r="AJ79" s="282"/>
      <c r="AK79" s="282"/>
      <c r="AL79" s="282"/>
      <c r="AM79" s="282"/>
      <c r="AN79" s="282"/>
    </row>
    <row r="80" spans="1:40" x14ac:dyDescent="0.35">
      <c r="A80" s="283"/>
      <c r="B80" s="325" t="str">
        <f>B64</f>
        <v>Nivolumab neoadjuvant</v>
      </c>
      <c r="C80" s="149">
        <f>'Inputs and eligible population'!H107</f>
        <v>30</v>
      </c>
      <c r="D80" s="128">
        <f t="shared" ref="D80:I80" si="65">(D64*$C$80)/60</f>
        <v>3150.6249133226343</v>
      </c>
      <c r="E80" s="128">
        <f t="shared" si="65"/>
        <v>2544.8021057023589</v>
      </c>
      <c r="F80" s="128">
        <f t="shared" si="65"/>
        <v>2248.1712729344235</v>
      </c>
      <c r="G80" s="128">
        <f t="shared" si="65"/>
        <v>2107.7157283872803</v>
      </c>
      <c r="H80" s="128">
        <f t="shared" si="65"/>
        <v>1800.6474687630716</v>
      </c>
      <c r="I80" s="128">
        <f t="shared" si="65"/>
        <v>1652.7354226975415</v>
      </c>
      <c r="J80" s="283"/>
      <c r="K80" s="513">
        <f>'Inputs and eligible population'!M107</f>
        <v>42.15</v>
      </c>
      <c r="L80" s="286">
        <f t="shared" ref="L80" si="66">(D80*$K80)/1000</f>
        <v>132.79884009654904</v>
      </c>
      <c r="M80" s="286">
        <f t="shared" si="64"/>
        <v>107.26340875535442</v>
      </c>
      <c r="N80" s="286">
        <f t="shared" si="64"/>
        <v>94.760419154185954</v>
      </c>
      <c r="O80" s="286">
        <f t="shared" si="64"/>
        <v>88.840217951523854</v>
      </c>
      <c r="P80" s="286">
        <f t="shared" si="64"/>
        <v>75.897290808363465</v>
      </c>
      <c r="Q80" s="286">
        <f t="shared" si="64"/>
        <v>69.66279806670137</v>
      </c>
      <c r="S80" s="133"/>
      <c r="T80" s="133"/>
      <c r="U80" s="133"/>
      <c r="V80" s="133"/>
      <c r="W80" s="133"/>
      <c r="X80" s="133"/>
      <c r="Y80" s="133"/>
      <c r="Z80" s="133"/>
      <c r="AJ80" s="282"/>
      <c r="AK80" s="282"/>
      <c r="AL80" s="282"/>
      <c r="AM80" s="282"/>
      <c r="AN80" s="282"/>
    </row>
    <row r="81" spans="1:40" x14ac:dyDescent="0.35">
      <c r="A81" s="283"/>
      <c r="B81" s="279" t="s">
        <v>830</v>
      </c>
      <c r="C81" s="305"/>
      <c r="D81" s="185">
        <f t="shared" ref="D81:I81" si="67">SUM(D79:D80)</f>
        <v>3150.6249133226343</v>
      </c>
      <c r="E81" s="185">
        <f t="shared" si="67"/>
        <v>3362.7742111066887</v>
      </c>
      <c r="F81" s="185">
        <f t="shared" si="67"/>
        <v>3486.9595253676775</v>
      </c>
      <c r="G81" s="185">
        <f t="shared" si="67"/>
        <v>3566.9035403477051</v>
      </c>
      <c r="H81" s="185">
        <f t="shared" si="67"/>
        <v>3694.8350657735755</v>
      </c>
      <c r="I81" s="185">
        <f t="shared" si="67"/>
        <v>3777.680966165809</v>
      </c>
      <c r="J81" s="283"/>
      <c r="K81" s="283"/>
      <c r="L81" s="287">
        <f t="shared" ref="L81:Q81" si="68">SUM(L79:L80)</f>
        <v>132.79884009654904</v>
      </c>
      <c r="M81" s="287">
        <f t="shared" si="68"/>
        <v>141.74093299814692</v>
      </c>
      <c r="N81" s="287">
        <f t="shared" si="68"/>
        <v>146.97534399424762</v>
      </c>
      <c r="O81" s="287">
        <f t="shared" si="68"/>
        <v>150.34498422565576</v>
      </c>
      <c r="P81" s="287">
        <f t="shared" si="68"/>
        <v>155.73729802235621</v>
      </c>
      <c r="Q81" s="287">
        <f t="shared" si="68"/>
        <v>159.22925272388886</v>
      </c>
      <c r="S81" s="133"/>
      <c r="T81" s="133"/>
      <c r="U81" s="133"/>
      <c r="V81" s="133"/>
      <c r="W81" s="133"/>
      <c r="X81" s="133"/>
      <c r="Y81" s="133"/>
      <c r="Z81" s="133"/>
      <c r="AJ81" s="282"/>
      <c r="AK81" s="282"/>
      <c r="AL81" s="282"/>
      <c r="AM81" s="282"/>
      <c r="AN81" s="282"/>
    </row>
    <row r="82" spans="1:40" x14ac:dyDescent="0.35">
      <c r="A82" s="283"/>
      <c r="B82" s="300"/>
      <c r="C82" s="254"/>
      <c r="D82" s="281" t="s">
        <v>831</v>
      </c>
      <c r="E82" s="185">
        <f>E81-$D$81</f>
        <v>212.1492977840544</v>
      </c>
      <c r="F82" s="185">
        <f>F81-$D$81</f>
        <v>336.33461204504329</v>
      </c>
      <c r="G82" s="185">
        <f>G81-$D$81</f>
        <v>416.27862702507082</v>
      </c>
      <c r="H82" s="185">
        <f>H81-$D$81</f>
        <v>544.21015245094122</v>
      </c>
      <c r="I82" s="185">
        <f>I81-$D$81</f>
        <v>627.05605284317471</v>
      </c>
      <c r="J82" s="283"/>
      <c r="K82" s="283"/>
      <c r="L82" s="484"/>
      <c r="M82" s="287">
        <f>M81-$L$81</f>
        <v>8.9420929015978743</v>
      </c>
      <c r="N82" s="287">
        <f t="shared" ref="N82:Q82" si="69">N81-$L$81</f>
        <v>14.176503897698581</v>
      </c>
      <c r="O82" s="287">
        <f t="shared" si="69"/>
        <v>17.546144129106722</v>
      </c>
      <c r="P82" s="287">
        <f t="shared" si="69"/>
        <v>22.938457925807171</v>
      </c>
      <c r="Q82" s="287">
        <f t="shared" si="69"/>
        <v>26.43041262733982</v>
      </c>
      <c r="S82" s="133"/>
      <c r="T82" s="133"/>
      <c r="U82" s="133"/>
      <c r="V82" s="133"/>
      <c r="W82" s="133"/>
      <c r="X82" s="133"/>
      <c r="Y82" s="133"/>
      <c r="Z82" s="133"/>
      <c r="AJ82" s="282"/>
      <c r="AK82" s="282"/>
      <c r="AL82" s="282"/>
      <c r="AM82" s="282"/>
      <c r="AN82" s="282"/>
    </row>
    <row r="83" spans="1:40" x14ac:dyDescent="0.35">
      <c r="A83" s="283"/>
      <c r="B83" s="307"/>
      <c r="C83" s="217"/>
      <c r="D83" s="217"/>
      <c r="E83" s="217"/>
      <c r="F83" s="217"/>
      <c r="G83" s="217"/>
      <c r="H83" s="217"/>
      <c r="I83" s="217"/>
      <c r="J83" s="217"/>
      <c r="K83" s="217"/>
      <c r="L83" s="217"/>
      <c r="M83" s="217"/>
      <c r="N83" s="217"/>
      <c r="O83" s="217"/>
      <c r="P83" s="217"/>
      <c r="Q83" s="217"/>
      <c r="S83" s="133"/>
      <c r="T83" s="133"/>
      <c r="U83" s="133"/>
      <c r="V83" s="133"/>
      <c r="W83" s="133"/>
      <c r="X83" s="133"/>
      <c r="Y83" s="133"/>
      <c r="Z83" s="133"/>
      <c r="AJ83" s="282"/>
      <c r="AK83" s="282"/>
      <c r="AL83" s="282"/>
      <c r="AM83" s="282"/>
      <c r="AN83" s="282"/>
    </row>
    <row r="84" spans="1:40" x14ac:dyDescent="0.35">
      <c r="A84" s="283"/>
      <c r="B84" s="365" t="s">
        <v>982</v>
      </c>
      <c r="C84" s="364"/>
      <c r="D84" s="364"/>
      <c r="E84" s="364"/>
      <c r="F84" s="364"/>
      <c r="G84" s="364"/>
      <c r="H84" s="364"/>
      <c r="I84" s="216"/>
      <c r="J84" s="392"/>
      <c r="K84" s="217"/>
      <c r="L84" s="391"/>
      <c r="M84" s="391"/>
      <c r="N84" s="391"/>
      <c r="O84" s="391"/>
      <c r="P84" s="391"/>
      <c r="Q84" s="391"/>
      <c r="S84" s="133"/>
      <c r="T84" s="133"/>
      <c r="U84" s="133"/>
      <c r="V84" s="133"/>
      <c r="W84" s="133"/>
      <c r="X84" s="133"/>
      <c r="Y84" s="133"/>
      <c r="Z84" s="133"/>
      <c r="AJ84" s="282"/>
      <c r="AK84" s="282"/>
      <c r="AL84" s="282"/>
      <c r="AM84" s="282"/>
      <c r="AN84" s="282"/>
    </row>
    <row r="85" spans="1:40" ht="72.5" x14ac:dyDescent="0.35">
      <c r="A85" s="283"/>
      <c r="B85" s="278" t="s">
        <v>771</v>
      </c>
      <c r="C85" s="165" t="s">
        <v>726</v>
      </c>
      <c r="D85" s="387" t="s">
        <v>814</v>
      </c>
      <c r="E85" s="253" t="s">
        <v>676</v>
      </c>
      <c r="F85" s="253" t="s">
        <v>677</v>
      </c>
      <c r="G85" s="164" t="s">
        <v>782</v>
      </c>
      <c r="H85" s="164" t="s">
        <v>783</v>
      </c>
      <c r="I85" s="253" t="s">
        <v>784</v>
      </c>
      <c r="J85" s="283"/>
      <c r="K85" s="495" t="s">
        <v>825</v>
      </c>
      <c r="L85" s="387" t="s">
        <v>814</v>
      </c>
      <c r="M85" s="253" t="s">
        <v>676</v>
      </c>
      <c r="N85" s="253" t="s">
        <v>677</v>
      </c>
      <c r="O85" s="164" t="s">
        <v>782</v>
      </c>
      <c r="P85" s="164" t="s">
        <v>783</v>
      </c>
      <c r="Q85" s="253" t="s">
        <v>784</v>
      </c>
      <c r="S85" s="133"/>
      <c r="T85" s="133"/>
      <c r="U85" s="133"/>
      <c r="V85" s="133"/>
      <c r="W85" s="133"/>
      <c r="X85" s="133"/>
      <c r="Y85" s="133"/>
      <c r="Z85" s="133"/>
      <c r="AJ85" s="282"/>
      <c r="AK85" s="282"/>
      <c r="AL85" s="282"/>
      <c r="AM85" s="282"/>
      <c r="AN85" s="282"/>
    </row>
    <row r="86" spans="1:40" x14ac:dyDescent="0.35">
      <c r="A86" s="283"/>
      <c r="B86" s="325" t="str">
        <f>B79</f>
        <v>Pembrolizumab + chemo - neoadjuvant</v>
      </c>
      <c r="C86" s="149">
        <f>'Inputs and eligible population'!F108</f>
        <v>30</v>
      </c>
      <c r="D86" s="128">
        <f t="shared" ref="D86:I86" si="70">(D63*$C$86)/60</f>
        <v>0</v>
      </c>
      <c r="E86" s="128">
        <f t="shared" si="70"/>
        <v>817.9721054043298</v>
      </c>
      <c r="F86" s="128">
        <f t="shared" si="70"/>
        <v>1238.788252433254</v>
      </c>
      <c r="G86" s="128">
        <f t="shared" si="70"/>
        <v>1459.1878119604248</v>
      </c>
      <c r="H86" s="128">
        <f t="shared" si="70"/>
        <v>1894.1875970105041</v>
      </c>
      <c r="I86" s="128">
        <f t="shared" si="70"/>
        <v>2124.9455434682677</v>
      </c>
      <c r="J86" s="283"/>
      <c r="K86" s="513">
        <f>'Inputs and eligible population'!M108</f>
        <v>42.15</v>
      </c>
      <c r="L86" s="286">
        <f>(D86*$K86)/1000</f>
        <v>0</v>
      </c>
      <c r="M86" s="286">
        <f t="shared" ref="M86:Q87" si="71">(E86*$K86)/1000</f>
        <v>34.477524242792498</v>
      </c>
      <c r="N86" s="286">
        <f t="shared" si="71"/>
        <v>52.214924840061656</v>
      </c>
      <c r="O86" s="286">
        <f t="shared" si="71"/>
        <v>61.50476627413191</v>
      </c>
      <c r="P86" s="286">
        <f t="shared" si="71"/>
        <v>79.840007213992749</v>
      </c>
      <c r="Q86" s="286">
        <f t="shared" si="71"/>
        <v>89.566454657187478</v>
      </c>
      <c r="S86" s="133"/>
      <c r="T86" s="133"/>
      <c r="U86" s="133"/>
      <c r="V86" s="133"/>
      <c r="W86" s="133"/>
      <c r="X86" s="133"/>
      <c r="Y86" s="133"/>
      <c r="Z86" s="133"/>
      <c r="AJ86" s="282"/>
      <c r="AK86" s="282"/>
      <c r="AL86" s="282"/>
      <c r="AM86" s="282"/>
      <c r="AN86" s="282"/>
    </row>
    <row r="87" spans="1:40" x14ac:dyDescent="0.35">
      <c r="A87" s="283"/>
      <c r="B87" s="325" t="str">
        <f>B80</f>
        <v>Nivolumab neoadjuvant</v>
      </c>
      <c r="C87" s="149">
        <f>'Inputs and eligible population'!H108</f>
        <v>30</v>
      </c>
      <c r="D87" s="128">
        <f t="shared" ref="D87:I87" si="72">(D64*$C$87)/60</f>
        <v>3150.6249133226343</v>
      </c>
      <c r="E87" s="128">
        <f t="shared" si="72"/>
        <v>2544.8021057023589</v>
      </c>
      <c r="F87" s="128">
        <f t="shared" si="72"/>
        <v>2248.1712729344235</v>
      </c>
      <c r="G87" s="128">
        <f t="shared" si="72"/>
        <v>2107.7157283872803</v>
      </c>
      <c r="H87" s="128">
        <f t="shared" si="72"/>
        <v>1800.6474687630716</v>
      </c>
      <c r="I87" s="128">
        <f t="shared" si="72"/>
        <v>1652.7354226975415</v>
      </c>
      <c r="J87" s="283"/>
      <c r="K87" s="513">
        <f>'Inputs and eligible population'!M108</f>
        <v>42.15</v>
      </c>
      <c r="L87" s="286">
        <f t="shared" ref="L87" si="73">(D87*$K87)/1000</f>
        <v>132.79884009654904</v>
      </c>
      <c r="M87" s="286">
        <f t="shared" si="71"/>
        <v>107.26340875535442</v>
      </c>
      <c r="N87" s="286">
        <f t="shared" si="71"/>
        <v>94.760419154185954</v>
      </c>
      <c r="O87" s="286">
        <f t="shared" si="71"/>
        <v>88.840217951523854</v>
      </c>
      <c r="P87" s="286">
        <f t="shared" si="71"/>
        <v>75.897290808363465</v>
      </c>
      <c r="Q87" s="286">
        <f t="shared" si="71"/>
        <v>69.66279806670137</v>
      </c>
      <c r="S87" s="133"/>
      <c r="T87" s="133"/>
      <c r="U87" s="133"/>
      <c r="V87" s="133"/>
      <c r="W87" s="133"/>
      <c r="X87" s="133"/>
      <c r="Y87" s="133"/>
      <c r="Z87" s="133"/>
      <c r="AJ87" s="282"/>
      <c r="AK87" s="282"/>
      <c r="AL87" s="282"/>
      <c r="AM87" s="282"/>
      <c r="AN87" s="282"/>
    </row>
    <row r="88" spans="1:40" x14ac:dyDescent="0.35">
      <c r="A88" s="283"/>
      <c r="B88" s="279"/>
      <c r="C88" s="279"/>
      <c r="D88" s="185">
        <f t="shared" ref="D88:I88" si="74">SUM(D86:D87)</f>
        <v>3150.6249133226343</v>
      </c>
      <c r="E88" s="185">
        <f t="shared" si="74"/>
        <v>3362.7742111066887</v>
      </c>
      <c r="F88" s="185">
        <f t="shared" si="74"/>
        <v>3486.9595253676775</v>
      </c>
      <c r="G88" s="185">
        <f t="shared" si="74"/>
        <v>3566.9035403477051</v>
      </c>
      <c r="H88" s="185">
        <f t="shared" si="74"/>
        <v>3694.8350657735755</v>
      </c>
      <c r="I88" s="185">
        <f t="shared" si="74"/>
        <v>3777.680966165809</v>
      </c>
      <c r="J88" s="283"/>
      <c r="K88" s="283"/>
      <c r="L88" s="287">
        <f t="shared" ref="L88:Q88" si="75">SUM(L86:L87)</f>
        <v>132.79884009654904</v>
      </c>
      <c r="M88" s="287">
        <f t="shared" si="75"/>
        <v>141.74093299814692</v>
      </c>
      <c r="N88" s="287">
        <f t="shared" si="75"/>
        <v>146.97534399424762</v>
      </c>
      <c r="O88" s="287">
        <f t="shared" si="75"/>
        <v>150.34498422565576</v>
      </c>
      <c r="P88" s="287">
        <f t="shared" si="75"/>
        <v>155.73729802235621</v>
      </c>
      <c r="Q88" s="287">
        <f t="shared" si="75"/>
        <v>159.22925272388886</v>
      </c>
      <c r="S88" s="133"/>
      <c r="T88" s="133"/>
      <c r="U88" s="133"/>
      <c r="V88" s="133"/>
      <c r="W88" s="133"/>
      <c r="X88" s="133"/>
      <c r="Y88" s="133"/>
      <c r="Z88" s="133"/>
      <c r="AJ88" s="282"/>
      <c r="AK88" s="282"/>
      <c r="AL88" s="282"/>
      <c r="AM88" s="282"/>
      <c r="AN88" s="282"/>
    </row>
    <row r="89" spans="1:40" x14ac:dyDescent="0.35">
      <c r="A89" s="283"/>
      <c r="B89" s="279"/>
      <c r="C89" s="279"/>
      <c r="D89" s="281" t="s">
        <v>832</v>
      </c>
      <c r="E89" s="185">
        <f>E88-$D$88</f>
        <v>212.1492977840544</v>
      </c>
      <c r="F89" s="185">
        <f>F88-$D$88</f>
        <v>336.33461204504329</v>
      </c>
      <c r="G89" s="185">
        <f>G88-$D$88</f>
        <v>416.27862702507082</v>
      </c>
      <c r="H89" s="185">
        <f>H88-$D$88</f>
        <v>544.21015245094122</v>
      </c>
      <c r="I89" s="185">
        <f>I88-$D$88</f>
        <v>627.05605284317471</v>
      </c>
      <c r="J89" s="283"/>
      <c r="K89" s="283"/>
      <c r="L89" s="484"/>
      <c r="M89" s="287">
        <f>M88-$L$88</f>
        <v>8.9420929015978743</v>
      </c>
      <c r="N89" s="287">
        <f t="shared" ref="N89:Q89" si="76">N88-$L$88</f>
        <v>14.176503897698581</v>
      </c>
      <c r="O89" s="287">
        <f t="shared" si="76"/>
        <v>17.546144129106722</v>
      </c>
      <c r="P89" s="287">
        <f t="shared" si="76"/>
        <v>22.938457925807171</v>
      </c>
      <c r="Q89" s="287">
        <f t="shared" si="76"/>
        <v>26.43041262733982</v>
      </c>
      <c r="S89" s="133"/>
      <c r="T89" s="133"/>
      <c r="U89" s="133"/>
      <c r="V89" s="133"/>
      <c r="W89" s="133"/>
      <c r="X89" s="133"/>
      <c r="Y89" s="133"/>
      <c r="Z89" s="133"/>
      <c r="AJ89" s="282"/>
      <c r="AK89" s="282"/>
      <c r="AL89" s="282"/>
      <c r="AM89" s="282"/>
      <c r="AN89" s="282"/>
    </row>
    <row r="90" spans="1:40" x14ac:dyDescent="0.35">
      <c r="A90" s="283"/>
      <c r="B90" s="307"/>
      <c r="C90" s="217"/>
      <c r="D90" s="217"/>
      <c r="E90" s="217"/>
      <c r="F90" s="217"/>
      <c r="G90" s="217"/>
      <c r="H90" s="217"/>
      <c r="I90" s="217"/>
      <c r="J90" s="217"/>
      <c r="K90" s="217"/>
      <c r="L90" s="217"/>
      <c r="M90" s="217"/>
      <c r="N90" s="217"/>
      <c r="O90" s="217"/>
      <c r="P90" s="217"/>
      <c r="Q90" s="217"/>
      <c r="S90" s="133"/>
      <c r="T90" s="133"/>
      <c r="U90" s="133"/>
      <c r="V90" s="133"/>
      <c r="W90" s="133"/>
      <c r="X90" s="133"/>
      <c r="Y90" s="133"/>
      <c r="Z90" s="133"/>
      <c r="AJ90" s="282"/>
      <c r="AK90" s="282"/>
      <c r="AL90" s="282"/>
      <c r="AM90" s="282"/>
      <c r="AN90" s="282"/>
    </row>
    <row r="91" spans="1:40" x14ac:dyDescent="0.35">
      <c r="A91" s="283"/>
      <c r="B91" s="365" t="s">
        <v>983</v>
      </c>
      <c r="C91" s="364"/>
      <c r="D91" s="364"/>
      <c r="E91" s="364"/>
      <c r="F91" s="364"/>
      <c r="G91" s="364"/>
      <c r="H91" s="364"/>
      <c r="I91" s="216"/>
      <c r="J91" s="392"/>
      <c r="K91" s="217"/>
      <c r="L91" s="391"/>
      <c r="M91" s="391"/>
      <c r="N91" s="391"/>
      <c r="O91" s="391"/>
      <c r="P91" s="391"/>
      <c r="Q91" s="391"/>
      <c r="V91" s="133"/>
      <c r="AJ91" s="282"/>
      <c r="AK91" s="282"/>
      <c r="AL91" s="282"/>
      <c r="AM91" s="282"/>
      <c r="AN91" s="282"/>
    </row>
    <row r="92" spans="1:40" ht="58" x14ac:dyDescent="0.35">
      <c r="A92" s="283"/>
      <c r="B92" s="278" t="s">
        <v>771</v>
      </c>
      <c r="C92" s="165" t="s">
        <v>727</v>
      </c>
      <c r="D92" s="387" t="s">
        <v>814</v>
      </c>
      <c r="E92" s="253" t="s">
        <v>676</v>
      </c>
      <c r="F92" s="253" t="s">
        <v>677</v>
      </c>
      <c r="G92" s="164" t="s">
        <v>782</v>
      </c>
      <c r="H92" s="164" t="s">
        <v>783</v>
      </c>
      <c r="I92" s="253" t="s">
        <v>784</v>
      </c>
      <c r="J92" s="283"/>
      <c r="K92" s="495" t="s">
        <v>825</v>
      </c>
      <c r="L92" s="387" t="s">
        <v>814</v>
      </c>
      <c r="M92" s="253" t="s">
        <v>676</v>
      </c>
      <c r="N92" s="253" t="s">
        <v>677</v>
      </c>
      <c r="O92" s="164" t="s">
        <v>782</v>
      </c>
      <c r="P92" s="164" t="s">
        <v>783</v>
      </c>
      <c r="Q92" s="253" t="s">
        <v>784</v>
      </c>
      <c r="V92" s="133"/>
      <c r="AJ92" s="282"/>
      <c r="AK92" s="282"/>
      <c r="AL92" s="282"/>
      <c r="AM92" s="282"/>
      <c r="AN92" s="282"/>
    </row>
    <row r="93" spans="1:40" x14ac:dyDescent="0.35">
      <c r="A93" s="283"/>
      <c r="B93" s="325" t="str">
        <f>B86</f>
        <v>Pembrolizumab + chemo - neoadjuvant</v>
      </c>
      <c r="C93" s="149">
        <f>'Inputs and eligible population'!F109</f>
        <v>30</v>
      </c>
      <c r="D93" s="128">
        <f t="shared" ref="D93:I93" si="77">(D63*$C$93)/60</f>
        <v>0</v>
      </c>
      <c r="E93" s="128">
        <f t="shared" si="77"/>
        <v>817.9721054043298</v>
      </c>
      <c r="F93" s="128">
        <f t="shared" si="77"/>
        <v>1238.788252433254</v>
      </c>
      <c r="G93" s="128">
        <f t="shared" si="77"/>
        <v>1459.1878119604248</v>
      </c>
      <c r="H93" s="128">
        <f t="shared" si="77"/>
        <v>1894.1875970105041</v>
      </c>
      <c r="I93" s="128">
        <f t="shared" si="77"/>
        <v>2124.9455434682677</v>
      </c>
      <c r="J93" s="283"/>
      <c r="K93" s="513">
        <f>'Inputs and eligible population'!M109</f>
        <v>42.15</v>
      </c>
      <c r="L93" s="286">
        <f>(D93*$K93)/1000</f>
        <v>0</v>
      </c>
      <c r="M93" s="286">
        <f t="shared" ref="M93:Q94" si="78">(E93*$K93)/1000</f>
        <v>34.477524242792498</v>
      </c>
      <c r="N93" s="286">
        <f t="shared" si="78"/>
        <v>52.214924840061656</v>
      </c>
      <c r="O93" s="286">
        <f t="shared" si="78"/>
        <v>61.50476627413191</v>
      </c>
      <c r="P93" s="286">
        <f t="shared" si="78"/>
        <v>79.840007213992749</v>
      </c>
      <c r="Q93" s="286">
        <f t="shared" si="78"/>
        <v>89.566454657187478</v>
      </c>
      <c r="V93" s="133"/>
      <c r="AJ93" s="282"/>
      <c r="AK93" s="282"/>
      <c r="AL93" s="282"/>
      <c r="AM93" s="282"/>
      <c r="AN93" s="282"/>
    </row>
    <row r="94" spans="1:40" x14ac:dyDescent="0.35">
      <c r="A94" s="283"/>
      <c r="B94" s="325" t="str">
        <f>B87</f>
        <v>Nivolumab neoadjuvant</v>
      </c>
      <c r="C94" s="149">
        <f>'Inputs and eligible population'!H109</f>
        <v>30</v>
      </c>
      <c r="D94" s="128">
        <f t="shared" ref="D94:I94" si="79">(D64*$C$94)/60</f>
        <v>3150.6249133226343</v>
      </c>
      <c r="E94" s="128">
        <f t="shared" si="79"/>
        <v>2544.8021057023589</v>
      </c>
      <c r="F94" s="128">
        <f t="shared" si="79"/>
        <v>2248.1712729344235</v>
      </c>
      <c r="G94" s="128">
        <f t="shared" si="79"/>
        <v>2107.7157283872803</v>
      </c>
      <c r="H94" s="128">
        <f t="shared" si="79"/>
        <v>1800.6474687630716</v>
      </c>
      <c r="I94" s="128">
        <f t="shared" si="79"/>
        <v>1652.7354226975415</v>
      </c>
      <c r="J94" s="283"/>
      <c r="K94" s="513">
        <f>'Inputs and eligible population'!M109</f>
        <v>42.15</v>
      </c>
      <c r="L94" s="286">
        <f t="shared" ref="L94" si="80">(D94*$K94)/1000</f>
        <v>132.79884009654904</v>
      </c>
      <c r="M94" s="286">
        <f t="shared" si="78"/>
        <v>107.26340875535442</v>
      </c>
      <c r="N94" s="286">
        <f t="shared" si="78"/>
        <v>94.760419154185954</v>
      </c>
      <c r="O94" s="286">
        <f t="shared" si="78"/>
        <v>88.840217951523854</v>
      </c>
      <c r="P94" s="286">
        <f t="shared" si="78"/>
        <v>75.897290808363465</v>
      </c>
      <c r="Q94" s="286">
        <f t="shared" si="78"/>
        <v>69.66279806670137</v>
      </c>
      <c r="V94" s="133"/>
      <c r="AJ94" s="282"/>
      <c r="AK94" s="282"/>
      <c r="AL94" s="282"/>
      <c r="AM94" s="282"/>
      <c r="AN94" s="282"/>
    </row>
    <row r="95" spans="1:40" x14ac:dyDescent="0.35">
      <c r="A95" s="283"/>
      <c r="B95" s="279"/>
      <c r="C95" s="279"/>
      <c r="D95" s="185">
        <f t="shared" ref="D95:I95" si="81">SUM(D93:D94)</f>
        <v>3150.6249133226343</v>
      </c>
      <c r="E95" s="185">
        <f t="shared" si="81"/>
        <v>3362.7742111066887</v>
      </c>
      <c r="F95" s="185">
        <f t="shared" si="81"/>
        <v>3486.9595253676775</v>
      </c>
      <c r="G95" s="185">
        <f t="shared" si="81"/>
        <v>3566.9035403477051</v>
      </c>
      <c r="H95" s="185">
        <f t="shared" si="81"/>
        <v>3694.8350657735755</v>
      </c>
      <c r="I95" s="185">
        <f t="shared" si="81"/>
        <v>3777.680966165809</v>
      </c>
      <c r="J95" s="283"/>
      <c r="K95" s="283"/>
      <c r="L95" s="287">
        <f t="shared" ref="L95:Q95" si="82">SUM(L93:L94)</f>
        <v>132.79884009654904</v>
      </c>
      <c r="M95" s="287">
        <f t="shared" si="82"/>
        <v>141.74093299814692</v>
      </c>
      <c r="N95" s="287">
        <f t="shared" si="82"/>
        <v>146.97534399424762</v>
      </c>
      <c r="O95" s="287">
        <f t="shared" si="82"/>
        <v>150.34498422565576</v>
      </c>
      <c r="P95" s="287">
        <f t="shared" si="82"/>
        <v>155.73729802235621</v>
      </c>
      <c r="Q95" s="287">
        <f t="shared" si="82"/>
        <v>159.22925272388886</v>
      </c>
      <c r="R95" s="133"/>
      <c r="S95" s="133"/>
      <c r="T95" s="133"/>
      <c r="U95" s="133"/>
      <c r="V95" s="133"/>
      <c r="W95" s="133"/>
      <c r="X95" s="133"/>
      <c r="Y95" s="133"/>
      <c r="Z95" s="133"/>
      <c r="AJ95" s="282"/>
      <c r="AK95" s="282"/>
      <c r="AL95" s="282"/>
      <c r="AM95" s="282"/>
      <c r="AN95" s="282"/>
    </row>
    <row r="96" spans="1:40" x14ac:dyDescent="0.35">
      <c r="A96" s="283"/>
      <c r="B96" s="300"/>
      <c r="C96" s="279"/>
      <c r="D96" s="281" t="s">
        <v>833</v>
      </c>
      <c r="E96" s="185">
        <f>E95-$D$95</f>
        <v>212.1492977840544</v>
      </c>
      <c r="F96" s="185">
        <f>F95-$D$95</f>
        <v>336.33461204504329</v>
      </c>
      <c r="G96" s="185">
        <f>G95-$D$95</f>
        <v>416.27862702507082</v>
      </c>
      <c r="H96" s="185">
        <f>H95-$D$95</f>
        <v>544.21015245094122</v>
      </c>
      <c r="I96" s="185">
        <f>I95-$D$95</f>
        <v>627.05605284317471</v>
      </c>
      <c r="J96" s="283"/>
      <c r="K96" s="283"/>
      <c r="L96" s="484"/>
      <c r="M96" s="287">
        <f>M95-$L$95</f>
        <v>8.9420929015978743</v>
      </c>
      <c r="N96" s="287">
        <f t="shared" ref="N96:Q96" si="83">N95-$L$95</f>
        <v>14.176503897698581</v>
      </c>
      <c r="O96" s="287">
        <f t="shared" si="83"/>
        <v>17.546144129106722</v>
      </c>
      <c r="P96" s="287">
        <f t="shared" si="83"/>
        <v>22.938457925807171</v>
      </c>
      <c r="Q96" s="287">
        <f t="shared" si="83"/>
        <v>26.43041262733982</v>
      </c>
      <c r="R96" s="133"/>
      <c r="S96" s="133"/>
      <c r="T96" s="133"/>
      <c r="U96" s="133"/>
      <c r="V96" s="133"/>
      <c r="W96" s="133"/>
      <c r="X96" s="133"/>
      <c r="Y96" s="133"/>
      <c r="Z96" s="133"/>
      <c r="AJ96" s="282"/>
      <c r="AK96" s="282"/>
      <c r="AL96" s="282"/>
      <c r="AM96" s="282"/>
      <c r="AN96" s="282"/>
    </row>
    <row r="97" spans="1:40" x14ac:dyDescent="0.35">
      <c r="A97" s="283"/>
      <c r="B97" s="307"/>
      <c r="C97" s="217"/>
      <c r="D97" s="217"/>
      <c r="E97" s="217"/>
      <c r="F97" s="217"/>
      <c r="G97" s="217"/>
      <c r="H97" s="217"/>
      <c r="I97" s="217"/>
      <c r="J97" s="283"/>
      <c r="K97" s="283"/>
      <c r="L97" s="746"/>
      <c r="M97" s="217"/>
      <c r="N97" s="217"/>
      <c r="O97" s="217"/>
      <c r="P97" s="217"/>
      <c r="Q97" s="217"/>
      <c r="R97" s="133"/>
      <c r="S97" s="133"/>
      <c r="T97" s="133"/>
      <c r="U97" s="133"/>
      <c r="V97" s="133"/>
      <c r="W97" s="133"/>
      <c r="X97" s="133"/>
      <c r="Y97" s="133"/>
      <c r="Z97" s="133"/>
      <c r="AJ97" s="282"/>
      <c r="AK97" s="282"/>
      <c r="AL97" s="282"/>
      <c r="AM97" s="282"/>
      <c r="AN97" s="282"/>
    </row>
    <row r="98" spans="1:40" x14ac:dyDescent="0.35">
      <c r="A98" s="283"/>
      <c r="B98" s="307"/>
      <c r="C98" s="217"/>
      <c r="D98" s="217"/>
      <c r="E98" s="217"/>
      <c r="F98" s="217"/>
      <c r="G98" s="217"/>
      <c r="H98" s="217"/>
      <c r="I98" s="217"/>
      <c r="J98" s="283"/>
      <c r="K98" s="283"/>
      <c r="L98" s="746"/>
      <c r="M98" s="217"/>
      <c r="N98" s="217"/>
      <c r="O98" s="217"/>
      <c r="P98" s="217"/>
      <c r="Q98" s="217"/>
      <c r="R98" s="133"/>
      <c r="S98" s="133"/>
      <c r="T98" s="133"/>
      <c r="U98" s="133"/>
      <c r="V98" s="133"/>
      <c r="W98" s="133"/>
      <c r="X98" s="133"/>
      <c r="Y98" s="133"/>
      <c r="Z98" s="133"/>
      <c r="AJ98" s="282"/>
      <c r="AK98" s="282"/>
      <c r="AL98" s="282"/>
      <c r="AM98" s="282"/>
      <c r="AN98" s="282"/>
    </row>
    <row r="99" spans="1:40" x14ac:dyDescent="0.35">
      <c r="A99" s="283"/>
      <c r="B99" s="306" t="s">
        <v>828</v>
      </c>
      <c r="C99" s="296"/>
      <c r="D99" s="296"/>
      <c r="E99" s="297"/>
      <c r="F99" s="298"/>
      <c r="G99" s="299"/>
      <c r="H99" s="299"/>
      <c r="I99" s="299"/>
      <c r="J99" s="393"/>
      <c r="K99" s="283"/>
      <c r="L99" s="283"/>
      <c r="M99" s="283"/>
      <c r="N99" s="283"/>
      <c r="O99" s="283"/>
      <c r="P99" s="283"/>
      <c r="Q99" s="217"/>
      <c r="R99" s="133"/>
      <c r="S99" s="133"/>
      <c r="T99" s="133"/>
      <c r="U99" s="133"/>
      <c r="V99" s="133"/>
      <c r="W99" s="133"/>
      <c r="X99" s="133"/>
      <c r="Y99" s="133"/>
      <c r="Z99" s="133"/>
      <c r="AJ99" s="282"/>
      <c r="AK99" s="282"/>
      <c r="AL99" s="282"/>
      <c r="AM99" s="282"/>
      <c r="AN99" s="282"/>
    </row>
    <row r="100" spans="1:40" x14ac:dyDescent="0.35">
      <c r="A100" s="283"/>
      <c r="B100" s="363" t="s">
        <v>984</v>
      </c>
      <c r="C100" s="364"/>
      <c r="D100" s="364"/>
      <c r="E100" s="364"/>
      <c r="F100" s="364"/>
      <c r="G100" s="364"/>
      <c r="H100" s="364"/>
      <c r="I100" s="216"/>
      <c r="J100" s="392"/>
      <c r="K100" s="217"/>
      <c r="L100" s="391"/>
      <c r="M100" s="391"/>
      <c r="N100" s="391"/>
      <c r="O100" s="391"/>
      <c r="P100" s="391"/>
      <c r="Q100" s="391"/>
      <c r="R100" s="133"/>
      <c r="S100" s="133"/>
      <c r="T100" s="133"/>
      <c r="U100" s="133"/>
      <c r="V100" s="133"/>
      <c r="W100" s="133"/>
      <c r="X100" s="133"/>
      <c r="Y100" s="133"/>
      <c r="Z100" s="133"/>
      <c r="AJ100" s="282"/>
      <c r="AK100" s="282"/>
      <c r="AL100" s="282"/>
      <c r="AM100" s="282"/>
      <c r="AN100" s="282"/>
    </row>
    <row r="101" spans="1:40" ht="58" x14ac:dyDescent="0.35">
      <c r="A101" s="283"/>
      <c r="B101" s="278" t="s">
        <v>771</v>
      </c>
      <c r="C101" s="165" t="s">
        <v>829</v>
      </c>
      <c r="D101" s="387" t="s">
        <v>814</v>
      </c>
      <c r="E101" s="253" t="s">
        <v>676</v>
      </c>
      <c r="F101" s="253" t="s">
        <v>677</v>
      </c>
      <c r="G101" s="164" t="s">
        <v>782</v>
      </c>
      <c r="H101" s="164" t="s">
        <v>783</v>
      </c>
      <c r="I101" s="253" t="s">
        <v>784</v>
      </c>
      <c r="J101" s="283"/>
      <c r="K101" s="495" t="s">
        <v>825</v>
      </c>
      <c r="L101" s="387" t="s">
        <v>814</v>
      </c>
      <c r="M101" s="483" t="s">
        <v>676</v>
      </c>
      <c r="N101" s="483" t="s">
        <v>677</v>
      </c>
      <c r="O101" s="388" t="s">
        <v>782</v>
      </c>
      <c r="P101" s="388" t="s">
        <v>783</v>
      </c>
      <c r="Q101" s="483" t="s">
        <v>784</v>
      </c>
      <c r="R101" s="133"/>
      <c r="S101" s="133"/>
      <c r="T101" s="133"/>
      <c r="U101" s="133"/>
      <c r="V101" s="133"/>
      <c r="W101" s="133"/>
      <c r="X101" s="133"/>
      <c r="Y101" s="133"/>
      <c r="Z101" s="133"/>
      <c r="AJ101" s="282"/>
      <c r="AK101" s="282"/>
      <c r="AL101" s="282"/>
      <c r="AM101" s="282"/>
      <c r="AN101" s="282"/>
    </row>
    <row r="102" spans="1:40" x14ac:dyDescent="0.35">
      <c r="A102" s="283"/>
      <c r="B102" s="325" t="str">
        <f>B70</f>
        <v>Pembrolizumab adjuvant Yr 1</v>
      </c>
      <c r="C102" s="149">
        <f>'Inputs and eligible population'!G107</f>
        <v>30</v>
      </c>
      <c r="D102" s="128">
        <f t="shared" ref="D102:I102" si="84">(D70*$C$102)/60</f>
        <v>0</v>
      </c>
      <c r="E102" s="128">
        <f t="shared" si="84"/>
        <v>424.66385138908117</v>
      </c>
      <c r="F102" s="128">
        <f t="shared" si="84"/>
        <v>643.13756772159775</v>
      </c>
      <c r="G102" s="128">
        <f t="shared" si="84"/>
        <v>757.56167237612055</v>
      </c>
      <c r="H102" s="128">
        <f t="shared" si="84"/>
        <v>983.39906078128661</v>
      </c>
      <c r="I102" s="128">
        <f t="shared" si="84"/>
        <v>1103.2008946506089</v>
      </c>
      <c r="J102" s="283"/>
      <c r="K102" s="513">
        <f>'Inputs and eligible population'!M107</f>
        <v>42.15</v>
      </c>
      <c r="L102" s="286">
        <f>(D102*$K102)/1000</f>
        <v>0</v>
      </c>
      <c r="M102" s="286">
        <f t="shared" ref="M102" si="85">(E102*$K102)/1000</f>
        <v>17.899581336049771</v>
      </c>
      <c r="N102" s="286">
        <f t="shared" ref="N102" si="86">(F102*$K102)/1000</f>
        <v>27.108248479465342</v>
      </c>
      <c r="O102" s="286">
        <f t="shared" ref="O102" si="87">(G102*$K102)/1000</f>
        <v>31.931224490653481</v>
      </c>
      <c r="P102" s="286">
        <f t="shared" ref="P102" si="88">(H102*$K102)/1000</f>
        <v>41.450270411931228</v>
      </c>
      <c r="Q102" s="286">
        <f t="shared" ref="Q102" si="89">(I102*$K102)/1000</f>
        <v>46.499917709523167</v>
      </c>
      <c r="R102" s="133"/>
      <c r="S102" s="133"/>
      <c r="T102" s="133"/>
      <c r="U102" s="133"/>
      <c r="V102" s="133"/>
      <c r="W102" s="133"/>
      <c r="X102" s="133"/>
      <c r="Y102" s="133"/>
      <c r="Z102" s="133"/>
      <c r="AJ102" s="282"/>
      <c r="AK102" s="282"/>
      <c r="AL102" s="282"/>
      <c r="AM102" s="282"/>
      <c r="AN102" s="282"/>
    </row>
    <row r="103" spans="1:40" x14ac:dyDescent="0.35">
      <c r="A103" s="283"/>
      <c r="B103" s="325" t="str">
        <f>B71</f>
        <v>Pembrolizumab adjuvant Yr 2</v>
      </c>
      <c r="C103" s="149">
        <f>'Inputs and eligible population'!G107</f>
        <v>30</v>
      </c>
      <c r="D103" s="128">
        <f t="shared" ref="D103:I103" si="90">(D71*$C$103)/60</f>
        <v>0</v>
      </c>
      <c r="E103" s="128">
        <f t="shared" si="90"/>
        <v>171.77414213490925</v>
      </c>
      <c r="F103" s="128">
        <f t="shared" si="90"/>
        <v>260.14553301098334</v>
      </c>
      <c r="G103" s="128">
        <f t="shared" si="90"/>
        <v>306.42944051168922</v>
      </c>
      <c r="H103" s="128">
        <f t="shared" si="90"/>
        <v>397.77939537220584</v>
      </c>
      <c r="I103" s="128">
        <f t="shared" si="90"/>
        <v>446.23856412833629</v>
      </c>
      <c r="J103" s="283"/>
      <c r="K103" s="513">
        <f>'Inputs and eligible population'!M107</f>
        <v>42.15</v>
      </c>
      <c r="L103" s="286">
        <f>(D103*$K103)/1000</f>
        <v>0</v>
      </c>
      <c r="M103" s="286">
        <f t="shared" ref="M103" si="91">(E103*$K103)/1000</f>
        <v>7.2402800909864249</v>
      </c>
      <c r="N103" s="286">
        <f t="shared" ref="N103" si="92">(F103*$K103)/1000</f>
        <v>10.965134216412947</v>
      </c>
      <c r="O103" s="286">
        <f t="shared" ref="O103" si="93">(G103*$K103)/1000</f>
        <v>12.9160009175677</v>
      </c>
      <c r="P103" s="286">
        <f t="shared" ref="P103" si="94">(H103*$K103)/1000</f>
        <v>16.766401514938476</v>
      </c>
      <c r="Q103" s="286">
        <f t="shared" ref="Q103" si="95">(I103*$K103)/1000</f>
        <v>18.808955478009374</v>
      </c>
      <c r="R103" s="133"/>
      <c r="S103" s="133"/>
      <c r="T103" s="133"/>
      <c r="U103" s="133"/>
      <c r="V103" s="133"/>
      <c r="W103" s="133"/>
      <c r="X103" s="133"/>
      <c r="Y103" s="133"/>
      <c r="Z103" s="133"/>
      <c r="AJ103" s="282"/>
      <c r="AK103" s="282"/>
      <c r="AL103" s="282"/>
      <c r="AM103" s="282"/>
      <c r="AN103" s="282"/>
    </row>
    <row r="104" spans="1:40" x14ac:dyDescent="0.35">
      <c r="A104" s="283"/>
      <c r="B104" s="279" t="s">
        <v>830</v>
      </c>
      <c r="C104" s="305"/>
      <c r="D104" s="185">
        <f t="shared" ref="D104:I104" si="96">SUM(D102:D103)</f>
        <v>0</v>
      </c>
      <c r="E104" s="185">
        <f t="shared" si="96"/>
        <v>596.43799352399037</v>
      </c>
      <c r="F104" s="185">
        <f t="shared" si="96"/>
        <v>903.28310073258103</v>
      </c>
      <c r="G104" s="185">
        <f t="shared" si="96"/>
        <v>1063.9911128878098</v>
      </c>
      <c r="H104" s="185">
        <f t="shared" si="96"/>
        <v>1381.1784561534923</v>
      </c>
      <c r="I104" s="185">
        <f t="shared" si="96"/>
        <v>1549.4394587789452</v>
      </c>
      <c r="J104" s="283"/>
      <c r="K104" s="283"/>
      <c r="L104" s="287">
        <f t="shared" ref="L104:Q104" si="97">SUM(L102:L103)</f>
        <v>0</v>
      </c>
      <c r="M104" s="287">
        <f t="shared" si="97"/>
        <v>25.139861427036195</v>
      </c>
      <c r="N104" s="287">
        <f t="shared" si="97"/>
        <v>38.073382695878287</v>
      </c>
      <c r="O104" s="287">
        <f t="shared" si="97"/>
        <v>44.847225408221178</v>
      </c>
      <c r="P104" s="287">
        <f t="shared" si="97"/>
        <v>58.216671926869708</v>
      </c>
      <c r="Q104" s="287">
        <f t="shared" si="97"/>
        <v>65.308873187532541</v>
      </c>
      <c r="R104" s="133"/>
      <c r="S104" s="133"/>
      <c r="T104" s="133"/>
      <c r="U104" s="133"/>
      <c r="V104" s="133"/>
      <c r="W104" s="133"/>
      <c r="X104" s="133"/>
      <c r="Y104" s="133"/>
      <c r="Z104" s="133"/>
      <c r="AJ104" s="282"/>
      <c r="AK104" s="282"/>
      <c r="AL104" s="282"/>
      <c r="AM104" s="282"/>
      <c r="AN104" s="282"/>
    </row>
    <row r="105" spans="1:40" x14ac:dyDescent="0.35">
      <c r="A105" s="283"/>
      <c r="B105" s="300"/>
      <c r="C105" s="254"/>
      <c r="D105" s="281" t="s">
        <v>831</v>
      </c>
      <c r="E105" s="185">
        <f>E104-$D$104</f>
        <v>596.43799352399037</v>
      </c>
      <c r="F105" s="185">
        <f t="shared" ref="F105:I105" si="98">F104-$D$104</f>
        <v>903.28310073258103</v>
      </c>
      <c r="G105" s="185">
        <f t="shared" si="98"/>
        <v>1063.9911128878098</v>
      </c>
      <c r="H105" s="185">
        <f t="shared" si="98"/>
        <v>1381.1784561534923</v>
      </c>
      <c r="I105" s="185">
        <f t="shared" si="98"/>
        <v>1549.4394587789452</v>
      </c>
      <c r="J105" s="283"/>
      <c r="K105" s="283"/>
      <c r="L105" s="484"/>
      <c r="M105" s="287">
        <f>M104-$L$104</f>
        <v>25.139861427036195</v>
      </c>
      <c r="N105" s="287">
        <f t="shared" ref="N105:Q105" si="99">N104-$L$104</f>
        <v>38.073382695878287</v>
      </c>
      <c r="O105" s="287">
        <f t="shared" si="99"/>
        <v>44.847225408221178</v>
      </c>
      <c r="P105" s="287">
        <f t="shared" si="99"/>
        <v>58.216671926869708</v>
      </c>
      <c r="Q105" s="287">
        <f t="shared" si="99"/>
        <v>65.308873187532541</v>
      </c>
      <c r="R105" s="133"/>
      <c r="S105" s="133"/>
      <c r="T105" s="133"/>
      <c r="U105" s="133"/>
      <c r="V105" s="133"/>
      <c r="W105" s="133"/>
      <c r="X105" s="133"/>
      <c r="Y105" s="133"/>
      <c r="Z105" s="133"/>
      <c r="AJ105" s="282"/>
      <c r="AK105" s="282"/>
      <c r="AL105" s="282"/>
      <c r="AM105" s="282"/>
      <c r="AN105" s="282"/>
    </row>
    <row r="106" spans="1:40" x14ac:dyDescent="0.35">
      <c r="A106" s="283"/>
      <c r="B106" s="307"/>
      <c r="C106" s="217"/>
      <c r="D106" s="217"/>
      <c r="E106" s="217"/>
      <c r="F106" s="217"/>
      <c r="G106" s="217"/>
      <c r="H106" s="217"/>
      <c r="I106" s="217"/>
      <c r="J106" s="283"/>
      <c r="K106" s="283"/>
      <c r="L106" s="746"/>
      <c r="M106" s="217"/>
      <c r="N106" s="217"/>
      <c r="O106" s="217"/>
      <c r="P106" s="217"/>
      <c r="Q106" s="217"/>
      <c r="R106" s="133"/>
      <c r="S106" s="133"/>
      <c r="T106" s="133"/>
      <c r="U106" s="133"/>
      <c r="V106" s="133"/>
      <c r="W106" s="133"/>
      <c r="X106" s="133"/>
      <c r="Y106" s="133"/>
      <c r="Z106" s="133"/>
      <c r="AJ106" s="282"/>
      <c r="AK106" s="282"/>
      <c r="AL106" s="282"/>
      <c r="AM106" s="282"/>
      <c r="AN106" s="282"/>
    </row>
    <row r="107" spans="1:40" x14ac:dyDescent="0.35">
      <c r="A107" s="283"/>
      <c r="B107" s="307"/>
      <c r="C107" s="217"/>
      <c r="D107" s="217"/>
      <c r="E107" s="217"/>
      <c r="F107" s="217"/>
      <c r="G107" s="217"/>
      <c r="H107" s="217"/>
      <c r="I107" s="217"/>
      <c r="J107" s="283"/>
      <c r="K107" s="283"/>
      <c r="L107" s="746"/>
      <c r="M107" s="217"/>
      <c r="N107" s="217"/>
      <c r="O107" s="217"/>
      <c r="P107" s="217"/>
      <c r="Q107" s="217"/>
      <c r="R107" s="133"/>
      <c r="S107" s="133"/>
      <c r="T107" s="133"/>
      <c r="U107" s="133"/>
      <c r="V107" s="133"/>
      <c r="W107" s="133"/>
      <c r="X107" s="133"/>
      <c r="Y107" s="133"/>
      <c r="Z107" s="133"/>
      <c r="AJ107" s="282"/>
      <c r="AK107" s="282"/>
      <c r="AL107" s="282"/>
      <c r="AM107" s="282"/>
      <c r="AN107" s="282"/>
    </row>
    <row r="108" spans="1:40" x14ac:dyDescent="0.35">
      <c r="A108" s="283"/>
      <c r="B108" s="365" t="s">
        <v>985</v>
      </c>
      <c r="C108" s="364"/>
      <c r="D108" s="364"/>
      <c r="E108" s="364"/>
      <c r="F108" s="364"/>
      <c r="G108" s="364"/>
      <c r="H108" s="364"/>
      <c r="I108" s="216"/>
      <c r="J108" s="392"/>
      <c r="K108" s="217"/>
      <c r="L108" s="391"/>
      <c r="M108" s="391"/>
      <c r="N108" s="391"/>
      <c r="O108" s="391"/>
      <c r="P108" s="391"/>
      <c r="Q108" s="391"/>
      <c r="R108" s="133"/>
      <c r="S108" s="133"/>
      <c r="T108" s="133"/>
      <c r="U108" s="133"/>
      <c r="V108" s="133"/>
      <c r="W108" s="133"/>
      <c r="X108" s="133"/>
      <c r="Y108" s="133"/>
      <c r="Z108" s="133"/>
      <c r="AJ108" s="282"/>
      <c r="AK108" s="282"/>
      <c r="AL108" s="282"/>
      <c r="AM108" s="282"/>
      <c r="AN108" s="282"/>
    </row>
    <row r="109" spans="1:40" ht="72.5" x14ac:dyDescent="0.35">
      <c r="A109" s="283"/>
      <c r="B109" s="278" t="s">
        <v>771</v>
      </c>
      <c r="C109" s="165" t="s">
        <v>726</v>
      </c>
      <c r="D109" s="387" t="s">
        <v>814</v>
      </c>
      <c r="E109" s="253" t="s">
        <v>676</v>
      </c>
      <c r="F109" s="253" t="s">
        <v>677</v>
      </c>
      <c r="G109" s="164" t="s">
        <v>782</v>
      </c>
      <c r="H109" s="164" t="s">
        <v>783</v>
      </c>
      <c r="I109" s="253" t="s">
        <v>784</v>
      </c>
      <c r="J109" s="283"/>
      <c r="K109" s="495" t="s">
        <v>825</v>
      </c>
      <c r="L109" s="387" t="s">
        <v>814</v>
      </c>
      <c r="M109" s="253" t="s">
        <v>676</v>
      </c>
      <c r="N109" s="253" t="s">
        <v>677</v>
      </c>
      <c r="O109" s="164" t="s">
        <v>782</v>
      </c>
      <c r="P109" s="164" t="s">
        <v>783</v>
      </c>
      <c r="Q109" s="253" t="s">
        <v>784</v>
      </c>
      <c r="R109" s="133"/>
      <c r="S109" s="133"/>
      <c r="T109" s="133"/>
      <c r="U109" s="133"/>
      <c r="V109" s="133"/>
      <c r="W109" s="133"/>
      <c r="X109" s="133"/>
      <c r="Y109" s="133"/>
      <c r="Z109" s="133"/>
      <c r="AJ109" s="282"/>
      <c r="AK109" s="282"/>
      <c r="AL109" s="282"/>
      <c r="AM109" s="282"/>
      <c r="AN109" s="282"/>
    </row>
    <row r="110" spans="1:40" x14ac:dyDescent="0.35">
      <c r="A110" s="283"/>
      <c r="B110" s="325" t="str">
        <f>B102</f>
        <v>Pembrolizumab adjuvant Yr 1</v>
      </c>
      <c r="C110" s="149">
        <f>'Inputs and eligible population'!G108</f>
        <v>30</v>
      </c>
      <c r="D110" s="128">
        <f t="shared" ref="D110:I110" si="100">(D70*$C$110)/60</f>
        <v>0</v>
      </c>
      <c r="E110" s="128">
        <f t="shared" si="100"/>
        <v>424.66385138908117</v>
      </c>
      <c r="F110" s="128">
        <f t="shared" si="100"/>
        <v>643.13756772159775</v>
      </c>
      <c r="G110" s="128">
        <f t="shared" si="100"/>
        <v>757.56167237612055</v>
      </c>
      <c r="H110" s="128">
        <f t="shared" si="100"/>
        <v>983.39906078128661</v>
      </c>
      <c r="I110" s="128">
        <f t="shared" si="100"/>
        <v>1103.2008946506089</v>
      </c>
      <c r="J110" s="283"/>
      <c r="K110" s="513">
        <f>'Inputs and eligible population'!M108</f>
        <v>42.15</v>
      </c>
      <c r="L110" s="286">
        <f>(D110*$K110)/1000</f>
        <v>0</v>
      </c>
      <c r="M110" s="286">
        <f t="shared" ref="M110" si="101">(E110*$K110)/1000</f>
        <v>17.899581336049771</v>
      </c>
      <c r="N110" s="286">
        <f t="shared" ref="N110" si="102">(F110*$K110)/1000</f>
        <v>27.108248479465342</v>
      </c>
      <c r="O110" s="286">
        <f t="shared" ref="O110" si="103">(G110*$K110)/1000</f>
        <v>31.931224490653481</v>
      </c>
      <c r="P110" s="286">
        <f t="shared" ref="P110" si="104">(H110*$K110)/1000</f>
        <v>41.450270411931228</v>
      </c>
      <c r="Q110" s="286">
        <f t="shared" ref="Q110" si="105">(I110*$K110)/1000</f>
        <v>46.499917709523167</v>
      </c>
      <c r="R110" s="133"/>
      <c r="S110" s="133"/>
      <c r="T110" s="133"/>
      <c r="U110" s="133"/>
      <c r="V110" s="133"/>
      <c r="W110" s="133"/>
      <c r="X110" s="133"/>
      <c r="Y110" s="133"/>
      <c r="Z110" s="133"/>
      <c r="AJ110" s="282"/>
      <c r="AK110" s="282"/>
      <c r="AL110" s="282"/>
      <c r="AM110" s="282"/>
      <c r="AN110" s="282"/>
    </row>
    <row r="111" spans="1:40" x14ac:dyDescent="0.35">
      <c r="A111" s="283"/>
      <c r="B111" s="325" t="str">
        <f>B103</f>
        <v>Pembrolizumab adjuvant Yr 2</v>
      </c>
      <c r="C111" s="149">
        <f>'Inputs and eligible population'!G108</f>
        <v>30</v>
      </c>
      <c r="D111" s="128">
        <f t="shared" ref="D111:I111" si="106">(D71*$C$111)/60</f>
        <v>0</v>
      </c>
      <c r="E111" s="128">
        <f t="shared" si="106"/>
        <v>171.77414213490925</v>
      </c>
      <c r="F111" s="128">
        <f t="shared" si="106"/>
        <v>260.14553301098334</v>
      </c>
      <c r="G111" s="128">
        <f t="shared" si="106"/>
        <v>306.42944051168922</v>
      </c>
      <c r="H111" s="128">
        <f t="shared" si="106"/>
        <v>397.77939537220584</v>
      </c>
      <c r="I111" s="128">
        <f t="shared" si="106"/>
        <v>446.23856412833629</v>
      </c>
      <c r="J111" s="283"/>
      <c r="K111" s="513">
        <f>'Inputs and eligible population'!M108</f>
        <v>42.15</v>
      </c>
      <c r="L111" s="286">
        <f>(D111*$K111)/1000</f>
        <v>0</v>
      </c>
      <c r="M111" s="286">
        <f t="shared" ref="M111" si="107">(E111*$K111)/1000</f>
        <v>7.2402800909864249</v>
      </c>
      <c r="N111" s="286">
        <f t="shared" ref="N111" si="108">(F111*$K111)/1000</f>
        <v>10.965134216412947</v>
      </c>
      <c r="O111" s="286">
        <f t="shared" ref="O111" si="109">(G111*$K111)/1000</f>
        <v>12.9160009175677</v>
      </c>
      <c r="P111" s="286">
        <f t="shared" ref="P111" si="110">(H111*$K111)/1000</f>
        <v>16.766401514938476</v>
      </c>
      <c r="Q111" s="286">
        <f t="shared" ref="Q111" si="111">(I111*$K111)/1000</f>
        <v>18.808955478009374</v>
      </c>
      <c r="R111" s="133"/>
      <c r="S111" s="133"/>
      <c r="T111" s="133"/>
      <c r="U111" s="133"/>
      <c r="V111" s="133"/>
      <c r="W111" s="133"/>
      <c r="X111" s="133"/>
      <c r="Y111" s="133"/>
      <c r="Z111" s="133"/>
      <c r="AJ111" s="282"/>
      <c r="AK111" s="282"/>
      <c r="AL111" s="282"/>
      <c r="AM111" s="282"/>
      <c r="AN111" s="282"/>
    </row>
    <row r="112" spans="1:40" x14ac:dyDescent="0.35">
      <c r="A112" s="283"/>
      <c r="B112" s="279"/>
      <c r="C112" s="279"/>
      <c r="D112" s="185">
        <f t="shared" ref="D112:I112" si="112">SUM(D110:D111)</f>
        <v>0</v>
      </c>
      <c r="E112" s="185">
        <f t="shared" si="112"/>
        <v>596.43799352399037</v>
      </c>
      <c r="F112" s="185">
        <f t="shared" si="112"/>
        <v>903.28310073258103</v>
      </c>
      <c r="G112" s="185">
        <f t="shared" si="112"/>
        <v>1063.9911128878098</v>
      </c>
      <c r="H112" s="185">
        <f t="shared" si="112"/>
        <v>1381.1784561534923</v>
      </c>
      <c r="I112" s="185">
        <f t="shared" si="112"/>
        <v>1549.4394587789452</v>
      </c>
      <c r="J112" s="283"/>
      <c r="K112" s="283"/>
      <c r="L112" s="287">
        <f t="shared" ref="L112:Q112" si="113">SUM(L110:L111)</f>
        <v>0</v>
      </c>
      <c r="M112" s="287">
        <f t="shared" si="113"/>
        <v>25.139861427036195</v>
      </c>
      <c r="N112" s="287">
        <f t="shared" si="113"/>
        <v>38.073382695878287</v>
      </c>
      <c r="O112" s="287">
        <f t="shared" si="113"/>
        <v>44.847225408221178</v>
      </c>
      <c r="P112" s="287">
        <f t="shared" si="113"/>
        <v>58.216671926869708</v>
      </c>
      <c r="Q112" s="287">
        <f t="shared" si="113"/>
        <v>65.308873187532541</v>
      </c>
      <c r="R112" s="133"/>
      <c r="S112" s="133"/>
      <c r="T112" s="133"/>
      <c r="U112" s="133"/>
      <c r="V112" s="133"/>
      <c r="W112" s="133"/>
      <c r="X112" s="133"/>
      <c r="Y112" s="133"/>
      <c r="Z112" s="133"/>
      <c r="AJ112" s="282"/>
      <c r="AK112" s="282"/>
      <c r="AL112" s="282"/>
      <c r="AM112" s="282"/>
      <c r="AN112" s="282"/>
    </row>
    <row r="113" spans="1:40" x14ac:dyDescent="0.35">
      <c r="A113" s="283"/>
      <c r="B113" s="279"/>
      <c r="C113" s="279"/>
      <c r="D113" s="281" t="s">
        <v>832</v>
      </c>
      <c r="E113" s="185">
        <f>E112-$D$112</f>
        <v>596.43799352399037</v>
      </c>
      <c r="F113" s="185">
        <f t="shared" ref="F113:I113" si="114">F112-$D$112</f>
        <v>903.28310073258103</v>
      </c>
      <c r="G113" s="185">
        <f t="shared" si="114"/>
        <v>1063.9911128878098</v>
      </c>
      <c r="H113" s="185">
        <f t="shared" si="114"/>
        <v>1381.1784561534923</v>
      </c>
      <c r="I113" s="185">
        <f t="shared" si="114"/>
        <v>1549.4394587789452</v>
      </c>
      <c r="J113" s="283"/>
      <c r="K113" s="283"/>
      <c r="L113" s="484"/>
      <c r="M113" s="287">
        <f>M112-$L$112</f>
        <v>25.139861427036195</v>
      </c>
      <c r="N113" s="287">
        <f t="shared" ref="N113:Q113" si="115">N112-$L$112</f>
        <v>38.073382695878287</v>
      </c>
      <c r="O113" s="287">
        <f t="shared" si="115"/>
        <v>44.847225408221178</v>
      </c>
      <c r="P113" s="287">
        <f t="shared" si="115"/>
        <v>58.216671926869708</v>
      </c>
      <c r="Q113" s="287">
        <f t="shared" si="115"/>
        <v>65.308873187532541</v>
      </c>
      <c r="R113" s="133"/>
      <c r="S113" s="133"/>
      <c r="T113" s="133"/>
      <c r="U113" s="133"/>
      <c r="V113" s="133"/>
      <c r="W113" s="133"/>
      <c r="X113" s="133"/>
      <c r="Y113" s="133"/>
      <c r="Z113" s="133"/>
      <c r="AJ113" s="282"/>
      <c r="AK113" s="282"/>
      <c r="AL113" s="282"/>
      <c r="AM113" s="282"/>
      <c r="AN113" s="282"/>
    </row>
    <row r="114" spans="1:40" x14ac:dyDescent="0.35">
      <c r="A114" s="283"/>
      <c r="B114" s="307"/>
      <c r="C114" s="217"/>
      <c r="D114" s="217"/>
      <c r="E114" s="217"/>
      <c r="F114" s="217"/>
      <c r="G114" s="217"/>
      <c r="H114" s="217"/>
      <c r="I114" s="217"/>
      <c r="J114" s="283"/>
      <c r="K114" s="283"/>
      <c r="L114" s="746"/>
      <c r="M114" s="217"/>
      <c r="N114" s="217"/>
      <c r="O114" s="217"/>
      <c r="P114" s="217"/>
      <c r="Q114" s="217"/>
      <c r="R114" s="133"/>
      <c r="S114" s="133"/>
      <c r="T114" s="133"/>
      <c r="U114" s="133"/>
      <c r="V114" s="133"/>
      <c r="W114" s="133"/>
      <c r="X114" s="133"/>
      <c r="Y114" s="133"/>
      <c r="Z114" s="133"/>
      <c r="AJ114" s="282"/>
      <c r="AK114" s="282"/>
      <c r="AL114" s="282"/>
      <c r="AM114" s="282"/>
      <c r="AN114" s="282"/>
    </row>
    <row r="115" spans="1:40" x14ac:dyDescent="0.35">
      <c r="A115" s="283"/>
      <c r="B115" s="307"/>
      <c r="C115" s="217"/>
      <c r="D115" s="217"/>
      <c r="E115" s="217"/>
      <c r="F115" s="217"/>
      <c r="G115" s="217"/>
      <c r="H115" s="217"/>
      <c r="I115" s="217"/>
      <c r="J115" s="283"/>
      <c r="K115" s="283"/>
      <c r="L115" s="746"/>
      <c r="M115" s="217"/>
      <c r="N115" s="217"/>
      <c r="O115" s="217"/>
      <c r="P115" s="217"/>
      <c r="Q115" s="217"/>
      <c r="R115" s="133"/>
      <c r="S115" s="133"/>
      <c r="T115" s="133"/>
      <c r="U115" s="133"/>
      <c r="V115" s="133"/>
      <c r="W115" s="133"/>
      <c r="X115" s="133"/>
      <c r="Y115" s="133"/>
      <c r="Z115" s="133"/>
      <c r="AJ115" s="282"/>
      <c r="AK115" s="282"/>
      <c r="AL115" s="282"/>
      <c r="AM115" s="282"/>
      <c r="AN115" s="282"/>
    </row>
    <row r="116" spans="1:40" x14ac:dyDescent="0.35">
      <c r="A116" s="283"/>
      <c r="B116" s="365" t="s">
        <v>986</v>
      </c>
      <c r="C116" s="364"/>
      <c r="D116" s="364"/>
      <c r="E116" s="364"/>
      <c r="F116" s="364"/>
      <c r="G116" s="364"/>
      <c r="H116" s="364"/>
      <c r="I116" s="216"/>
      <c r="J116" s="392"/>
      <c r="K116" s="217"/>
      <c r="L116" s="391"/>
      <c r="M116" s="391"/>
      <c r="N116" s="391"/>
      <c r="O116" s="391"/>
      <c r="P116" s="391"/>
      <c r="Q116" s="391"/>
      <c r="R116" s="133"/>
      <c r="S116" s="133"/>
      <c r="T116" s="133"/>
      <c r="U116" s="133"/>
      <c r="V116" s="133"/>
      <c r="W116" s="133"/>
      <c r="X116" s="133"/>
      <c r="Y116" s="133"/>
      <c r="Z116" s="133"/>
      <c r="AJ116" s="282"/>
      <c r="AK116" s="282"/>
      <c r="AL116" s="282"/>
      <c r="AM116" s="282"/>
      <c r="AN116" s="282"/>
    </row>
    <row r="117" spans="1:40" ht="58" x14ac:dyDescent="0.35">
      <c r="A117" s="283"/>
      <c r="B117" s="278" t="s">
        <v>771</v>
      </c>
      <c r="C117" s="165" t="s">
        <v>727</v>
      </c>
      <c r="D117" s="387" t="s">
        <v>814</v>
      </c>
      <c r="E117" s="253" t="s">
        <v>676</v>
      </c>
      <c r="F117" s="253" t="s">
        <v>677</v>
      </c>
      <c r="G117" s="164" t="s">
        <v>782</v>
      </c>
      <c r="H117" s="164" t="s">
        <v>783</v>
      </c>
      <c r="I117" s="253" t="s">
        <v>784</v>
      </c>
      <c r="J117" s="283"/>
      <c r="K117" s="495" t="s">
        <v>825</v>
      </c>
      <c r="L117" s="387" t="s">
        <v>814</v>
      </c>
      <c r="M117" s="253" t="s">
        <v>676</v>
      </c>
      <c r="N117" s="253" t="s">
        <v>677</v>
      </c>
      <c r="O117" s="164" t="s">
        <v>782</v>
      </c>
      <c r="P117" s="164" t="s">
        <v>783</v>
      </c>
      <c r="Q117" s="253" t="s">
        <v>784</v>
      </c>
      <c r="R117" s="133"/>
      <c r="S117" s="133"/>
      <c r="T117" s="133"/>
      <c r="U117" s="133"/>
      <c r="V117" s="133"/>
      <c r="W117" s="133"/>
      <c r="X117" s="133"/>
      <c r="Y117" s="133"/>
      <c r="Z117" s="133"/>
      <c r="AJ117" s="282"/>
      <c r="AK117" s="282"/>
      <c r="AL117" s="282"/>
      <c r="AM117" s="282"/>
      <c r="AN117" s="282"/>
    </row>
    <row r="118" spans="1:40" x14ac:dyDescent="0.35">
      <c r="A118" s="283"/>
      <c r="B118" s="325" t="str">
        <f>B110</f>
        <v>Pembrolizumab adjuvant Yr 1</v>
      </c>
      <c r="C118" s="149">
        <f>'Inputs and eligible population'!G109</f>
        <v>30</v>
      </c>
      <c r="D118" s="128">
        <f t="shared" ref="D118:I118" si="116">(D70*$C$118)/60</f>
        <v>0</v>
      </c>
      <c r="E118" s="128">
        <f t="shared" si="116"/>
        <v>424.66385138908117</v>
      </c>
      <c r="F118" s="128">
        <f t="shared" si="116"/>
        <v>643.13756772159775</v>
      </c>
      <c r="G118" s="128">
        <f t="shared" si="116"/>
        <v>757.56167237612055</v>
      </c>
      <c r="H118" s="128">
        <f t="shared" si="116"/>
        <v>983.39906078128661</v>
      </c>
      <c r="I118" s="128">
        <f t="shared" si="116"/>
        <v>1103.2008946506089</v>
      </c>
      <c r="J118" s="283"/>
      <c r="K118" s="513">
        <f>'Inputs and eligible population'!M109</f>
        <v>42.15</v>
      </c>
      <c r="L118" s="286">
        <f>(D118*$K118)/1000</f>
        <v>0</v>
      </c>
      <c r="M118" s="286">
        <f t="shared" ref="M118" si="117">(E118*$K118)/1000</f>
        <v>17.899581336049771</v>
      </c>
      <c r="N118" s="286">
        <f t="shared" ref="N118" si="118">(F118*$K118)/1000</f>
        <v>27.108248479465342</v>
      </c>
      <c r="O118" s="286">
        <f t="shared" ref="O118" si="119">(G118*$K118)/1000</f>
        <v>31.931224490653481</v>
      </c>
      <c r="P118" s="286">
        <f t="shared" ref="P118" si="120">(H118*$K118)/1000</f>
        <v>41.450270411931228</v>
      </c>
      <c r="Q118" s="286">
        <f t="shared" ref="Q118" si="121">(I118*$K118)/1000</f>
        <v>46.499917709523167</v>
      </c>
      <c r="R118" s="133"/>
      <c r="S118" s="133"/>
      <c r="T118" s="133"/>
      <c r="U118" s="133"/>
      <c r="V118" s="133"/>
      <c r="W118" s="133"/>
      <c r="X118" s="133"/>
      <c r="Y118" s="133"/>
      <c r="Z118" s="133"/>
      <c r="AJ118" s="282"/>
      <c r="AK118" s="282"/>
      <c r="AL118" s="282"/>
      <c r="AM118" s="282"/>
      <c r="AN118" s="282"/>
    </row>
    <row r="119" spans="1:40" x14ac:dyDescent="0.35">
      <c r="A119" s="283"/>
      <c r="B119" s="325" t="str">
        <f>B111</f>
        <v>Pembrolizumab adjuvant Yr 2</v>
      </c>
      <c r="C119" s="149">
        <f>'Inputs and eligible population'!G109</f>
        <v>30</v>
      </c>
      <c r="D119" s="128">
        <f t="shared" ref="D119:I119" si="122">(D71*$C$119)/60</f>
        <v>0</v>
      </c>
      <c r="E119" s="128">
        <f t="shared" si="122"/>
        <v>171.77414213490925</v>
      </c>
      <c r="F119" s="128">
        <f t="shared" si="122"/>
        <v>260.14553301098334</v>
      </c>
      <c r="G119" s="128">
        <f t="shared" si="122"/>
        <v>306.42944051168922</v>
      </c>
      <c r="H119" s="128">
        <f t="shared" si="122"/>
        <v>397.77939537220584</v>
      </c>
      <c r="I119" s="128">
        <f t="shared" si="122"/>
        <v>446.23856412833629</v>
      </c>
      <c r="J119" s="283"/>
      <c r="K119" s="513">
        <f>'Inputs and eligible population'!M109</f>
        <v>42.15</v>
      </c>
      <c r="L119" s="286">
        <f>(D119*$K119)/1000</f>
        <v>0</v>
      </c>
      <c r="M119" s="286">
        <f t="shared" ref="M119" si="123">(E119*$K119)/1000</f>
        <v>7.2402800909864249</v>
      </c>
      <c r="N119" s="286">
        <f t="shared" ref="N119" si="124">(F119*$K119)/1000</f>
        <v>10.965134216412947</v>
      </c>
      <c r="O119" s="286">
        <f t="shared" ref="O119" si="125">(G119*$K119)/1000</f>
        <v>12.9160009175677</v>
      </c>
      <c r="P119" s="286">
        <f t="shared" ref="P119" si="126">(H119*$K119)/1000</f>
        <v>16.766401514938476</v>
      </c>
      <c r="Q119" s="286">
        <f t="shared" ref="Q119" si="127">(I119*$K119)/1000</f>
        <v>18.808955478009374</v>
      </c>
      <c r="R119" s="133"/>
      <c r="S119" s="133"/>
      <c r="T119" s="133"/>
      <c r="U119" s="133"/>
      <c r="V119" s="133"/>
      <c r="W119" s="133"/>
      <c r="X119" s="133"/>
      <c r="Y119" s="133"/>
      <c r="Z119" s="133"/>
      <c r="AJ119" s="282"/>
      <c r="AK119" s="282"/>
      <c r="AL119" s="282"/>
      <c r="AM119" s="282"/>
      <c r="AN119" s="282"/>
    </row>
    <row r="120" spans="1:40" x14ac:dyDescent="0.35">
      <c r="A120" s="283"/>
      <c r="B120" s="279"/>
      <c r="C120" s="279"/>
      <c r="D120" s="185">
        <f t="shared" ref="D120:I120" si="128">SUM(D118:D119)</f>
        <v>0</v>
      </c>
      <c r="E120" s="185">
        <f t="shared" si="128"/>
        <v>596.43799352399037</v>
      </c>
      <c r="F120" s="185">
        <f t="shared" si="128"/>
        <v>903.28310073258103</v>
      </c>
      <c r="G120" s="185">
        <f t="shared" si="128"/>
        <v>1063.9911128878098</v>
      </c>
      <c r="H120" s="185">
        <f t="shared" si="128"/>
        <v>1381.1784561534923</v>
      </c>
      <c r="I120" s="185">
        <f t="shared" si="128"/>
        <v>1549.4394587789452</v>
      </c>
      <c r="J120" s="283"/>
      <c r="K120" s="283"/>
      <c r="L120" s="287">
        <f t="shared" ref="L120:Q120" si="129">SUM(L118:L119)</f>
        <v>0</v>
      </c>
      <c r="M120" s="287">
        <f t="shared" si="129"/>
        <v>25.139861427036195</v>
      </c>
      <c r="N120" s="287">
        <f t="shared" si="129"/>
        <v>38.073382695878287</v>
      </c>
      <c r="O120" s="287">
        <f t="shared" si="129"/>
        <v>44.847225408221178</v>
      </c>
      <c r="P120" s="287">
        <f t="shared" si="129"/>
        <v>58.216671926869708</v>
      </c>
      <c r="Q120" s="287">
        <f t="shared" si="129"/>
        <v>65.308873187532541</v>
      </c>
      <c r="R120" s="133"/>
      <c r="S120" s="133"/>
      <c r="T120" s="133"/>
      <c r="U120" s="133"/>
      <c r="V120" s="133"/>
      <c r="W120" s="133"/>
      <c r="X120" s="133"/>
      <c r="Y120" s="133"/>
      <c r="Z120" s="133"/>
      <c r="AJ120" s="282"/>
      <c r="AK120" s="282"/>
      <c r="AL120" s="282"/>
      <c r="AM120" s="282"/>
      <c r="AN120" s="282"/>
    </row>
    <row r="121" spans="1:40" x14ac:dyDescent="0.35">
      <c r="A121" s="283"/>
      <c r="B121" s="300"/>
      <c r="C121" s="279"/>
      <c r="D121" s="281" t="s">
        <v>833</v>
      </c>
      <c r="E121" s="185">
        <f>E120-$D$120</f>
        <v>596.43799352399037</v>
      </c>
      <c r="F121" s="185">
        <f t="shared" ref="F121:I121" si="130">F120-$D$120</f>
        <v>903.28310073258103</v>
      </c>
      <c r="G121" s="185">
        <f t="shared" si="130"/>
        <v>1063.9911128878098</v>
      </c>
      <c r="H121" s="185">
        <f t="shared" si="130"/>
        <v>1381.1784561534923</v>
      </c>
      <c r="I121" s="185">
        <f t="shared" si="130"/>
        <v>1549.4394587789452</v>
      </c>
      <c r="J121" s="283"/>
      <c r="K121" s="283"/>
      <c r="L121" s="484"/>
      <c r="M121" s="287">
        <f>M120-$L$120</f>
        <v>25.139861427036195</v>
      </c>
      <c r="N121" s="287">
        <f t="shared" ref="N121:Q121" si="131">N120-$L$120</f>
        <v>38.073382695878287</v>
      </c>
      <c r="O121" s="287">
        <f t="shared" si="131"/>
        <v>44.847225408221178</v>
      </c>
      <c r="P121" s="287">
        <f t="shared" si="131"/>
        <v>58.216671926869708</v>
      </c>
      <c r="Q121" s="287">
        <f t="shared" si="131"/>
        <v>65.308873187532541</v>
      </c>
      <c r="R121" s="133"/>
      <c r="S121" s="133"/>
      <c r="T121" s="133"/>
      <c r="U121" s="133"/>
      <c r="V121" s="133"/>
      <c r="W121" s="133"/>
      <c r="X121" s="133"/>
      <c r="Y121" s="133"/>
      <c r="Z121" s="133"/>
      <c r="AJ121" s="282"/>
      <c r="AK121" s="282"/>
      <c r="AL121" s="282"/>
      <c r="AM121" s="282"/>
      <c r="AN121" s="282"/>
    </row>
    <row r="122" spans="1:40" x14ac:dyDescent="0.35">
      <c r="A122" s="283"/>
      <c r="B122" s="307"/>
      <c r="C122" s="217"/>
      <c r="D122" s="217"/>
      <c r="E122" s="217"/>
      <c r="F122" s="217"/>
      <c r="G122" s="217"/>
      <c r="H122" s="217"/>
      <c r="I122" s="217"/>
      <c r="J122" s="283"/>
      <c r="K122" s="283"/>
      <c r="L122" s="746"/>
      <c r="M122" s="217"/>
      <c r="N122" s="217"/>
      <c r="O122" s="217"/>
      <c r="P122" s="217"/>
      <c r="Q122" s="217"/>
      <c r="R122" s="133"/>
      <c r="S122" s="133"/>
      <c r="T122" s="133"/>
      <c r="U122" s="133"/>
      <c r="V122" s="133"/>
      <c r="W122" s="133"/>
      <c r="X122" s="133"/>
      <c r="Y122" s="133"/>
      <c r="Z122" s="133"/>
      <c r="AJ122" s="282"/>
      <c r="AK122" s="282"/>
      <c r="AL122" s="282"/>
      <c r="AM122" s="282"/>
      <c r="AN122" s="282"/>
    </row>
    <row r="123" spans="1:40" x14ac:dyDescent="0.35">
      <c r="A123" s="283"/>
      <c r="B123" s="307"/>
      <c r="C123" s="217"/>
      <c r="D123" s="217"/>
      <c r="E123" s="217"/>
      <c r="F123" s="217"/>
      <c r="G123" s="217"/>
      <c r="H123" s="217"/>
      <c r="I123" s="217"/>
      <c r="J123" s="283"/>
      <c r="K123" s="283"/>
      <c r="L123" s="217"/>
      <c r="M123" s="217"/>
      <c r="N123" s="217"/>
      <c r="O123" s="217"/>
      <c r="P123" s="217"/>
      <c r="Q123" s="217"/>
      <c r="R123" s="133"/>
      <c r="S123" s="133"/>
      <c r="T123" s="133"/>
      <c r="U123" s="133"/>
      <c r="V123" s="133"/>
      <c r="W123" s="133"/>
      <c r="X123" s="133"/>
      <c r="Y123" s="133"/>
      <c r="Z123" s="133"/>
      <c r="AJ123" s="282"/>
      <c r="AK123" s="282"/>
      <c r="AL123" s="282"/>
      <c r="AM123" s="282"/>
      <c r="AN123" s="282"/>
    </row>
    <row r="124" spans="1:40" x14ac:dyDescent="0.35">
      <c r="A124" s="656"/>
      <c r="B124" s="662" t="s">
        <v>834</v>
      </c>
      <c r="C124" s="657"/>
      <c r="D124" s="658"/>
      <c r="E124" s="657"/>
      <c r="F124" s="659"/>
      <c r="G124" s="660"/>
      <c r="H124" s="660"/>
      <c r="I124" s="661"/>
      <c r="J124" s="656"/>
      <c r="K124" s="656"/>
      <c r="L124" s="656"/>
      <c r="M124" s="656"/>
      <c r="N124" s="656"/>
      <c r="O124" s="656"/>
      <c r="P124" s="656"/>
      <c r="Q124" s="656"/>
      <c r="R124" s="133"/>
      <c r="S124" s="133"/>
      <c r="T124" s="133"/>
      <c r="U124" s="133"/>
      <c r="V124" s="133"/>
      <c r="W124" s="133"/>
      <c r="X124" s="133"/>
      <c r="Y124" s="133"/>
      <c r="Z124" s="133"/>
      <c r="AJ124" s="282"/>
      <c r="AK124" s="282"/>
      <c r="AL124" s="282"/>
      <c r="AM124" s="282"/>
      <c r="AN124" s="282"/>
    </row>
    <row r="125" spans="1:40" x14ac:dyDescent="0.35">
      <c r="A125" s="285"/>
      <c r="B125" s="366" t="s">
        <v>988</v>
      </c>
      <c r="C125" s="367"/>
      <c r="D125" s="367"/>
      <c r="E125" s="367"/>
      <c r="F125" s="367"/>
      <c r="G125" s="367"/>
      <c r="H125" s="367"/>
      <c r="I125" s="220"/>
      <c r="J125" s="285"/>
      <c r="K125" s="285"/>
      <c r="L125" s="285"/>
      <c r="M125" s="285"/>
      <c r="N125" s="285"/>
      <c r="O125" s="285"/>
      <c r="P125" s="285"/>
      <c r="Q125" s="285"/>
      <c r="V125" s="133"/>
    </row>
    <row r="126" spans="1:40" ht="43.5" x14ac:dyDescent="0.35">
      <c r="A126" s="285"/>
      <c r="B126" s="275" t="s">
        <v>771</v>
      </c>
      <c r="C126" s="165" t="s">
        <v>893</v>
      </c>
      <c r="D126" s="387" t="s">
        <v>814</v>
      </c>
      <c r="E126" s="253" t="s">
        <v>676</v>
      </c>
      <c r="F126" s="253" t="s">
        <v>677</v>
      </c>
      <c r="G126" s="164" t="s">
        <v>782</v>
      </c>
      <c r="H126" s="164" t="s">
        <v>783</v>
      </c>
      <c r="I126" s="253" t="s">
        <v>784</v>
      </c>
      <c r="J126" s="285"/>
      <c r="K126" s="495" t="s">
        <v>825</v>
      </c>
      <c r="L126" s="387" t="s">
        <v>814</v>
      </c>
      <c r="M126" s="253" t="s">
        <v>676</v>
      </c>
      <c r="N126" s="253" t="s">
        <v>677</v>
      </c>
      <c r="O126" s="164" t="s">
        <v>782</v>
      </c>
      <c r="P126" s="164" t="s">
        <v>783</v>
      </c>
      <c r="Q126" s="253" t="s">
        <v>784</v>
      </c>
      <c r="V126" s="133"/>
    </row>
    <row r="127" spans="1:40" x14ac:dyDescent="0.35">
      <c r="A127" s="285"/>
      <c r="B127" s="325" t="str">
        <f>B63</f>
        <v>Pembrolizumab + chemo - neoadjuvant</v>
      </c>
      <c r="C127" s="149">
        <f>'Inputs and eligible population'!F110</f>
        <v>15</v>
      </c>
      <c r="D127" s="128">
        <f t="shared" ref="D127:I127" si="132">(D63*$C$127)/60</f>
        <v>0</v>
      </c>
      <c r="E127" s="128">
        <f t="shared" si="132"/>
        <v>408.9860527021649</v>
      </c>
      <c r="F127" s="128">
        <f t="shared" si="132"/>
        <v>619.394126216627</v>
      </c>
      <c r="G127" s="128">
        <f t="shared" si="132"/>
        <v>729.59390598021241</v>
      </c>
      <c r="H127" s="128">
        <f t="shared" si="132"/>
        <v>947.09379850525204</v>
      </c>
      <c r="I127" s="128">
        <f t="shared" si="132"/>
        <v>1062.4727717341339</v>
      </c>
      <c r="J127" s="285"/>
      <c r="K127" s="513">
        <f>'Inputs and eligible population'!M110</f>
        <v>46.77</v>
      </c>
      <c r="L127" s="286">
        <f>(D127*$K127)/1000</f>
        <v>0</v>
      </c>
      <c r="M127" s="286">
        <f t="shared" ref="M127:Q128" si="133">(E127*$K127)/1000</f>
        <v>19.128277684880253</v>
      </c>
      <c r="N127" s="286">
        <f t="shared" si="133"/>
        <v>28.969063283151645</v>
      </c>
      <c r="O127" s="286">
        <f t="shared" si="133"/>
        <v>34.123106982694537</v>
      </c>
      <c r="P127" s="286">
        <f t="shared" si="133"/>
        <v>44.295576956090642</v>
      </c>
      <c r="Q127" s="286">
        <f t="shared" si="133"/>
        <v>49.691851534005444</v>
      </c>
      <c r="V127" s="133"/>
    </row>
    <row r="128" spans="1:40" x14ac:dyDescent="0.35">
      <c r="A128" s="285"/>
      <c r="B128" s="325" t="str">
        <f>B64</f>
        <v>Nivolumab neoadjuvant</v>
      </c>
      <c r="C128" s="149">
        <f>'Inputs and eligible population'!H110</f>
        <v>15</v>
      </c>
      <c r="D128" s="128">
        <f t="shared" ref="D128:I128" si="134">(D64*$C$128)/60</f>
        <v>1575.3124566613171</v>
      </c>
      <c r="E128" s="128">
        <f t="shared" si="134"/>
        <v>1272.4010528511794</v>
      </c>
      <c r="F128" s="128">
        <f t="shared" si="134"/>
        <v>1124.0856364672118</v>
      </c>
      <c r="G128" s="128">
        <f t="shared" si="134"/>
        <v>1053.8578641936401</v>
      </c>
      <c r="H128" s="128">
        <f t="shared" si="134"/>
        <v>900.32373438153581</v>
      </c>
      <c r="I128" s="128">
        <f t="shared" si="134"/>
        <v>826.36771134877074</v>
      </c>
      <c r="J128" s="285"/>
      <c r="K128" s="513">
        <f>'Inputs and eligible population'!M110</f>
        <v>46.77</v>
      </c>
      <c r="L128" s="286">
        <f t="shared" ref="L128" si="135">(D128*$K128)/1000</f>
        <v>73.677363598049809</v>
      </c>
      <c r="M128" s="286">
        <f t="shared" si="133"/>
        <v>59.510197241849667</v>
      </c>
      <c r="N128" s="286">
        <f t="shared" si="133"/>
        <v>52.573485217571502</v>
      </c>
      <c r="O128" s="286">
        <f t="shared" si="133"/>
        <v>49.288932308336555</v>
      </c>
      <c r="P128" s="286">
        <f t="shared" si="133"/>
        <v>42.108141057024433</v>
      </c>
      <c r="Q128" s="286">
        <f t="shared" si="133"/>
        <v>38.649217859782013</v>
      </c>
      <c r="V128" s="133"/>
    </row>
    <row r="129" spans="1:40" x14ac:dyDescent="0.35">
      <c r="A129" s="285"/>
      <c r="B129" s="279"/>
      <c r="C129" s="207"/>
      <c r="D129" s="185">
        <f t="shared" ref="D129:I129" si="136">SUM(D127:D128)</f>
        <v>1575.3124566613171</v>
      </c>
      <c r="E129" s="185">
        <f t="shared" si="136"/>
        <v>1681.3871055533443</v>
      </c>
      <c r="F129" s="185">
        <f t="shared" si="136"/>
        <v>1743.4797626838388</v>
      </c>
      <c r="G129" s="185">
        <f t="shared" si="136"/>
        <v>1783.4517701738525</v>
      </c>
      <c r="H129" s="185">
        <f t="shared" si="136"/>
        <v>1847.4175328867877</v>
      </c>
      <c r="I129" s="185">
        <f t="shared" si="136"/>
        <v>1888.8404830829045</v>
      </c>
      <c r="J129" s="285"/>
      <c r="K129" s="285"/>
      <c r="L129" s="287">
        <f t="shared" ref="L129:Q129" si="137">SUM(L127:L128)</f>
        <v>73.677363598049809</v>
      </c>
      <c r="M129" s="287">
        <f t="shared" si="137"/>
        <v>78.638474926729913</v>
      </c>
      <c r="N129" s="287">
        <f t="shared" si="137"/>
        <v>81.542548500723143</v>
      </c>
      <c r="O129" s="287">
        <f t="shared" si="137"/>
        <v>83.412039291031093</v>
      </c>
      <c r="P129" s="287">
        <f t="shared" si="137"/>
        <v>86.403718013115082</v>
      </c>
      <c r="Q129" s="287">
        <f t="shared" si="137"/>
        <v>88.34106939378745</v>
      </c>
      <c r="V129" s="133"/>
    </row>
    <row r="130" spans="1:40" x14ac:dyDescent="0.35">
      <c r="A130" s="285"/>
      <c r="B130" s="300"/>
      <c r="C130" s="222"/>
      <c r="D130" s="281" t="s">
        <v>894</v>
      </c>
      <c r="E130" s="185">
        <f>E129-$D$129</f>
        <v>106.0746488920272</v>
      </c>
      <c r="F130" s="185">
        <f>F129-$D$129</f>
        <v>168.16730602252164</v>
      </c>
      <c r="G130" s="185">
        <f>G129-$D$129</f>
        <v>208.13931351253541</v>
      </c>
      <c r="H130" s="185">
        <f>H129-$D$129</f>
        <v>272.10507622547061</v>
      </c>
      <c r="I130" s="185">
        <f>I129-$D$129</f>
        <v>313.52802642158736</v>
      </c>
      <c r="J130" s="285"/>
      <c r="K130" s="285"/>
      <c r="L130" s="485"/>
      <c r="M130" s="287">
        <f>M129-$L$129</f>
        <v>4.9611113286801043</v>
      </c>
      <c r="N130" s="287">
        <f t="shared" ref="N130:Q130" si="138">N129-$L$129</f>
        <v>7.8651849026733345</v>
      </c>
      <c r="O130" s="287">
        <f t="shared" si="138"/>
        <v>9.7346756929812841</v>
      </c>
      <c r="P130" s="287">
        <f t="shared" si="138"/>
        <v>12.726354415065273</v>
      </c>
      <c r="Q130" s="287">
        <f t="shared" si="138"/>
        <v>14.663705795737641</v>
      </c>
      <c r="V130" s="133"/>
    </row>
    <row r="131" spans="1:40" x14ac:dyDescent="0.35">
      <c r="A131" s="285"/>
      <c r="B131" s="308"/>
      <c r="C131" s="747"/>
      <c r="D131" s="221"/>
      <c r="E131" s="221"/>
      <c r="F131" s="221"/>
      <c r="G131" s="221"/>
      <c r="H131" s="221"/>
      <c r="I131" s="221"/>
      <c r="J131" s="221"/>
      <c r="K131" s="221"/>
      <c r="L131" s="221"/>
      <c r="M131" s="221"/>
      <c r="N131" s="221"/>
      <c r="O131" s="221"/>
      <c r="P131" s="221"/>
      <c r="Q131" s="221"/>
      <c r="R131" s="133"/>
      <c r="S131" s="133"/>
      <c r="T131" s="133"/>
      <c r="U131" s="133"/>
      <c r="V131" s="133"/>
      <c r="W131" s="133"/>
      <c r="X131" s="133"/>
      <c r="Y131" s="133"/>
      <c r="Z131" s="133"/>
      <c r="AJ131" s="282"/>
      <c r="AK131" s="282"/>
      <c r="AL131" s="282"/>
      <c r="AM131" s="282"/>
      <c r="AN131" s="282"/>
    </row>
    <row r="132" spans="1:40" x14ac:dyDescent="0.35">
      <c r="A132" s="285"/>
      <c r="B132" s="662" t="s">
        <v>834</v>
      </c>
      <c r="C132" s="657"/>
      <c r="D132" s="658"/>
      <c r="E132" s="657"/>
      <c r="F132" s="659"/>
      <c r="G132" s="660"/>
      <c r="H132" s="660"/>
      <c r="I132" s="661"/>
      <c r="J132" s="656"/>
      <c r="K132" s="656"/>
      <c r="L132" s="656"/>
      <c r="M132" s="656"/>
      <c r="N132" s="656"/>
      <c r="O132" s="656"/>
      <c r="P132" s="656"/>
      <c r="Q132" s="656"/>
      <c r="R132" s="133"/>
      <c r="S132" s="133"/>
      <c r="T132" s="133"/>
      <c r="U132" s="133"/>
      <c r="V132" s="133"/>
      <c r="W132" s="133"/>
      <c r="X132" s="133"/>
      <c r="Y132" s="133"/>
      <c r="Z132" s="133"/>
      <c r="AJ132" s="282"/>
      <c r="AK132" s="282"/>
      <c r="AL132" s="282"/>
      <c r="AM132" s="282"/>
      <c r="AN132" s="282"/>
    </row>
    <row r="133" spans="1:40" x14ac:dyDescent="0.35">
      <c r="A133" s="285"/>
      <c r="B133" s="366" t="s">
        <v>987</v>
      </c>
      <c r="C133" s="367"/>
      <c r="D133" s="367"/>
      <c r="E133" s="367"/>
      <c r="F133" s="367"/>
      <c r="G133" s="367"/>
      <c r="H133" s="367"/>
      <c r="I133" s="220"/>
      <c r="J133" s="285"/>
      <c r="K133" s="285"/>
      <c r="L133" s="285"/>
      <c r="M133" s="285"/>
      <c r="N133" s="285"/>
      <c r="O133" s="285"/>
      <c r="P133" s="285"/>
      <c r="Q133" s="285"/>
      <c r="R133" s="133"/>
      <c r="S133" s="133"/>
      <c r="T133" s="133"/>
      <c r="U133" s="133"/>
      <c r="V133" s="133"/>
      <c r="W133" s="133"/>
      <c r="X133" s="133"/>
      <c r="Y133" s="133"/>
      <c r="Z133" s="133"/>
      <c r="AJ133" s="282"/>
      <c r="AK133" s="282"/>
      <c r="AL133" s="282"/>
      <c r="AM133" s="282"/>
      <c r="AN133" s="282"/>
    </row>
    <row r="134" spans="1:40" ht="43.5" x14ac:dyDescent="0.35">
      <c r="A134" s="285"/>
      <c r="B134" s="275" t="s">
        <v>771</v>
      </c>
      <c r="C134" s="165" t="s">
        <v>893</v>
      </c>
      <c r="D134" s="387" t="s">
        <v>814</v>
      </c>
      <c r="E134" s="253" t="s">
        <v>676</v>
      </c>
      <c r="F134" s="253" t="s">
        <v>677</v>
      </c>
      <c r="G134" s="164" t="s">
        <v>782</v>
      </c>
      <c r="H134" s="164" t="s">
        <v>783</v>
      </c>
      <c r="I134" s="253" t="s">
        <v>784</v>
      </c>
      <c r="J134" s="285"/>
      <c r="K134" s="495" t="s">
        <v>825</v>
      </c>
      <c r="L134" s="387" t="s">
        <v>814</v>
      </c>
      <c r="M134" s="253" t="s">
        <v>676</v>
      </c>
      <c r="N134" s="253" t="s">
        <v>677</v>
      </c>
      <c r="O134" s="164" t="s">
        <v>782</v>
      </c>
      <c r="P134" s="164" t="s">
        <v>783</v>
      </c>
      <c r="Q134" s="253" t="s">
        <v>784</v>
      </c>
      <c r="R134" s="133"/>
      <c r="S134" s="133"/>
      <c r="T134" s="133"/>
      <c r="U134" s="133"/>
      <c r="V134" s="133"/>
      <c r="W134" s="133"/>
      <c r="X134" s="133"/>
      <c r="Y134" s="133"/>
      <c r="Z134" s="133"/>
      <c r="AJ134" s="282"/>
      <c r="AK134" s="282"/>
      <c r="AL134" s="282"/>
      <c r="AM134" s="282"/>
      <c r="AN134" s="282"/>
    </row>
    <row r="135" spans="1:40" x14ac:dyDescent="0.35">
      <c r="A135" s="285"/>
      <c r="B135" s="325" t="str">
        <f>B70</f>
        <v>Pembrolizumab adjuvant Yr 1</v>
      </c>
      <c r="C135" s="149">
        <f>'Inputs and eligible population'!G110</f>
        <v>15</v>
      </c>
      <c r="D135" s="128">
        <f t="shared" ref="D135:I135" si="139">(D70*$C$135)/60</f>
        <v>0</v>
      </c>
      <c r="E135" s="128">
        <f t="shared" si="139"/>
        <v>212.33192569454059</v>
      </c>
      <c r="F135" s="128">
        <f t="shared" si="139"/>
        <v>321.56878386079887</v>
      </c>
      <c r="G135" s="128">
        <f t="shared" si="139"/>
        <v>378.78083618806028</v>
      </c>
      <c r="H135" s="128">
        <f t="shared" si="139"/>
        <v>491.6995303906433</v>
      </c>
      <c r="I135" s="128">
        <f t="shared" si="139"/>
        <v>551.60044732530446</v>
      </c>
      <c r="J135" s="285"/>
      <c r="K135" s="513">
        <f>'Inputs and eligible population'!M110</f>
        <v>46.77</v>
      </c>
      <c r="L135" s="286">
        <f>(D135*$K135)/1000</f>
        <v>0</v>
      </c>
      <c r="M135" s="286">
        <f t="shared" ref="M135" si="140">(E135*$K135)/1000</f>
        <v>9.9307641647336649</v>
      </c>
      <c r="N135" s="286">
        <f t="shared" ref="N135" si="141">(F135*$K135)/1000</f>
        <v>15.039772021169565</v>
      </c>
      <c r="O135" s="286">
        <f t="shared" ref="O135" si="142">(G135*$K135)/1000</f>
        <v>17.71557970851558</v>
      </c>
      <c r="P135" s="286">
        <f t="shared" ref="P135" si="143">(H135*$K135)/1000</f>
        <v>22.996787036370389</v>
      </c>
      <c r="Q135" s="286">
        <f t="shared" ref="Q135" si="144">(I135*$K135)/1000</f>
        <v>25.79835292140449</v>
      </c>
      <c r="R135" s="133"/>
      <c r="S135" s="133"/>
      <c r="T135" s="133"/>
      <c r="U135" s="133"/>
      <c r="V135" s="133"/>
      <c r="W135" s="133"/>
      <c r="X135" s="133"/>
      <c r="Y135" s="133"/>
      <c r="Z135" s="133"/>
      <c r="AJ135" s="282"/>
      <c r="AK135" s="282"/>
      <c r="AL135" s="282"/>
      <c r="AM135" s="282"/>
      <c r="AN135" s="282"/>
    </row>
    <row r="136" spans="1:40" x14ac:dyDescent="0.35">
      <c r="A136" s="285"/>
      <c r="B136" s="325" t="str">
        <f>B119</f>
        <v>Pembrolizumab adjuvant Yr 2</v>
      </c>
      <c r="C136" s="149">
        <f>'Inputs and eligible population'!G110</f>
        <v>15</v>
      </c>
      <c r="D136" s="128">
        <f>(D71*$C$136)/60</f>
        <v>0</v>
      </c>
      <c r="E136" s="128">
        <f>(E71*$C$136)/60</f>
        <v>85.887071067454627</v>
      </c>
      <c r="F136" s="128">
        <f>(F71*$C$136)/60</f>
        <v>130.07276650549167</v>
      </c>
      <c r="G136" s="128">
        <f>(G71*$C$136)/60</f>
        <v>153.21472025584461</v>
      </c>
      <c r="H136" s="128">
        <f>(H71*$C$136)/60</f>
        <v>198.88969768610292</v>
      </c>
      <c r="I136" s="128">
        <f>(I71*$C$135)/60</f>
        <v>223.11928206416815</v>
      </c>
      <c r="J136" s="285"/>
      <c r="K136" s="513">
        <f>'Inputs and eligible population'!M110</f>
        <v>46.77</v>
      </c>
      <c r="L136" s="286">
        <f>(D136*$K136)/1000</f>
        <v>0</v>
      </c>
      <c r="M136" s="286">
        <f t="shared" ref="M136" si="145">(E136*$K136)/1000</f>
        <v>4.0169383138248529</v>
      </c>
      <c r="N136" s="286">
        <f t="shared" ref="N136" si="146">(F136*$K136)/1000</f>
        <v>6.0835032894618459</v>
      </c>
      <c r="O136" s="286">
        <f t="shared" ref="O136" si="147">(G136*$K136)/1000</f>
        <v>7.1658524663658527</v>
      </c>
      <c r="P136" s="286">
        <f t="shared" ref="P136" si="148">(H136*$K136)/1000</f>
        <v>9.3020711607790343</v>
      </c>
      <c r="Q136" s="286">
        <f t="shared" ref="Q136" si="149">(I136*$K136)/1000</f>
        <v>10.435288822141144</v>
      </c>
      <c r="R136" s="133"/>
      <c r="S136" s="133"/>
      <c r="T136" s="133"/>
      <c r="U136" s="133"/>
      <c r="V136" s="133"/>
      <c r="W136" s="133"/>
      <c r="X136" s="133"/>
      <c r="Y136" s="133"/>
      <c r="Z136" s="133"/>
      <c r="AJ136" s="282"/>
      <c r="AK136" s="282"/>
      <c r="AL136" s="282"/>
      <c r="AM136" s="282"/>
      <c r="AN136" s="282"/>
    </row>
    <row r="137" spans="1:40" x14ac:dyDescent="0.35">
      <c r="A137" s="285"/>
      <c r="B137" s="279"/>
      <c r="C137" s="207"/>
      <c r="D137" s="185">
        <f t="shared" ref="D137:I137" si="150">SUM(D135:D136)</f>
        <v>0</v>
      </c>
      <c r="E137" s="185">
        <f t="shared" si="150"/>
        <v>298.21899676199519</v>
      </c>
      <c r="F137" s="185">
        <f t="shared" si="150"/>
        <v>451.64155036629052</v>
      </c>
      <c r="G137" s="185">
        <f t="shared" si="150"/>
        <v>531.99555644390489</v>
      </c>
      <c r="H137" s="185">
        <f t="shared" si="150"/>
        <v>690.58922807674617</v>
      </c>
      <c r="I137" s="185">
        <f t="shared" si="150"/>
        <v>774.7197293894726</v>
      </c>
      <c r="J137" s="285"/>
      <c r="K137" s="285"/>
      <c r="L137" s="287">
        <f t="shared" ref="L137:Q137" si="151">SUM(L135:L136)</f>
        <v>0</v>
      </c>
      <c r="M137" s="287">
        <f t="shared" si="151"/>
        <v>13.947702478558519</v>
      </c>
      <c r="N137" s="287">
        <f t="shared" si="151"/>
        <v>21.12327531063141</v>
      </c>
      <c r="O137" s="287">
        <f t="shared" si="151"/>
        <v>24.881432174881432</v>
      </c>
      <c r="P137" s="287">
        <f t="shared" si="151"/>
        <v>32.298858197149421</v>
      </c>
      <c r="Q137" s="287">
        <f t="shared" si="151"/>
        <v>36.233641743545633</v>
      </c>
      <c r="R137" s="133"/>
      <c r="S137" s="133"/>
      <c r="T137" s="133"/>
      <c r="U137" s="133"/>
      <c r="V137" s="133"/>
      <c r="W137" s="133"/>
      <c r="X137" s="133"/>
      <c r="Y137" s="133"/>
      <c r="Z137" s="133"/>
      <c r="AJ137" s="282"/>
      <c r="AK137" s="282"/>
      <c r="AL137" s="282"/>
      <c r="AM137" s="282"/>
      <c r="AN137" s="282"/>
    </row>
    <row r="138" spans="1:40" x14ac:dyDescent="0.35">
      <c r="A138" s="285"/>
      <c r="B138" s="300"/>
      <c r="C138" s="254"/>
      <c r="D138" s="281" t="s">
        <v>894</v>
      </c>
      <c r="E138" s="185">
        <f>E137-$D$137</f>
        <v>298.21899676199519</v>
      </c>
      <c r="F138" s="185">
        <f t="shared" ref="F138:I138" si="152">F137-$D$137</f>
        <v>451.64155036629052</v>
      </c>
      <c r="G138" s="185">
        <f t="shared" si="152"/>
        <v>531.99555644390489</v>
      </c>
      <c r="H138" s="185">
        <f t="shared" si="152"/>
        <v>690.58922807674617</v>
      </c>
      <c r="I138" s="185">
        <f t="shared" si="152"/>
        <v>774.7197293894726</v>
      </c>
      <c r="J138" s="285"/>
      <c r="K138" s="285"/>
      <c r="L138" s="485"/>
      <c r="M138" s="287">
        <f>M137-$L$129</f>
        <v>-59.72966111949129</v>
      </c>
      <c r="N138" s="287">
        <f t="shared" ref="N138:Q138" si="153">N137-$L$129</f>
        <v>-52.554088287418395</v>
      </c>
      <c r="O138" s="287">
        <f t="shared" si="153"/>
        <v>-48.795931423168376</v>
      </c>
      <c r="P138" s="287">
        <f t="shared" si="153"/>
        <v>-41.378505400900387</v>
      </c>
      <c r="Q138" s="287">
        <f t="shared" si="153"/>
        <v>-37.443721854504176</v>
      </c>
      <c r="R138" s="133"/>
      <c r="S138" s="133"/>
      <c r="T138" s="133"/>
      <c r="U138" s="133"/>
      <c r="V138" s="133"/>
      <c r="W138" s="133"/>
      <c r="X138" s="133"/>
      <c r="Y138" s="133"/>
      <c r="Z138" s="133"/>
      <c r="AJ138" s="282"/>
      <c r="AK138" s="282"/>
      <c r="AL138" s="282"/>
      <c r="AM138" s="282"/>
      <c r="AN138" s="282"/>
    </row>
    <row r="139" spans="1:40" x14ac:dyDescent="0.35">
      <c r="A139" s="285"/>
      <c r="B139" s="308"/>
      <c r="C139" s="221"/>
      <c r="D139" s="221"/>
      <c r="E139" s="221"/>
      <c r="F139" s="221"/>
      <c r="G139" s="221"/>
      <c r="H139" s="221"/>
      <c r="I139" s="221"/>
      <c r="J139" s="221"/>
      <c r="K139" s="221"/>
      <c r="L139" s="221"/>
      <c r="M139" s="221"/>
      <c r="N139" s="221"/>
      <c r="O139" s="221"/>
      <c r="P139" s="221"/>
      <c r="Q139" s="221"/>
      <c r="R139" s="133"/>
      <c r="S139" s="133"/>
      <c r="T139" s="133"/>
      <c r="U139" s="133"/>
      <c r="V139" s="133"/>
      <c r="W139" s="133"/>
      <c r="X139" s="133"/>
      <c r="Y139" s="133"/>
      <c r="Z139" s="133"/>
      <c r="AJ139" s="282"/>
      <c r="AK139" s="282"/>
      <c r="AL139" s="282"/>
      <c r="AM139" s="282"/>
      <c r="AN139" s="282"/>
    </row>
    <row r="140" spans="1:40" x14ac:dyDescent="0.35">
      <c r="B140"/>
    </row>
    <row r="141" spans="1:40" x14ac:dyDescent="0.35">
      <c r="B141"/>
    </row>
    <row r="142" spans="1:40" x14ac:dyDescent="0.35">
      <c r="B142"/>
    </row>
    <row r="143" spans="1:40" x14ac:dyDescent="0.35">
      <c r="B143"/>
    </row>
    <row r="144" spans="1:40" x14ac:dyDescent="0.35">
      <c r="B144"/>
    </row>
  </sheetData>
  <sheetProtection algorithmName="SHA-512" hashValue="EVb7OuDTcyzgkWBefpv0bjAwB8rWEVqCvSIEcJuuYcZlLuSQc1MQu75V9c+vjQ7L4x3+w0MnPIppUbyemtkMtg==" saltValue="lSRn6yvA0OqoCea3WK5xw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67"/>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92" t="str">
        <f>'Inputs and eligible population'!B1</f>
        <v xml:space="preserve">Pembrolizumab as neoadjuvant (with chemotherapy) and adjuvant (as monotherapy) treatment for resectable non-small-cell lung cancer </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5" customHeight="1" x14ac:dyDescent="0.35">
      <c r="B2" s="214" t="s">
        <v>836</v>
      </c>
      <c r="C2" s="127" t="s">
        <v>745</v>
      </c>
      <c r="D2" s="127" t="s">
        <v>745</v>
      </c>
      <c r="E2" s="127" t="s">
        <v>745</v>
      </c>
      <c r="F2" s="127" t="s">
        <v>745</v>
      </c>
      <c r="G2" s="127" t="s">
        <v>745</v>
      </c>
      <c r="H2" s="127" t="s">
        <v>745</v>
      </c>
      <c r="I2" s="127" t="s">
        <v>745</v>
      </c>
      <c r="J2" s="127" t="s">
        <v>745</v>
      </c>
      <c r="K2" s="127"/>
      <c r="L2" s="127" t="s">
        <v>745</v>
      </c>
      <c r="M2" s="127" t="s">
        <v>745</v>
      </c>
      <c r="N2" s="127" t="s">
        <v>745</v>
      </c>
      <c r="O2" s="127" t="s">
        <v>745</v>
      </c>
      <c r="P2" s="127" t="s">
        <v>745</v>
      </c>
      <c r="Q2" s="127"/>
      <c r="R2" s="127"/>
      <c r="S2" s="127"/>
      <c r="T2" s="127"/>
      <c r="U2" s="127"/>
      <c r="V2" s="127"/>
      <c r="W2" s="127"/>
      <c r="X2" s="127"/>
      <c r="Y2" s="127"/>
      <c r="Z2" s="127"/>
    </row>
    <row r="3" spans="1:40" ht="14.75" customHeight="1" x14ac:dyDescent="0.35">
      <c r="B3" s="130" t="s">
        <v>745</v>
      </c>
      <c r="C3" s="133" t="s">
        <v>745</v>
      </c>
      <c r="D3" s="133" t="s">
        <v>745</v>
      </c>
      <c r="E3" s="133" t="s">
        <v>745</v>
      </c>
      <c r="F3" s="133" t="s">
        <v>745</v>
      </c>
      <c r="G3" s="133" t="s">
        <v>745</v>
      </c>
      <c r="H3" s="133" t="s">
        <v>745</v>
      </c>
      <c r="I3" s="133" t="s">
        <v>745</v>
      </c>
      <c r="J3" s="133" t="s">
        <v>745</v>
      </c>
      <c r="K3" s="133"/>
      <c r="L3" s="133" t="s">
        <v>745</v>
      </c>
      <c r="M3" s="133" t="s">
        <v>745</v>
      </c>
      <c r="N3" s="133" t="s">
        <v>745</v>
      </c>
      <c r="O3" s="133" t="s">
        <v>745</v>
      </c>
      <c r="P3" s="133" t="s">
        <v>745</v>
      </c>
      <c r="Q3" s="133"/>
      <c r="R3" s="133"/>
      <c r="S3" s="127"/>
      <c r="T3" s="127"/>
      <c r="U3" s="127"/>
      <c r="V3" s="127"/>
      <c r="W3" s="127"/>
      <c r="X3" s="127"/>
      <c r="Y3" s="133"/>
      <c r="Z3" s="133"/>
    </row>
    <row r="4" spans="1:40" ht="14.75" customHeight="1" x14ac:dyDescent="0.35">
      <c r="B4" t="s">
        <v>821</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75" customHeight="1" x14ac:dyDescent="0.35">
      <c r="B5" s="5"/>
      <c r="F5" s="133"/>
      <c r="G5" s="133"/>
      <c r="H5" s="133"/>
      <c r="I5" s="133"/>
      <c r="J5" s="133"/>
      <c r="K5" s="133"/>
      <c r="L5" s="133"/>
      <c r="M5" s="133"/>
      <c r="N5" s="133"/>
      <c r="O5" s="133"/>
      <c r="P5" s="133"/>
      <c r="Q5" s="133"/>
      <c r="R5" s="133"/>
      <c r="S5" s="127"/>
      <c r="T5" s="127"/>
      <c r="U5" s="127"/>
      <c r="V5" s="127"/>
      <c r="W5" s="127"/>
      <c r="X5" s="127"/>
      <c r="Y5" s="133"/>
      <c r="Z5" s="133"/>
    </row>
    <row r="6" spans="1:40" ht="43.5" x14ac:dyDescent="0.35">
      <c r="B6" s="255" t="s">
        <v>785</v>
      </c>
      <c r="C6" s="209"/>
      <c r="D6" s="387" t="s">
        <v>814</v>
      </c>
      <c r="E6" s="253" t="s">
        <v>676</v>
      </c>
      <c r="F6" s="253" t="s">
        <v>677</v>
      </c>
      <c r="G6" s="164" t="s">
        <v>782</v>
      </c>
      <c r="H6" s="164" t="s">
        <v>783</v>
      </c>
      <c r="I6" s="253" t="s">
        <v>784</v>
      </c>
      <c r="L6" s="387" t="s">
        <v>814</v>
      </c>
      <c r="M6" s="253" t="s">
        <v>676</v>
      </c>
      <c r="N6" s="253" t="s">
        <v>677</v>
      </c>
      <c r="O6" s="164" t="s">
        <v>782</v>
      </c>
      <c r="P6" s="164" t="s">
        <v>783</v>
      </c>
      <c r="Q6" s="253" t="s">
        <v>784</v>
      </c>
      <c r="R6" s="133"/>
      <c r="S6" s="127"/>
      <c r="T6" s="127"/>
      <c r="U6" s="127"/>
      <c r="V6" s="127"/>
      <c r="W6" s="127"/>
      <c r="X6" s="127"/>
      <c r="Y6" s="133"/>
      <c r="Z6" s="133"/>
      <c r="AJ6" s="282"/>
      <c r="AK6" s="282"/>
      <c r="AL6" s="282"/>
      <c r="AM6" s="282"/>
      <c r="AN6" s="282"/>
    </row>
    <row r="7" spans="1:40" ht="14.75" customHeight="1" x14ac:dyDescent="0.35">
      <c r="B7" s="223" t="s">
        <v>785</v>
      </c>
      <c r="C7" s="167"/>
      <c r="D7" s="355">
        <f>'Inputs and eligible population'!F49</f>
        <v>2250.4463666590245</v>
      </c>
      <c r="E7" s="355">
        <f>'Inputs and eligible population'!G49</f>
        <v>2272.1447372342491</v>
      </c>
      <c r="F7" s="355">
        <f>'Inputs and eligible population'!H49</f>
        <v>2294.052319320841</v>
      </c>
      <c r="G7" s="355">
        <f>'Inputs and eligible population'!I49</f>
        <v>2316.1711300959123</v>
      </c>
      <c r="H7" s="355">
        <f>'Inputs and eligible population'!J49</f>
        <v>2338.5032061858074</v>
      </c>
      <c r="I7" s="355">
        <f>'Inputs and eligible population'!K49</f>
        <v>2361.0506038536309</v>
      </c>
      <c r="P7" s="133"/>
      <c r="Q7" s="133"/>
      <c r="R7" s="133"/>
      <c r="S7" s="127"/>
      <c r="T7" s="127"/>
      <c r="U7" s="127"/>
      <c r="V7" s="127"/>
      <c r="W7" s="127"/>
      <c r="X7" s="127"/>
      <c r="Y7" s="133"/>
      <c r="Z7" s="133"/>
      <c r="AJ7" s="282"/>
      <c r="AK7" s="282"/>
      <c r="AL7" s="282"/>
      <c r="AM7" s="282"/>
      <c r="AN7" s="282"/>
    </row>
    <row r="8" spans="1:40" ht="14.75" customHeight="1" x14ac:dyDescent="0.35">
      <c r="B8"/>
      <c r="P8" s="133"/>
      <c r="Q8" s="133"/>
      <c r="R8" s="133"/>
      <c r="S8" s="127"/>
      <c r="T8" s="127"/>
      <c r="U8" s="127"/>
      <c r="V8" s="127"/>
      <c r="W8" s="127"/>
      <c r="X8" s="127"/>
      <c r="Y8" s="133"/>
      <c r="Z8" s="133"/>
      <c r="AJ8" s="282"/>
      <c r="AK8" s="282"/>
      <c r="AL8" s="282"/>
      <c r="AM8" s="282"/>
      <c r="AN8" s="282"/>
    </row>
    <row r="9" spans="1:40" ht="14.75" customHeight="1" x14ac:dyDescent="0.35">
      <c r="B9" s="275" t="s">
        <v>822</v>
      </c>
      <c r="C9" s="394"/>
      <c r="D9" s="394"/>
      <c r="E9" s="395"/>
      <c r="F9" s="394"/>
      <c r="G9" s="396"/>
      <c r="H9" s="397"/>
      <c r="I9" s="397"/>
      <c r="J9" s="520"/>
      <c r="K9" s="519"/>
      <c r="L9" s="648" t="s">
        <v>789</v>
      </c>
      <c r="M9" s="648" t="s">
        <v>789</v>
      </c>
      <c r="N9" s="648" t="s">
        <v>789</v>
      </c>
      <c r="O9" s="648" t="s">
        <v>789</v>
      </c>
      <c r="P9" s="648" t="s">
        <v>789</v>
      </c>
      <c r="Q9" s="648" t="s">
        <v>789</v>
      </c>
      <c r="R9" s="133"/>
      <c r="S9" s="127"/>
      <c r="T9" s="127"/>
      <c r="U9" s="127"/>
      <c r="V9" s="127"/>
      <c r="W9" s="127"/>
      <c r="X9" s="127"/>
      <c r="Y9" s="133"/>
      <c r="Z9" s="133"/>
      <c r="AJ9" s="282"/>
      <c r="AK9" s="282"/>
      <c r="AL9" s="282"/>
      <c r="AM9" s="282"/>
      <c r="AN9" s="282"/>
    </row>
    <row r="10" spans="1:40" ht="14.75" customHeight="1" x14ac:dyDescent="0.35">
      <c r="A10" s="284"/>
      <c r="B10" s="401" t="str">
        <f>B20</f>
        <v>First attendances - number of appointments (neoadjuvant setting)</v>
      </c>
      <c r="C10" s="360"/>
      <c r="D10" s="389">
        <f>D24</f>
        <v>2250.4463666590245</v>
      </c>
      <c r="E10" s="389">
        <f t="shared" ref="E10:I10" si="0">E24</f>
        <v>2272.1447372342491</v>
      </c>
      <c r="F10" s="389">
        <f t="shared" si="0"/>
        <v>2294.052319320841</v>
      </c>
      <c r="G10" s="389">
        <f t="shared" si="0"/>
        <v>2316.1711300959123</v>
      </c>
      <c r="H10" s="389">
        <f t="shared" si="0"/>
        <v>2338.5032061858074</v>
      </c>
      <c r="I10" s="389">
        <f t="shared" si="0"/>
        <v>2361.0506038536309</v>
      </c>
      <c r="L10" s="286">
        <f>L24</f>
        <v>717.89239096422875</v>
      </c>
      <c r="M10" s="286">
        <f t="shared" ref="M10:Q10" si="1">M24</f>
        <v>724.81417117772548</v>
      </c>
      <c r="N10" s="286">
        <f t="shared" si="1"/>
        <v>731.80268986334818</v>
      </c>
      <c r="O10" s="286">
        <f t="shared" si="1"/>
        <v>738.85859050059605</v>
      </c>
      <c r="P10" s="286">
        <f t="shared" si="1"/>
        <v>745.98252277327265</v>
      </c>
      <c r="Q10" s="286">
        <f t="shared" si="1"/>
        <v>753.17514262930831</v>
      </c>
      <c r="R10" s="133"/>
      <c r="S10" s="133"/>
      <c r="T10" s="133"/>
      <c r="U10" s="133"/>
      <c r="V10" s="133"/>
      <c r="W10" s="133"/>
      <c r="X10" s="133"/>
      <c r="Y10" s="133"/>
      <c r="Z10" s="133"/>
      <c r="AJ10" s="282"/>
      <c r="AK10" s="282"/>
      <c r="AL10" s="282"/>
      <c r="AM10" s="282"/>
      <c r="AN10" s="282"/>
    </row>
    <row r="11" spans="1:40" ht="14.75" customHeight="1" x14ac:dyDescent="0.35">
      <c r="A11" s="284"/>
      <c r="B11" s="401" t="str">
        <f>B27</f>
        <v>Follow up attendances - number of appointments (neoadjuvant setting)</v>
      </c>
      <c r="C11" s="360"/>
      <c r="D11" s="389">
        <f>D31</f>
        <v>0</v>
      </c>
      <c r="E11" s="389">
        <f t="shared" ref="E11:I11" si="2">E31</f>
        <v>0</v>
      </c>
      <c r="F11" s="389">
        <f t="shared" si="2"/>
        <v>0</v>
      </c>
      <c r="G11" s="389">
        <f t="shared" si="2"/>
        <v>0</v>
      </c>
      <c r="H11" s="389">
        <f t="shared" si="2"/>
        <v>0</v>
      </c>
      <c r="I11" s="389">
        <f t="shared" si="2"/>
        <v>0</v>
      </c>
      <c r="L11" s="286">
        <f>L31</f>
        <v>0</v>
      </c>
      <c r="M11" s="286">
        <f t="shared" ref="M11:Q11" si="3">M31</f>
        <v>0</v>
      </c>
      <c r="N11" s="286">
        <f t="shared" si="3"/>
        <v>0</v>
      </c>
      <c r="O11" s="286">
        <f t="shared" si="3"/>
        <v>0</v>
      </c>
      <c r="P11" s="286">
        <f t="shared" si="3"/>
        <v>0</v>
      </c>
      <c r="Q11" s="286">
        <f t="shared" si="3"/>
        <v>0</v>
      </c>
      <c r="R11" s="133"/>
      <c r="S11" s="133"/>
      <c r="T11" s="133"/>
      <c r="U11" s="133"/>
      <c r="V11" s="133"/>
      <c r="W11" s="133"/>
      <c r="X11" s="133"/>
      <c r="Y11" s="133"/>
      <c r="Z11" s="133"/>
      <c r="AJ11" s="282"/>
      <c r="AK11" s="282"/>
      <c r="AL11" s="282"/>
      <c r="AM11" s="282"/>
      <c r="AN11" s="282"/>
    </row>
    <row r="12" spans="1:40" ht="14.75" customHeight="1" x14ac:dyDescent="0.35">
      <c r="A12" s="284"/>
      <c r="B12" s="401" t="str">
        <f>B34</f>
        <v>First attendances - number of appointments (adjuvant setting)</v>
      </c>
      <c r="C12" s="360"/>
      <c r="D12" s="389">
        <f>D38</f>
        <v>0</v>
      </c>
      <c r="E12" s="389">
        <f t="shared" ref="E12:I12" si="4">E38</f>
        <v>323.55341058215708</v>
      </c>
      <c r="F12" s="389">
        <f t="shared" si="4"/>
        <v>490.00957540693162</v>
      </c>
      <c r="G12" s="389">
        <f t="shared" si="4"/>
        <v>577.18984561990135</v>
      </c>
      <c r="H12" s="389">
        <f t="shared" si="4"/>
        <v>749.25642726193269</v>
      </c>
      <c r="I12" s="389">
        <f t="shared" si="4"/>
        <v>840.53401497189259</v>
      </c>
      <c r="L12" s="286">
        <f>L38</f>
        <v>0</v>
      </c>
      <c r="M12" s="286">
        <f t="shared" ref="M12:Q12" si="5">M38</f>
        <v>103.21353797570811</v>
      </c>
      <c r="N12" s="286">
        <f t="shared" si="5"/>
        <v>156.31305455481117</v>
      </c>
      <c r="O12" s="286">
        <f t="shared" si="5"/>
        <v>184.12356075274855</v>
      </c>
      <c r="P12" s="286">
        <f t="shared" si="5"/>
        <v>239.01280029655652</v>
      </c>
      <c r="Q12" s="286">
        <f t="shared" si="5"/>
        <v>268.13035077603371</v>
      </c>
      <c r="R12" s="133"/>
      <c r="S12" s="133"/>
      <c r="T12" s="133"/>
      <c r="U12" s="133"/>
      <c r="V12" s="133"/>
      <c r="W12" s="133"/>
      <c r="X12" s="133"/>
      <c r="Y12" s="133"/>
      <c r="Z12" s="133"/>
      <c r="AJ12" s="282"/>
      <c r="AK12" s="282"/>
      <c r="AL12" s="282"/>
      <c r="AM12" s="282"/>
      <c r="AN12" s="282"/>
    </row>
    <row r="13" spans="1:40" ht="14.75" customHeight="1" x14ac:dyDescent="0.35">
      <c r="A13" s="284"/>
      <c r="B13" s="401" t="str">
        <f>B27</f>
        <v>Follow up attendances - number of appointments (neoadjuvant setting)</v>
      </c>
      <c r="C13" s="360"/>
      <c r="D13" s="389">
        <f>D44</f>
        <v>0</v>
      </c>
      <c r="E13" s="389">
        <f t="shared" ref="E13:I13" si="6">E44</f>
        <v>0</v>
      </c>
      <c r="F13" s="389">
        <f t="shared" si="6"/>
        <v>0</v>
      </c>
      <c r="G13" s="389">
        <f t="shared" si="6"/>
        <v>0</v>
      </c>
      <c r="H13" s="389">
        <f t="shared" si="6"/>
        <v>0</v>
      </c>
      <c r="I13" s="389">
        <f t="shared" si="6"/>
        <v>0</v>
      </c>
      <c r="L13" s="286">
        <f>L44</f>
        <v>0</v>
      </c>
      <c r="M13" s="286">
        <f t="shared" ref="M13:Q13" si="7">M44</f>
        <v>0</v>
      </c>
      <c r="N13" s="286">
        <f t="shared" si="7"/>
        <v>0</v>
      </c>
      <c r="O13" s="286">
        <f t="shared" si="7"/>
        <v>0</v>
      </c>
      <c r="P13" s="286">
        <f t="shared" si="7"/>
        <v>0</v>
      </c>
      <c r="Q13" s="286">
        <f t="shared" si="7"/>
        <v>0</v>
      </c>
      <c r="R13" s="133"/>
      <c r="S13" s="133"/>
      <c r="T13" s="133"/>
      <c r="U13" s="133"/>
      <c r="V13" s="133"/>
      <c r="W13" s="133"/>
      <c r="X13" s="133"/>
      <c r="Y13" s="133"/>
      <c r="Z13" s="133"/>
      <c r="AJ13" s="282"/>
      <c r="AK13" s="282"/>
      <c r="AL13" s="282"/>
      <c r="AM13" s="282"/>
      <c r="AN13" s="282"/>
    </row>
    <row r="14" spans="1:40" ht="14.75" customHeight="1" x14ac:dyDescent="0.35">
      <c r="A14" s="290"/>
      <c r="B14" s="398" t="str">
        <f>B49</f>
        <v>Administrations (IV)- number of cycles (neoadjuvant)</v>
      </c>
      <c r="C14" s="384"/>
      <c r="D14" s="383">
        <f>D53</f>
        <v>6301.2498266452685</v>
      </c>
      <c r="E14" s="383">
        <f t="shared" ref="E14:I14" si="8">E53</f>
        <v>6725.5484222133773</v>
      </c>
      <c r="F14" s="383">
        <f t="shared" si="8"/>
        <v>6973.9190507353551</v>
      </c>
      <c r="G14" s="383">
        <f t="shared" si="8"/>
        <v>7133.8070806954101</v>
      </c>
      <c r="H14" s="383">
        <f t="shared" si="8"/>
        <v>7389.670131547151</v>
      </c>
      <c r="I14" s="383">
        <f t="shared" si="8"/>
        <v>7555.3619323316179</v>
      </c>
      <c r="L14" s="286">
        <f>L53</f>
        <v>1757.7336391426979</v>
      </c>
      <c r="M14" s="286">
        <f t="shared" ref="M14:Q14" si="9">M53</f>
        <v>2231.9177779483593</v>
      </c>
      <c r="N14" s="286">
        <f t="shared" si="9"/>
        <v>2484.2599968936174</v>
      </c>
      <c r="O14" s="286">
        <f t="shared" si="9"/>
        <v>2624.7367752408895</v>
      </c>
      <c r="P14" s="286">
        <f t="shared" si="9"/>
        <v>2885.3390297706178</v>
      </c>
      <c r="Q14" s="286">
        <f t="shared" si="9"/>
        <v>3031.9407718880366</v>
      </c>
      <c r="R14" s="133"/>
      <c r="S14" s="133"/>
      <c r="T14" s="133"/>
      <c r="U14" s="133"/>
      <c r="V14" s="133"/>
      <c r="W14" s="133"/>
      <c r="X14" s="133"/>
      <c r="Y14" s="133"/>
      <c r="Z14" s="133"/>
      <c r="AJ14" s="282"/>
      <c r="AK14" s="282"/>
      <c r="AL14" s="282"/>
      <c r="AM14" s="282"/>
      <c r="AN14" s="282"/>
    </row>
    <row r="15" spans="1:40" ht="14.75" customHeight="1" x14ac:dyDescent="0.35">
      <c r="A15" s="290"/>
      <c r="B15" s="756" t="str">
        <f>B56</f>
        <v>Administrations (IV) - number of cycles (adjuvant)</v>
      </c>
      <c r="C15" s="384"/>
      <c r="D15" s="383">
        <f>D60</f>
        <v>0</v>
      </c>
      <c r="E15" s="383">
        <f t="shared" ref="E15:I15" si="10">E60</f>
        <v>1192.8759870479807</v>
      </c>
      <c r="F15" s="383">
        <f t="shared" si="10"/>
        <v>1806.5662014651621</v>
      </c>
      <c r="G15" s="383">
        <f t="shared" si="10"/>
        <v>2127.9822257756196</v>
      </c>
      <c r="H15" s="383">
        <f t="shared" si="10"/>
        <v>2762.3569123069847</v>
      </c>
      <c r="I15" s="383">
        <f t="shared" si="10"/>
        <v>3098.8789175578904</v>
      </c>
      <c r="L15" s="286">
        <f>L60</f>
        <v>0</v>
      </c>
      <c r="M15" s="286">
        <f t="shared" ref="M15:Q15" si="11">M60</f>
        <v>205.17466977225274</v>
      </c>
      <c r="N15" s="286">
        <f t="shared" si="11"/>
        <v>310.72938665200792</v>
      </c>
      <c r="O15" s="286">
        <f t="shared" si="11"/>
        <v>366.01294283340656</v>
      </c>
      <c r="P15" s="286">
        <f t="shared" si="11"/>
        <v>475.1253889168014</v>
      </c>
      <c r="Q15" s="286">
        <f t="shared" si="11"/>
        <v>533.00717381995719</v>
      </c>
      <c r="R15" s="133"/>
      <c r="S15" s="133"/>
      <c r="T15" s="133"/>
      <c r="U15" s="133"/>
      <c r="V15" s="133"/>
      <c r="W15" s="133"/>
      <c r="X15" s="133"/>
      <c r="Y15" s="133"/>
      <c r="Z15" s="133"/>
      <c r="AJ15" s="282"/>
      <c r="AK15" s="282"/>
      <c r="AL15" s="282"/>
      <c r="AM15" s="282"/>
      <c r="AN15" s="282"/>
    </row>
    <row r="16" spans="1:40" ht="14.75" customHeight="1" x14ac:dyDescent="0.35">
      <c r="B16" s="245"/>
      <c r="D16" s="282"/>
      <c r="F16" s="133"/>
      <c r="G16" s="133"/>
      <c r="H16" s="133"/>
      <c r="I16" s="133"/>
      <c r="J16" s="133"/>
      <c r="K16" s="133"/>
      <c r="L16" s="287">
        <f t="shared" ref="L16:Q16" si="12">SUM(L10:L15)</f>
        <v>2475.6260301069269</v>
      </c>
      <c r="M16" s="287">
        <f t="shared" si="12"/>
        <v>3265.1201568740457</v>
      </c>
      <c r="N16" s="287">
        <f t="shared" si="12"/>
        <v>3683.105127963785</v>
      </c>
      <c r="O16" s="287">
        <f t="shared" si="12"/>
        <v>3913.7318693276407</v>
      </c>
      <c r="P16" s="287">
        <f t="shared" si="12"/>
        <v>4345.4597417572486</v>
      </c>
      <c r="Q16" s="287">
        <f t="shared" si="12"/>
        <v>4586.2534391133358</v>
      </c>
      <c r="R16" s="133"/>
      <c r="S16" s="133"/>
      <c r="T16" s="133"/>
      <c r="U16" s="133"/>
      <c r="V16" s="133"/>
      <c r="W16" s="133"/>
      <c r="X16" s="133"/>
      <c r="Y16" s="133"/>
      <c r="Z16" s="133"/>
    </row>
    <row r="17" spans="1:40" x14ac:dyDescent="0.35">
      <c r="B17" s="303"/>
      <c r="C17" s="303"/>
      <c r="D17" s="303"/>
      <c r="E17" s="303"/>
      <c r="F17" s="303"/>
      <c r="G17" s="303"/>
      <c r="H17" s="303"/>
      <c r="I17" s="303"/>
      <c r="J17" s="303"/>
      <c r="K17" s="303"/>
      <c r="L17" s="303"/>
      <c r="P17" s="133"/>
      <c r="Q17" s="133"/>
      <c r="R17" s="133"/>
      <c r="S17" s="133"/>
      <c r="V17" s="133"/>
      <c r="W17" s="133"/>
      <c r="X17" s="133"/>
      <c r="Y17" s="133"/>
      <c r="Z17" s="133"/>
      <c r="AJ17" s="282"/>
      <c r="AK17" s="282"/>
      <c r="AL17" s="282"/>
      <c r="AM17" s="282"/>
      <c r="AN17" s="282"/>
    </row>
    <row r="18" spans="1:40" x14ac:dyDescent="0.35">
      <c r="B18" s="347" t="s">
        <v>823</v>
      </c>
      <c r="C18" s="348"/>
      <c r="D18" s="348"/>
      <c r="E18" s="349"/>
      <c r="F18" s="348"/>
      <c r="G18" s="350"/>
      <c r="H18" s="351"/>
      <c r="I18" s="351"/>
      <c r="J18" s="351"/>
      <c r="K18" s="351"/>
      <c r="L18" s="351"/>
      <c r="M18" s="351"/>
      <c r="N18" s="351"/>
      <c r="O18" s="351"/>
      <c r="P18" s="351"/>
      <c r="Q18" s="352"/>
      <c r="R18" s="133"/>
      <c r="S18" s="133"/>
      <c r="T18" s="133"/>
      <c r="U18" s="133"/>
      <c r="V18" s="133"/>
      <c r="W18" s="133"/>
      <c r="X18" s="133"/>
      <c r="Y18" s="133"/>
      <c r="Z18" s="133"/>
      <c r="AJ18" s="282"/>
      <c r="AK18" s="282"/>
      <c r="AL18" s="282"/>
      <c r="AM18" s="282"/>
      <c r="AN18" s="282"/>
    </row>
    <row r="19" spans="1:40" x14ac:dyDescent="0.35">
      <c r="A19" s="284"/>
      <c r="B19" s="505" t="s">
        <v>994</v>
      </c>
      <c r="C19" s="498"/>
      <c r="D19" s="499"/>
      <c r="E19" s="500"/>
      <c r="F19" s="284"/>
      <c r="G19" s="284"/>
      <c r="H19" s="219"/>
      <c r="I19" s="219"/>
      <c r="J19" s="219"/>
      <c r="K19" s="219"/>
      <c r="L19" s="219"/>
      <c r="M19" s="219"/>
      <c r="N19" s="219"/>
      <c r="O19" s="219"/>
      <c r="P19" s="219"/>
      <c r="Q19" s="219"/>
      <c r="R19" s="133"/>
      <c r="S19" s="133"/>
      <c r="T19" s="133"/>
      <c r="U19" s="133"/>
      <c r="V19" s="133"/>
      <c r="W19" s="133"/>
      <c r="X19" s="133"/>
      <c r="Y19" s="133"/>
      <c r="Z19" s="133"/>
      <c r="AJ19" s="282"/>
      <c r="AK19" s="282"/>
      <c r="AL19" s="282"/>
      <c r="AM19" s="282"/>
      <c r="AN19" s="282"/>
    </row>
    <row r="20" spans="1:40" x14ac:dyDescent="0.35">
      <c r="A20" s="496"/>
      <c r="B20" s="501" t="s">
        <v>995</v>
      </c>
      <c r="C20" s="369"/>
      <c r="D20" s="369"/>
      <c r="E20" s="369"/>
      <c r="F20" s="369"/>
      <c r="G20" s="369"/>
      <c r="H20" s="369"/>
      <c r="I20" s="218"/>
      <c r="J20" s="219"/>
      <c r="K20" s="219"/>
      <c r="L20" s="219"/>
      <c r="M20" s="219"/>
      <c r="N20" s="219"/>
      <c r="O20" s="219"/>
      <c r="P20" s="219"/>
      <c r="Q20" s="219"/>
      <c r="R20" s="133"/>
      <c r="S20" s="133"/>
      <c r="T20" s="133"/>
      <c r="U20" s="133"/>
      <c r="V20" s="133"/>
      <c r="W20" s="133"/>
      <c r="X20" s="133"/>
      <c r="Y20" s="133"/>
      <c r="Z20" s="133"/>
      <c r="AJ20" s="282"/>
      <c r="AK20" s="282"/>
      <c r="AL20" s="282"/>
      <c r="AM20" s="282"/>
      <c r="AN20" s="282"/>
    </row>
    <row r="21" spans="1:40" ht="43.5" x14ac:dyDescent="0.35">
      <c r="A21" s="496"/>
      <c r="B21" s="302" t="s">
        <v>771</v>
      </c>
      <c r="C21" s="165" t="s">
        <v>824</v>
      </c>
      <c r="D21" s="387" t="s">
        <v>814</v>
      </c>
      <c r="E21" s="253" t="s">
        <v>676</v>
      </c>
      <c r="F21" s="253" t="s">
        <v>677</v>
      </c>
      <c r="G21" s="164" t="s">
        <v>782</v>
      </c>
      <c r="H21" s="164" t="s">
        <v>783</v>
      </c>
      <c r="I21" s="253" t="s">
        <v>784</v>
      </c>
      <c r="J21" s="504"/>
      <c r="K21" s="495" t="s">
        <v>835</v>
      </c>
      <c r="L21" s="387" t="s">
        <v>814</v>
      </c>
      <c r="M21" s="483" t="s">
        <v>676</v>
      </c>
      <c r="N21" s="483" t="s">
        <v>677</v>
      </c>
      <c r="O21" s="388" t="s">
        <v>782</v>
      </c>
      <c r="P21" s="388" t="s">
        <v>783</v>
      </c>
      <c r="Q21" s="483" t="s">
        <v>784</v>
      </c>
      <c r="R21" s="133"/>
      <c r="S21" s="133"/>
      <c r="T21" s="133"/>
      <c r="U21" s="133"/>
      <c r="V21" s="133"/>
      <c r="W21" s="133"/>
      <c r="X21" s="133"/>
      <c r="Y21" s="133"/>
      <c r="Z21" s="133"/>
      <c r="AJ21" s="282"/>
      <c r="AK21" s="282"/>
      <c r="AL21" s="282"/>
      <c r="AM21" s="282"/>
      <c r="AN21" s="282"/>
    </row>
    <row r="22" spans="1:40" x14ac:dyDescent="0.35">
      <c r="A22" s="496"/>
      <c r="B22" s="325" t="str">
        <f>'Inputs and eligible population'!F102</f>
        <v>Pembrolizumab (neoadjuvant)</v>
      </c>
      <c r="C22" s="149">
        <f>'Inputs and eligible population'!F103</f>
        <v>1</v>
      </c>
      <c r="D22" s="128">
        <f>'Financial impact (cash)'!D15*$C22</f>
        <v>0</v>
      </c>
      <c r="E22" s="128">
        <f>'Financial impact (cash)'!E15*$C22</f>
        <v>454.42894744684986</v>
      </c>
      <c r="F22" s="128">
        <f>'Financial impact (cash)'!F15*$C22</f>
        <v>688.21569579625225</v>
      </c>
      <c r="G22" s="128">
        <f>'Financial impact (cash)'!G15*$C22</f>
        <v>810.65989553356928</v>
      </c>
      <c r="H22" s="128">
        <f>'Financial impact (cash)'!H15*$C22</f>
        <v>1052.3264427836134</v>
      </c>
      <c r="I22" s="128">
        <f>'Financial impact (cash)'!I15*$C22</f>
        <v>1180.5253019268155</v>
      </c>
      <c r="J22" s="504"/>
      <c r="K22" s="510">
        <f>'Unit costs'!N70</f>
        <v>319</v>
      </c>
      <c r="L22" s="286">
        <f>(D22*$K$22)/1000</f>
        <v>0</v>
      </c>
      <c r="M22" s="286">
        <f t="shared" ref="M22:Q22" si="13">(E22*$K$22)/1000</f>
        <v>144.9628342355451</v>
      </c>
      <c r="N22" s="286">
        <f t="shared" si="13"/>
        <v>219.54080695900447</v>
      </c>
      <c r="O22" s="286">
        <f t="shared" si="13"/>
        <v>258.60050667520858</v>
      </c>
      <c r="P22" s="286">
        <f t="shared" si="13"/>
        <v>335.69213524797266</v>
      </c>
      <c r="Q22" s="286">
        <f t="shared" si="13"/>
        <v>376.58757131465416</v>
      </c>
      <c r="R22" s="133"/>
      <c r="S22" s="133"/>
      <c r="T22" s="133"/>
      <c r="U22" s="133"/>
      <c r="V22" s="133"/>
      <c r="W22" s="133"/>
      <c r="X22" s="133"/>
      <c r="Y22" s="133"/>
      <c r="Z22" s="133"/>
      <c r="AJ22" s="282"/>
      <c r="AK22" s="282"/>
      <c r="AL22" s="282"/>
      <c r="AM22" s="282"/>
      <c r="AN22" s="282"/>
    </row>
    <row r="23" spans="1:40" x14ac:dyDescent="0.35">
      <c r="A23" s="496"/>
      <c r="B23" s="325" t="str">
        <f>'Inputs and eligible population'!H102</f>
        <v>Nivolumab (neoadjuvant)</v>
      </c>
      <c r="C23" s="149">
        <f>'Inputs and eligible population'!H103</f>
        <v>1</v>
      </c>
      <c r="D23" s="128">
        <f>'Financial impact (cash)'!D16*$C23</f>
        <v>2250.4463666590245</v>
      </c>
      <c r="E23" s="128">
        <f>'Financial impact (cash)'!E16*$C23</f>
        <v>1817.7157897873994</v>
      </c>
      <c r="F23" s="128">
        <f>'Financial impact (cash)'!F16*$C23</f>
        <v>1605.8366235245885</v>
      </c>
      <c r="G23" s="128">
        <f>'Financial impact (cash)'!G16*$C23</f>
        <v>1505.5112345623431</v>
      </c>
      <c r="H23" s="128">
        <f>'Financial impact (cash)'!H16*$C23</f>
        <v>1286.1767634021942</v>
      </c>
      <c r="I23" s="128">
        <f>'Financial impact (cash)'!I16*$C23</f>
        <v>1180.5253019268155</v>
      </c>
      <c r="J23" s="504"/>
      <c r="K23" s="510">
        <f>'Unit costs'!N70</f>
        <v>319</v>
      </c>
      <c r="L23" s="286">
        <f>(D23*$K$23)/1000</f>
        <v>717.89239096422875</v>
      </c>
      <c r="M23" s="286">
        <f t="shared" ref="M23:Q23" si="14">(E23*$K$23)/1000</f>
        <v>579.85133694218041</v>
      </c>
      <c r="N23" s="286">
        <f t="shared" si="14"/>
        <v>512.26188290434368</v>
      </c>
      <c r="O23" s="286">
        <f t="shared" si="14"/>
        <v>480.25808382538747</v>
      </c>
      <c r="P23" s="286">
        <f t="shared" si="14"/>
        <v>410.29038752529999</v>
      </c>
      <c r="Q23" s="286">
        <f t="shared" si="14"/>
        <v>376.58757131465416</v>
      </c>
      <c r="R23" s="133"/>
      <c r="S23" s="133"/>
      <c r="T23" s="133"/>
      <c r="U23" s="133"/>
      <c r="V23" s="133"/>
      <c r="W23" s="133"/>
      <c r="X23" s="133"/>
      <c r="Y23" s="133"/>
      <c r="Z23" s="133"/>
      <c r="AJ23" s="282"/>
      <c r="AK23" s="282"/>
      <c r="AL23" s="282"/>
      <c r="AM23" s="282"/>
      <c r="AN23" s="282"/>
    </row>
    <row r="24" spans="1:40" x14ac:dyDescent="0.35">
      <c r="A24" s="496"/>
      <c r="B24" s="465"/>
      <c r="C24" s="279"/>
      <c r="D24" s="185">
        <f t="shared" ref="D24:I24" si="15">SUM(D22:D23)</f>
        <v>2250.4463666590245</v>
      </c>
      <c r="E24" s="185">
        <f t="shared" si="15"/>
        <v>2272.1447372342491</v>
      </c>
      <c r="F24" s="185">
        <f t="shared" si="15"/>
        <v>2294.052319320841</v>
      </c>
      <c r="G24" s="185">
        <f t="shared" si="15"/>
        <v>2316.1711300959123</v>
      </c>
      <c r="H24" s="185">
        <f t="shared" si="15"/>
        <v>2338.5032061858074</v>
      </c>
      <c r="I24" s="185">
        <f t="shared" si="15"/>
        <v>2361.0506038536309</v>
      </c>
      <c r="J24" s="504"/>
      <c r="K24" s="219"/>
      <c r="L24" s="287">
        <f t="shared" ref="L24:Q24" si="16">SUM(L22:L23)</f>
        <v>717.89239096422875</v>
      </c>
      <c r="M24" s="287">
        <f t="shared" si="16"/>
        <v>724.81417117772548</v>
      </c>
      <c r="N24" s="287">
        <f t="shared" si="16"/>
        <v>731.80268986334818</v>
      </c>
      <c r="O24" s="287">
        <f t="shared" si="16"/>
        <v>738.85859050059605</v>
      </c>
      <c r="P24" s="287">
        <f t="shared" si="16"/>
        <v>745.98252277327265</v>
      </c>
      <c r="Q24" s="287">
        <f t="shared" si="16"/>
        <v>753.17514262930831</v>
      </c>
      <c r="R24" s="133"/>
      <c r="S24" s="133"/>
      <c r="T24" s="133"/>
      <c r="U24" s="133"/>
      <c r="V24" s="133"/>
      <c r="W24" s="133"/>
      <c r="X24" s="133"/>
      <c r="Y24" s="133"/>
      <c r="Z24" s="133"/>
      <c r="AJ24" s="282"/>
      <c r="AK24" s="282"/>
      <c r="AL24" s="282"/>
      <c r="AM24" s="282"/>
      <c r="AN24" s="282"/>
    </row>
    <row r="25" spans="1:40" x14ac:dyDescent="0.35">
      <c r="A25" s="496"/>
      <c r="B25" s="254"/>
      <c r="C25" s="254"/>
      <c r="D25" s="281" t="s">
        <v>826</v>
      </c>
      <c r="E25" s="185">
        <f>E24-$D$24</f>
        <v>21.698370575224544</v>
      </c>
      <c r="F25" s="185">
        <f>F24-$D$24</f>
        <v>43.605952661816445</v>
      </c>
      <c r="G25" s="185">
        <f>G24-$D$24</f>
        <v>65.72476343688777</v>
      </c>
      <c r="H25" s="185">
        <f>H24-$D$24</f>
        <v>88.056839526782824</v>
      </c>
      <c r="I25" s="185">
        <f>I24-$D$24</f>
        <v>110.60423719460641</v>
      </c>
      <c r="J25" s="504"/>
      <c r="K25" s="219"/>
      <c r="L25" s="219"/>
      <c r="M25" s="287">
        <f>M24-$L24</f>
        <v>6.9217802134967314</v>
      </c>
      <c r="N25" s="287">
        <f t="shared" ref="N25:Q25" si="17">N24-$L24</f>
        <v>13.910298899119425</v>
      </c>
      <c r="O25" s="287">
        <f t="shared" si="17"/>
        <v>20.966199536367299</v>
      </c>
      <c r="P25" s="287">
        <f t="shared" si="17"/>
        <v>28.090131809043896</v>
      </c>
      <c r="Q25" s="287">
        <f t="shared" si="17"/>
        <v>35.282751665079559</v>
      </c>
      <c r="R25" s="133"/>
      <c r="S25" s="133"/>
      <c r="T25" s="133"/>
      <c r="U25" s="133"/>
      <c r="V25" s="133"/>
      <c r="W25" s="133"/>
      <c r="X25" s="133"/>
      <c r="Y25" s="133"/>
      <c r="Z25" s="133"/>
      <c r="AJ25" s="282"/>
      <c r="AK25" s="282"/>
      <c r="AL25" s="282"/>
      <c r="AM25" s="282"/>
      <c r="AN25" s="282"/>
    </row>
    <row r="26" spans="1:40" x14ac:dyDescent="0.35">
      <c r="A26" s="284"/>
      <c r="B26" s="497"/>
      <c r="C26" s="498"/>
      <c r="D26" s="499"/>
      <c r="E26" s="500"/>
      <c r="F26" s="284"/>
      <c r="G26" s="284"/>
      <c r="H26" s="284"/>
      <c r="I26" s="301"/>
      <c r="J26" s="219"/>
      <c r="K26" s="219"/>
      <c r="L26" s="219"/>
      <c r="M26" s="219"/>
      <c r="N26" s="219"/>
      <c r="O26" s="219"/>
      <c r="P26" s="219"/>
      <c r="Q26" s="219"/>
      <c r="R26" s="133"/>
      <c r="S26" s="133"/>
      <c r="T26" s="133"/>
      <c r="U26" s="133"/>
      <c r="V26" s="133"/>
      <c r="W26" s="133"/>
      <c r="X26" s="133"/>
      <c r="Y26" s="133"/>
      <c r="Z26" s="133"/>
      <c r="AJ26" s="282"/>
      <c r="AK26" s="282"/>
      <c r="AL26" s="282"/>
      <c r="AM26" s="282"/>
      <c r="AN26" s="282"/>
    </row>
    <row r="27" spans="1:40" x14ac:dyDescent="0.35">
      <c r="A27" s="284"/>
      <c r="B27" s="368" t="s">
        <v>996</v>
      </c>
      <c r="C27" s="369"/>
      <c r="D27" s="369"/>
      <c r="E27" s="369"/>
      <c r="F27" s="369"/>
      <c r="G27" s="369"/>
      <c r="H27" s="369"/>
      <c r="I27" s="218"/>
      <c r="J27" s="219"/>
      <c r="K27" s="219"/>
      <c r="L27" s="219"/>
      <c r="M27" s="219"/>
      <c r="N27" s="219"/>
      <c r="O27" s="219"/>
      <c r="P27" s="219"/>
      <c r="Q27" s="219"/>
      <c r="R27" s="133"/>
      <c r="S27" s="133"/>
      <c r="T27" s="133"/>
      <c r="U27" s="133"/>
      <c r="V27" s="133"/>
      <c r="W27" s="133"/>
      <c r="X27" s="133"/>
      <c r="Y27" s="133"/>
      <c r="Z27" s="133"/>
      <c r="AJ27" s="282"/>
      <c r="AK27" s="282"/>
      <c r="AL27" s="282"/>
      <c r="AM27" s="282"/>
      <c r="AN27" s="282"/>
    </row>
    <row r="28" spans="1:40" ht="43.5" x14ac:dyDescent="0.35">
      <c r="A28" s="284"/>
      <c r="B28" s="275" t="s">
        <v>771</v>
      </c>
      <c r="C28" s="165" t="s">
        <v>824</v>
      </c>
      <c r="D28" s="387" t="s">
        <v>814</v>
      </c>
      <c r="E28" s="253" t="s">
        <v>676</v>
      </c>
      <c r="F28" s="253" t="s">
        <v>677</v>
      </c>
      <c r="G28" s="164" t="s">
        <v>782</v>
      </c>
      <c r="H28" s="164" t="s">
        <v>783</v>
      </c>
      <c r="I28" s="253" t="s">
        <v>784</v>
      </c>
      <c r="J28" s="219"/>
      <c r="K28" s="495" t="s">
        <v>835</v>
      </c>
      <c r="L28" s="387" t="s">
        <v>814</v>
      </c>
      <c r="M28" s="483" t="s">
        <v>676</v>
      </c>
      <c r="N28" s="483" t="s">
        <v>677</v>
      </c>
      <c r="O28" s="388" t="s">
        <v>782</v>
      </c>
      <c r="P28" s="388" t="s">
        <v>783</v>
      </c>
      <c r="Q28" s="483" t="s">
        <v>784</v>
      </c>
      <c r="R28" s="133"/>
      <c r="S28" s="133"/>
      <c r="T28" s="133"/>
      <c r="U28" s="133"/>
      <c r="V28" s="133"/>
      <c r="W28" s="133"/>
      <c r="X28" s="133"/>
      <c r="Y28" s="133"/>
      <c r="Z28" s="133"/>
      <c r="AJ28" s="282"/>
      <c r="AK28" s="282"/>
      <c r="AL28" s="282"/>
      <c r="AM28" s="282"/>
      <c r="AN28" s="282"/>
    </row>
    <row r="29" spans="1:40" x14ac:dyDescent="0.35">
      <c r="A29" s="284"/>
      <c r="B29" s="325" t="str">
        <f>'Inputs and eligible population'!F102</f>
        <v>Pembrolizumab (neoadjuvant)</v>
      </c>
      <c r="C29" s="649">
        <f>'Inputs and eligible population'!F105</f>
        <v>0</v>
      </c>
      <c r="D29" s="128">
        <f>'Financial impact (cash)'!D15*$C29</f>
        <v>0</v>
      </c>
      <c r="E29" s="128">
        <f>'Financial impact (cash)'!E15*$C29</f>
        <v>0</v>
      </c>
      <c r="F29" s="128">
        <f>'Financial impact (cash)'!F15*$C29</f>
        <v>0</v>
      </c>
      <c r="G29" s="128">
        <f>'Financial impact (cash)'!G15*$C29</f>
        <v>0</v>
      </c>
      <c r="H29" s="128">
        <f>'Financial impact (cash)'!H15*$C29</f>
        <v>0</v>
      </c>
      <c r="I29" s="128">
        <f>'Financial impact (cash)'!I15*$C29</f>
        <v>0</v>
      </c>
      <c r="J29" s="219"/>
      <c r="K29" s="510">
        <f>'Unit costs'!N71</f>
        <v>145</v>
      </c>
      <c r="L29" s="286">
        <f>(D29*$K$29)/1000</f>
        <v>0</v>
      </c>
      <c r="M29" s="286">
        <f t="shared" ref="M29:Q29" si="18">(E29*$K$29)/1000</f>
        <v>0</v>
      </c>
      <c r="N29" s="286">
        <f t="shared" si="18"/>
        <v>0</v>
      </c>
      <c r="O29" s="286">
        <f t="shared" si="18"/>
        <v>0</v>
      </c>
      <c r="P29" s="286">
        <f t="shared" si="18"/>
        <v>0</v>
      </c>
      <c r="Q29" s="286">
        <f t="shared" si="18"/>
        <v>0</v>
      </c>
      <c r="R29" s="133"/>
      <c r="S29" s="133"/>
      <c r="T29" s="133"/>
      <c r="U29" s="133"/>
      <c r="V29" s="133"/>
      <c r="W29" s="133"/>
      <c r="X29" s="133"/>
      <c r="Y29" s="133"/>
      <c r="Z29" s="133"/>
      <c r="AJ29" s="282"/>
      <c r="AK29" s="282"/>
      <c r="AL29" s="282"/>
      <c r="AM29" s="282"/>
      <c r="AN29" s="282"/>
    </row>
    <row r="30" spans="1:40" x14ac:dyDescent="0.35">
      <c r="A30" s="284"/>
      <c r="B30" s="325" t="str">
        <f>'Inputs and eligible population'!H102</f>
        <v>Nivolumab (neoadjuvant)</v>
      </c>
      <c r="C30" s="149">
        <f>'Inputs and eligible population'!H105</f>
        <v>0</v>
      </c>
      <c r="D30" s="128">
        <f>'Financial impact (cash)'!D16*$C30</f>
        <v>0</v>
      </c>
      <c r="E30" s="128">
        <f>'Financial impact (cash)'!E16*$C30</f>
        <v>0</v>
      </c>
      <c r="F30" s="128">
        <f>'Financial impact (cash)'!F16*$C30</f>
        <v>0</v>
      </c>
      <c r="G30" s="128">
        <f>'Financial impact (cash)'!G16*$C30</f>
        <v>0</v>
      </c>
      <c r="H30" s="128">
        <f>'Financial impact (cash)'!H16*$C30</f>
        <v>0</v>
      </c>
      <c r="I30" s="128">
        <f>'Financial impact (cash)'!I16*$C30</f>
        <v>0</v>
      </c>
      <c r="J30" s="219"/>
      <c r="K30" s="510">
        <f>'Unit costs'!N71</f>
        <v>145</v>
      </c>
      <c r="L30" s="286">
        <f>(D30*$K$30)/1000</f>
        <v>0</v>
      </c>
      <c r="M30" s="286">
        <f t="shared" ref="M30:Q30" si="19">(E30*$K$30)/1000</f>
        <v>0</v>
      </c>
      <c r="N30" s="286">
        <f t="shared" si="19"/>
        <v>0</v>
      </c>
      <c r="O30" s="286">
        <f t="shared" si="19"/>
        <v>0</v>
      </c>
      <c r="P30" s="286">
        <f t="shared" si="19"/>
        <v>0</v>
      </c>
      <c r="Q30" s="286">
        <f t="shared" si="19"/>
        <v>0</v>
      </c>
      <c r="R30" s="133"/>
      <c r="S30" s="133"/>
      <c r="T30" s="133"/>
      <c r="U30" s="133"/>
      <c r="V30" s="133"/>
      <c r="W30" s="133"/>
      <c r="X30" s="133"/>
      <c r="Y30" s="133"/>
      <c r="Z30" s="133"/>
      <c r="AJ30" s="282"/>
      <c r="AK30" s="282"/>
      <c r="AL30" s="282"/>
      <c r="AM30" s="282"/>
      <c r="AN30" s="282"/>
    </row>
    <row r="31" spans="1:40" x14ac:dyDescent="0.35">
      <c r="A31" s="284"/>
      <c r="B31" s="276"/>
      <c r="C31" s="279"/>
      <c r="D31" s="185">
        <f t="shared" ref="D31:I31" si="20">SUM(D29:D30)</f>
        <v>0</v>
      </c>
      <c r="E31" s="185">
        <f t="shared" si="20"/>
        <v>0</v>
      </c>
      <c r="F31" s="185">
        <f t="shared" si="20"/>
        <v>0</v>
      </c>
      <c r="G31" s="185">
        <f t="shared" si="20"/>
        <v>0</v>
      </c>
      <c r="H31" s="185">
        <f t="shared" si="20"/>
        <v>0</v>
      </c>
      <c r="I31" s="185">
        <f t="shared" si="20"/>
        <v>0</v>
      </c>
      <c r="J31" s="219"/>
      <c r="K31" s="219"/>
      <c r="L31" s="287">
        <f t="shared" ref="L31:Q31" si="21">SUM(L29:L30)</f>
        <v>0</v>
      </c>
      <c r="M31" s="287">
        <f t="shared" si="21"/>
        <v>0</v>
      </c>
      <c r="N31" s="287">
        <f t="shared" si="21"/>
        <v>0</v>
      </c>
      <c r="O31" s="287">
        <f t="shared" si="21"/>
        <v>0</v>
      </c>
      <c r="P31" s="287">
        <f t="shared" si="21"/>
        <v>0</v>
      </c>
      <c r="Q31" s="287">
        <f t="shared" si="21"/>
        <v>0</v>
      </c>
      <c r="R31" s="133"/>
      <c r="S31" s="133"/>
      <c r="T31" s="133"/>
      <c r="U31" s="133"/>
      <c r="V31" s="133"/>
      <c r="W31" s="133"/>
      <c r="X31" s="133"/>
      <c r="Y31" s="133"/>
      <c r="Z31" s="133"/>
      <c r="AJ31" s="282"/>
      <c r="AK31" s="282"/>
      <c r="AL31" s="282"/>
      <c r="AM31" s="282"/>
      <c r="AN31" s="282"/>
    </row>
    <row r="32" spans="1:40" x14ac:dyDescent="0.35">
      <c r="A32" s="284"/>
      <c r="B32" s="300"/>
      <c r="C32" s="254"/>
      <c r="D32" s="281" t="s">
        <v>826</v>
      </c>
      <c r="E32" s="185">
        <f>E31-$D$31</f>
        <v>0</v>
      </c>
      <c r="F32" s="185">
        <f t="shared" ref="F32:I32" si="22">F31-$D$31</f>
        <v>0</v>
      </c>
      <c r="G32" s="185">
        <f t="shared" si="22"/>
        <v>0</v>
      </c>
      <c r="H32" s="185">
        <f t="shared" si="22"/>
        <v>0</v>
      </c>
      <c r="I32" s="185">
        <f t="shared" si="22"/>
        <v>0</v>
      </c>
      <c r="J32" s="219"/>
      <c r="K32" s="219"/>
      <c r="L32" s="219"/>
      <c r="M32" s="287">
        <f>M31-$L31</f>
        <v>0</v>
      </c>
      <c r="N32" s="287">
        <f t="shared" ref="N32:Q32" si="23">N31-$L31</f>
        <v>0</v>
      </c>
      <c r="O32" s="287">
        <f t="shared" si="23"/>
        <v>0</v>
      </c>
      <c r="P32" s="287">
        <f t="shared" si="23"/>
        <v>0</v>
      </c>
      <c r="Q32" s="287">
        <f t="shared" si="23"/>
        <v>0</v>
      </c>
      <c r="R32" s="133"/>
      <c r="S32" s="133"/>
      <c r="T32" s="133"/>
      <c r="U32" s="133"/>
      <c r="V32" s="133"/>
      <c r="W32" s="133"/>
      <c r="X32" s="133"/>
      <c r="Y32" s="133"/>
      <c r="Z32" s="133"/>
      <c r="AJ32" s="282"/>
      <c r="AK32" s="282"/>
      <c r="AL32" s="282"/>
      <c r="AM32" s="282"/>
      <c r="AN32" s="282"/>
    </row>
    <row r="33" spans="1:40" x14ac:dyDescent="0.35">
      <c r="A33" s="284"/>
      <c r="B33" s="284"/>
      <c r="C33" s="284"/>
      <c r="D33" s="502"/>
      <c r="E33" s="503"/>
      <c r="F33" s="503"/>
      <c r="G33" s="503"/>
      <c r="H33" s="503"/>
      <c r="I33" s="503"/>
      <c r="J33" s="219"/>
      <c r="K33" s="219"/>
      <c r="L33" s="219"/>
      <c r="M33" s="219"/>
      <c r="N33" s="219"/>
      <c r="O33" s="219"/>
      <c r="P33" s="219"/>
      <c r="Q33" s="219"/>
      <c r="R33" s="133"/>
      <c r="S33" s="133"/>
      <c r="T33" s="133"/>
      <c r="U33" s="133"/>
      <c r="V33" s="133"/>
      <c r="W33" s="133"/>
      <c r="X33" s="133"/>
      <c r="Y33" s="133"/>
      <c r="Z33" s="133"/>
      <c r="AJ33" s="282"/>
      <c r="AK33" s="282"/>
      <c r="AL33" s="282"/>
      <c r="AM33" s="282"/>
      <c r="AN33" s="282"/>
    </row>
    <row r="34" spans="1:40" x14ac:dyDescent="0.35">
      <c r="A34" s="284"/>
      <c r="B34" s="368" t="s">
        <v>997</v>
      </c>
      <c r="C34" s="369"/>
      <c r="D34" s="369"/>
      <c r="E34" s="369"/>
      <c r="F34" s="369"/>
      <c r="G34" s="369"/>
      <c r="H34" s="369"/>
      <c r="I34" s="218"/>
      <c r="J34" s="219"/>
      <c r="K34" s="219"/>
      <c r="L34" s="219"/>
      <c r="M34" s="219"/>
      <c r="N34" s="219"/>
      <c r="O34" s="219"/>
      <c r="P34" s="219"/>
      <c r="Q34" s="219"/>
      <c r="R34" s="133"/>
      <c r="S34" s="133"/>
      <c r="T34" s="133"/>
      <c r="U34" s="133"/>
      <c r="V34" s="133"/>
      <c r="W34" s="133"/>
      <c r="X34" s="133"/>
      <c r="Y34" s="133"/>
      <c r="Z34" s="133"/>
      <c r="AJ34" s="282"/>
      <c r="AK34" s="282"/>
      <c r="AL34" s="282"/>
      <c r="AM34" s="282"/>
      <c r="AN34" s="282"/>
    </row>
    <row r="35" spans="1:40" ht="43.5" x14ac:dyDescent="0.35">
      <c r="A35" s="284"/>
      <c r="B35" s="275" t="s">
        <v>771</v>
      </c>
      <c r="C35" s="165" t="s">
        <v>824</v>
      </c>
      <c r="D35" s="387" t="s">
        <v>814</v>
      </c>
      <c r="E35" s="253" t="s">
        <v>676</v>
      </c>
      <c r="F35" s="253" t="s">
        <v>677</v>
      </c>
      <c r="G35" s="164" t="s">
        <v>782</v>
      </c>
      <c r="H35" s="164" t="s">
        <v>783</v>
      </c>
      <c r="I35" s="253" t="s">
        <v>784</v>
      </c>
      <c r="J35" s="504"/>
      <c r="K35" s="495" t="s">
        <v>835</v>
      </c>
      <c r="L35" s="387" t="s">
        <v>814</v>
      </c>
      <c r="M35" s="483" t="s">
        <v>676</v>
      </c>
      <c r="N35" s="483" t="s">
        <v>677</v>
      </c>
      <c r="O35" s="388" t="s">
        <v>782</v>
      </c>
      <c r="P35" s="388" t="s">
        <v>783</v>
      </c>
      <c r="Q35" s="483" t="s">
        <v>784</v>
      </c>
      <c r="R35" s="133"/>
      <c r="S35" s="133"/>
      <c r="T35" s="133"/>
      <c r="U35" s="133"/>
      <c r="V35" s="133"/>
      <c r="W35" s="133"/>
      <c r="X35" s="133"/>
      <c r="Y35" s="133"/>
      <c r="Z35" s="133"/>
      <c r="AJ35" s="282"/>
      <c r="AK35" s="282"/>
      <c r="AL35" s="282"/>
      <c r="AM35" s="282"/>
      <c r="AN35" s="282"/>
    </row>
    <row r="36" spans="1:40" x14ac:dyDescent="0.35">
      <c r="A36" s="284"/>
      <c r="B36" s="325" t="str">
        <f>'Inputs and eligible population'!$G$102</f>
        <v>Pembrolizumab (adjuvant)</v>
      </c>
      <c r="C36" s="149">
        <f>'Inputs and eligible population'!G103</f>
        <v>1</v>
      </c>
      <c r="D36" s="128">
        <f>'Financial impact (cash)'!D19*'Capacity (national prices)'!$C36</f>
        <v>0</v>
      </c>
      <c r="E36" s="128">
        <f>('Financial impact (cash)'!E19*'Capacity (national prices)'!$C36)</f>
        <v>323.55341058215708</v>
      </c>
      <c r="F36" s="128">
        <f>('Financial impact (cash)'!F19*'Capacity (national prices)'!$C36)</f>
        <v>490.00957540693162</v>
      </c>
      <c r="G36" s="128">
        <f>('Financial impact (cash)'!G19*'Capacity (national prices)'!$C36)</f>
        <v>577.18984561990135</v>
      </c>
      <c r="H36" s="128">
        <f>('Financial impact (cash)'!H19*'Capacity (national prices)'!$C36)</f>
        <v>749.25642726193269</v>
      </c>
      <c r="I36" s="128">
        <f>('Financial impact (cash)'!I19*'Capacity (national prices)'!$C36)</f>
        <v>840.53401497189259</v>
      </c>
      <c r="J36" s="504"/>
      <c r="K36" s="510">
        <f>'Unit costs'!N70</f>
        <v>319</v>
      </c>
      <c r="L36" s="286">
        <f>(D36*$K$22)/1000</f>
        <v>0</v>
      </c>
      <c r="M36" s="286">
        <f t="shared" ref="M36" si="24">(E36*$K$22)/1000</f>
        <v>103.21353797570811</v>
      </c>
      <c r="N36" s="286">
        <f t="shared" ref="N36" si="25">(F36*$K$22)/1000</f>
        <v>156.31305455481117</v>
      </c>
      <c r="O36" s="286">
        <f t="shared" ref="O36" si="26">(G36*$K$22)/1000</f>
        <v>184.12356075274855</v>
      </c>
      <c r="P36" s="286">
        <f t="shared" ref="P36" si="27">(H36*$K$22)/1000</f>
        <v>239.01280029655652</v>
      </c>
      <c r="Q36" s="286">
        <f t="shared" ref="Q36" si="28">(I36*$K$22)/1000</f>
        <v>268.13035077603371</v>
      </c>
      <c r="R36" s="133"/>
      <c r="S36" s="133"/>
      <c r="T36" s="133"/>
      <c r="U36" s="133"/>
      <c r="V36" s="133"/>
      <c r="W36" s="133"/>
      <c r="X36" s="133"/>
      <c r="Y36" s="133"/>
      <c r="Z36" s="133"/>
      <c r="AJ36" s="282"/>
      <c r="AK36" s="282"/>
      <c r="AL36" s="282"/>
      <c r="AM36" s="282"/>
      <c r="AN36" s="282"/>
    </row>
    <row r="37" spans="1:40" x14ac:dyDescent="0.35">
      <c r="A37" s="284"/>
      <c r="B37" s="325"/>
      <c r="C37" s="149"/>
      <c r="D37" s="128"/>
      <c r="E37" s="128"/>
      <c r="F37" s="128"/>
      <c r="G37" s="128"/>
      <c r="H37" s="128"/>
      <c r="I37" s="128"/>
      <c r="J37" s="504"/>
      <c r="K37" s="510"/>
      <c r="L37" s="286"/>
      <c r="M37" s="286"/>
      <c r="N37" s="286"/>
      <c r="O37" s="286"/>
      <c r="P37" s="286"/>
      <c r="Q37" s="286"/>
      <c r="R37" s="133"/>
      <c r="S37" s="133"/>
      <c r="T37" s="133"/>
      <c r="U37" s="133"/>
      <c r="V37" s="133"/>
      <c r="W37" s="133"/>
      <c r="X37" s="133"/>
      <c r="Y37" s="133"/>
      <c r="Z37" s="133"/>
      <c r="AJ37" s="282"/>
      <c r="AK37" s="282"/>
      <c r="AL37" s="282"/>
      <c r="AM37" s="282"/>
      <c r="AN37" s="282"/>
    </row>
    <row r="38" spans="1:40" x14ac:dyDescent="0.35">
      <c r="A38" s="284"/>
      <c r="B38" s="276"/>
      <c r="C38" s="279"/>
      <c r="D38" s="185">
        <f t="shared" ref="D38:I38" si="29">SUM(D36:D37)</f>
        <v>0</v>
      </c>
      <c r="E38" s="185">
        <f t="shared" si="29"/>
        <v>323.55341058215708</v>
      </c>
      <c r="F38" s="185">
        <f t="shared" si="29"/>
        <v>490.00957540693162</v>
      </c>
      <c r="G38" s="185">
        <f t="shared" si="29"/>
        <v>577.18984561990135</v>
      </c>
      <c r="H38" s="185">
        <f t="shared" si="29"/>
        <v>749.25642726193269</v>
      </c>
      <c r="I38" s="185">
        <f t="shared" si="29"/>
        <v>840.53401497189259</v>
      </c>
      <c r="J38" s="504"/>
      <c r="K38" s="219"/>
      <c r="L38" s="287">
        <f t="shared" ref="L38:Q38" si="30">SUM(L36:L37)</f>
        <v>0</v>
      </c>
      <c r="M38" s="287">
        <f t="shared" si="30"/>
        <v>103.21353797570811</v>
      </c>
      <c r="N38" s="287">
        <f t="shared" si="30"/>
        <v>156.31305455481117</v>
      </c>
      <c r="O38" s="287">
        <f t="shared" si="30"/>
        <v>184.12356075274855</v>
      </c>
      <c r="P38" s="287">
        <f t="shared" si="30"/>
        <v>239.01280029655652</v>
      </c>
      <c r="Q38" s="287">
        <f t="shared" si="30"/>
        <v>268.13035077603371</v>
      </c>
      <c r="R38" s="133"/>
      <c r="S38" s="133"/>
      <c r="T38" s="133"/>
      <c r="U38" s="133"/>
      <c r="V38" s="133"/>
      <c r="W38" s="133"/>
      <c r="X38" s="133"/>
      <c r="Y38" s="133"/>
      <c r="Z38" s="133"/>
      <c r="AJ38" s="282"/>
      <c r="AK38" s="282"/>
      <c r="AL38" s="282"/>
      <c r="AM38" s="282"/>
      <c r="AN38" s="282"/>
    </row>
    <row r="39" spans="1:40" x14ac:dyDescent="0.35">
      <c r="A39" s="284"/>
      <c r="B39" s="300"/>
      <c r="C39" s="254"/>
      <c r="D39" s="281" t="s">
        <v>826</v>
      </c>
      <c r="E39" s="185">
        <f>E38-$D$38</f>
        <v>323.55341058215708</v>
      </c>
      <c r="F39" s="185">
        <f t="shared" ref="F39:I39" si="31">F38-$D$38</f>
        <v>490.00957540693162</v>
      </c>
      <c r="G39" s="185">
        <f t="shared" si="31"/>
        <v>577.18984561990135</v>
      </c>
      <c r="H39" s="185">
        <f t="shared" si="31"/>
        <v>749.25642726193269</v>
      </c>
      <c r="I39" s="185">
        <f t="shared" si="31"/>
        <v>840.53401497189259</v>
      </c>
      <c r="J39" s="504"/>
      <c r="K39" s="219"/>
      <c r="L39" s="219"/>
      <c r="M39" s="287">
        <f>M38-$L38</f>
        <v>103.21353797570811</v>
      </c>
      <c r="N39" s="287">
        <f t="shared" ref="N39:Q39" si="32">N38-$L38</f>
        <v>156.31305455481117</v>
      </c>
      <c r="O39" s="287">
        <f t="shared" si="32"/>
        <v>184.12356075274855</v>
      </c>
      <c r="P39" s="287">
        <f t="shared" si="32"/>
        <v>239.01280029655652</v>
      </c>
      <c r="Q39" s="287">
        <f t="shared" si="32"/>
        <v>268.13035077603371</v>
      </c>
      <c r="R39" s="133"/>
      <c r="S39" s="133"/>
      <c r="T39" s="133"/>
      <c r="U39" s="133"/>
      <c r="V39" s="133"/>
      <c r="W39" s="133"/>
      <c r="X39" s="133"/>
      <c r="Y39" s="133"/>
      <c r="Z39" s="133"/>
      <c r="AJ39" s="282"/>
      <c r="AK39" s="282"/>
      <c r="AL39" s="282"/>
      <c r="AM39" s="282"/>
      <c r="AN39" s="282"/>
    </row>
    <row r="40" spans="1:40" x14ac:dyDescent="0.35">
      <c r="A40" s="284"/>
      <c r="B40" s="284"/>
      <c r="C40" s="284"/>
      <c r="D40" s="502"/>
      <c r="E40" s="503"/>
      <c r="F40" s="503"/>
      <c r="G40" s="503"/>
      <c r="H40" s="503"/>
      <c r="I40" s="503"/>
      <c r="J40" s="219"/>
      <c r="K40" s="219"/>
      <c r="L40" s="219"/>
      <c r="M40" s="219"/>
      <c r="N40" s="219"/>
      <c r="O40" s="219"/>
      <c r="P40" s="219"/>
      <c r="Q40" s="219"/>
      <c r="R40" s="133"/>
      <c r="S40" s="133"/>
      <c r="T40" s="133"/>
      <c r="U40" s="133"/>
      <c r="V40" s="133"/>
      <c r="W40" s="133"/>
      <c r="X40" s="133"/>
      <c r="Y40" s="133"/>
      <c r="Z40" s="133"/>
      <c r="AJ40" s="282"/>
      <c r="AK40" s="282"/>
      <c r="AL40" s="282"/>
      <c r="AM40" s="282"/>
      <c r="AN40" s="282"/>
    </row>
    <row r="41" spans="1:40" x14ac:dyDescent="0.35">
      <c r="A41" s="284"/>
      <c r="B41" s="368" t="s">
        <v>998</v>
      </c>
      <c r="C41" s="369"/>
      <c r="D41" s="369"/>
      <c r="E41" s="369"/>
      <c r="F41" s="369"/>
      <c r="G41" s="369"/>
      <c r="H41" s="369"/>
      <c r="I41" s="218"/>
      <c r="J41" s="219"/>
      <c r="K41" s="219"/>
      <c r="L41" s="219"/>
      <c r="M41" s="219"/>
      <c r="N41" s="219"/>
      <c r="O41" s="219"/>
      <c r="P41" s="219"/>
      <c r="Q41" s="219"/>
      <c r="R41" s="133"/>
      <c r="S41" s="133"/>
      <c r="T41" s="133"/>
      <c r="U41" s="133"/>
      <c r="V41" s="133"/>
      <c r="W41" s="133"/>
      <c r="X41" s="133"/>
      <c r="Y41" s="133"/>
      <c r="Z41" s="133"/>
      <c r="AJ41" s="282"/>
      <c r="AK41" s="282"/>
      <c r="AL41" s="282"/>
      <c r="AM41" s="282"/>
      <c r="AN41" s="282"/>
    </row>
    <row r="42" spans="1:40" ht="43.5" x14ac:dyDescent="0.35">
      <c r="A42" s="284"/>
      <c r="B42" s="275" t="s">
        <v>771</v>
      </c>
      <c r="C42" s="165" t="s">
        <v>824</v>
      </c>
      <c r="D42" s="387" t="s">
        <v>814</v>
      </c>
      <c r="E42" s="253" t="s">
        <v>676</v>
      </c>
      <c r="F42" s="253" t="s">
        <v>677</v>
      </c>
      <c r="G42" s="164" t="s">
        <v>782</v>
      </c>
      <c r="H42" s="164" t="s">
        <v>783</v>
      </c>
      <c r="I42" s="253" t="s">
        <v>784</v>
      </c>
      <c r="J42" s="504"/>
      <c r="K42" s="495" t="s">
        <v>835</v>
      </c>
      <c r="L42" s="387" t="s">
        <v>814</v>
      </c>
      <c r="M42" s="483" t="s">
        <v>676</v>
      </c>
      <c r="N42" s="483" t="s">
        <v>677</v>
      </c>
      <c r="O42" s="388" t="s">
        <v>782</v>
      </c>
      <c r="P42" s="388" t="s">
        <v>783</v>
      </c>
      <c r="Q42" s="483" t="s">
        <v>784</v>
      </c>
      <c r="R42" s="133"/>
      <c r="S42" s="133"/>
      <c r="T42" s="133"/>
      <c r="U42" s="133"/>
      <c r="V42" s="133"/>
      <c r="W42" s="133"/>
      <c r="X42" s="133"/>
      <c r="Y42" s="133"/>
      <c r="Z42" s="133"/>
      <c r="AJ42" s="282"/>
      <c r="AK42" s="282"/>
      <c r="AL42" s="282"/>
      <c r="AM42" s="282"/>
      <c r="AN42" s="282"/>
    </row>
    <row r="43" spans="1:40" x14ac:dyDescent="0.35">
      <c r="A43" s="284"/>
      <c r="B43" s="325" t="str">
        <f>'Inputs and eligible population'!$G$102</f>
        <v>Pembrolizumab (adjuvant)</v>
      </c>
      <c r="C43" s="149">
        <f>'Inputs and eligible population'!G105</f>
        <v>0</v>
      </c>
      <c r="D43" s="128">
        <f>'Financial impact (cash)'!D19*'Capacity (national prices)'!$C43</f>
        <v>0</v>
      </c>
      <c r="E43" s="128">
        <f>'Financial impact (cash)'!E19*'Capacity (national prices)'!$C43</f>
        <v>0</v>
      </c>
      <c r="F43" s="128">
        <f>'Financial impact (cash)'!F19*'Capacity (national prices)'!$C43</f>
        <v>0</v>
      </c>
      <c r="G43" s="128">
        <f>'Financial impact (cash)'!G19*'Capacity (national prices)'!$C43</f>
        <v>0</v>
      </c>
      <c r="H43" s="128">
        <f>'Financial impact (cash)'!H19*'Capacity (national prices)'!$C43</f>
        <v>0</v>
      </c>
      <c r="I43" s="128">
        <f>'Financial impact (cash)'!I19*'Capacity (national prices)'!$C43</f>
        <v>0</v>
      </c>
      <c r="J43" s="504"/>
      <c r="K43" s="510">
        <f>'Unit costs'!N71</f>
        <v>145</v>
      </c>
      <c r="L43" s="286">
        <f>(D43*$K$22)/1000</f>
        <v>0</v>
      </c>
      <c r="M43" s="286">
        <f t="shared" ref="M43" si="33">(E43*$K$22)/1000</f>
        <v>0</v>
      </c>
      <c r="N43" s="286">
        <f t="shared" ref="N43" si="34">(F43*$K$22)/1000</f>
        <v>0</v>
      </c>
      <c r="O43" s="286">
        <f t="shared" ref="O43" si="35">(G43*$K$22)/1000</f>
        <v>0</v>
      </c>
      <c r="P43" s="286">
        <f t="shared" ref="P43" si="36">(H43*$K$22)/1000</f>
        <v>0</v>
      </c>
      <c r="Q43" s="286">
        <f t="shared" ref="Q43" si="37">(I43*$K$22)/1000</f>
        <v>0</v>
      </c>
      <c r="R43" s="133"/>
      <c r="S43" s="133"/>
      <c r="T43" s="133"/>
      <c r="U43" s="133"/>
      <c r="V43" s="133"/>
      <c r="W43" s="133"/>
      <c r="X43" s="133"/>
      <c r="Y43" s="133"/>
      <c r="Z43" s="133"/>
      <c r="AJ43" s="282"/>
      <c r="AK43" s="282"/>
      <c r="AL43" s="282"/>
      <c r="AM43" s="282"/>
      <c r="AN43" s="282"/>
    </row>
    <row r="44" spans="1:40" x14ac:dyDescent="0.35">
      <c r="A44" s="284"/>
      <c r="B44" s="276"/>
      <c r="C44" s="279"/>
      <c r="D44" s="185">
        <f t="shared" ref="D44:I44" si="38">SUM(D43:D43)</f>
        <v>0</v>
      </c>
      <c r="E44" s="185">
        <f t="shared" si="38"/>
        <v>0</v>
      </c>
      <c r="F44" s="185">
        <f t="shared" si="38"/>
        <v>0</v>
      </c>
      <c r="G44" s="185">
        <f t="shared" si="38"/>
        <v>0</v>
      </c>
      <c r="H44" s="185">
        <f t="shared" si="38"/>
        <v>0</v>
      </c>
      <c r="I44" s="185">
        <f t="shared" si="38"/>
        <v>0</v>
      </c>
      <c r="J44" s="504"/>
      <c r="K44" s="219"/>
      <c r="L44" s="287">
        <f t="shared" ref="L44:Q44" si="39">SUM(L43:L43)</f>
        <v>0</v>
      </c>
      <c r="M44" s="287">
        <f t="shared" si="39"/>
        <v>0</v>
      </c>
      <c r="N44" s="287">
        <f t="shared" si="39"/>
        <v>0</v>
      </c>
      <c r="O44" s="287">
        <f t="shared" si="39"/>
        <v>0</v>
      </c>
      <c r="P44" s="287">
        <f t="shared" si="39"/>
        <v>0</v>
      </c>
      <c r="Q44" s="287">
        <f t="shared" si="39"/>
        <v>0</v>
      </c>
      <c r="R44" s="133"/>
      <c r="S44" s="133"/>
      <c r="T44" s="133"/>
      <c r="U44" s="133"/>
      <c r="V44" s="133"/>
      <c r="W44" s="133"/>
      <c r="X44" s="133"/>
      <c r="Y44" s="133"/>
      <c r="Z44" s="133"/>
      <c r="AJ44" s="282"/>
      <c r="AK44" s="282"/>
      <c r="AL44" s="282"/>
      <c r="AM44" s="282"/>
      <c r="AN44" s="282"/>
    </row>
    <row r="45" spans="1:40" x14ac:dyDescent="0.35">
      <c r="A45" s="284"/>
      <c r="B45" s="300"/>
      <c r="C45" s="254"/>
      <c r="D45" s="281" t="s">
        <v>826</v>
      </c>
      <c r="E45" s="185">
        <f>E44-$D$44</f>
        <v>0</v>
      </c>
      <c r="F45" s="185">
        <f t="shared" ref="F45:I45" si="40">F44-$D$44</f>
        <v>0</v>
      </c>
      <c r="G45" s="185">
        <f t="shared" si="40"/>
        <v>0</v>
      </c>
      <c r="H45" s="185">
        <f t="shared" si="40"/>
        <v>0</v>
      </c>
      <c r="I45" s="185">
        <f t="shared" si="40"/>
        <v>0</v>
      </c>
      <c r="J45" s="504"/>
      <c r="K45" s="219"/>
      <c r="L45" s="219"/>
      <c r="M45" s="287">
        <f>M44-$L44</f>
        <v>0</v>
      </c>
      <c r="N45" s="287">
        <f t="shared" ref="N45:Q45" si="41">N44-$L44</f>
        <v>0</v>
      </c>
      <c r="O45" s="287">
        <f t="shared" si="41"/>
        <v>0</v>
      </c>
      <c r="P45" s="287">
        <f t="shared" si="41"/>
        <v>0</v>
      </c>
      <c r="Q45" s="287">
        <f t="shared" si="41"/>
        <v>0</v>
      </c>
      <c r="R45" s="133"/>
      <c r="S45" s="133"/>
      <c r="T45" s="133"/>
      <c r="U45" s="133"/>
      <c r="V45" s="133"/>
      <c r="W45" s="133"/>
      <c r="X45" s="133"/>
      <c r="Y45" s="133"/>
      <c r="Z45" s="133"/>
      <c r="AJ45" s="282"/>
      <c r="AK45" s="282"/>
      <c r="AL45" s="282"/>
      <c r="AM45" s="282"/>
      <c r="AN45" s="282"/>
    </row>
    <row r="46" spans="1:40" x14ac:dyDescent="0.35">
      <c r="A46" s="284"/>
      <c r="B46" s="284"/>
      <c r="C46" s="284"/>
      <c r="D46" s="502"/>
      <c r="E46" s="503"/>
      <c r="F46" s="503"/>
      <c r="G46" s="503"/>
      <c r="H46" s="503"/>
      <c r="I46" s="503"/>
      <c r="J46" s="219"/>
      <c r="K46" s="219"/>
      <c r="L46" s="219"/>
      <c r="M46" s="219"/>
      <c r="N46" s="219"/>
      <c r="O46" s="219"/>
      <c r="P46" s="219"/>
      <c r="Q46" s="219"/>
      <c r="R46" s="133"/>
      <c r="S46" s="133"/>
      <c r="T46" s="133"/>
      <c r="U46" s="133"/>
      <c r="V46" s="133"/>
      <c r="W46" s="133"/>
      <c r="X46" s="133"/>
      <c r="Y46" s="133"/>
      <c r="Z46" s="133"/>
      <c r="AJ46" s="282"/>
      <c r="AK46" s="282"/>
      <c r="AL46" s="282"/>
      <c r="AM46" s="282"/>
      <c r="AN46" s="282"/>
    </row>
    <row r="47" spans="1:40" x14ac:dyDescent="0.35">
      <c r="A47" s="284"/>
      <c r="B47" s="284"/>
      <c r="C47" s="284"/>
      <c r="D47" s="502"/>
      <c r="E47" s="503"/>
      <c r="F47" s="503"/>
      <c r="G47" s="503"/>
      <c r="H47" s="503"/>
      <c r="I47" s="503"/>
      <c r="J47" s="219"/>
      <c r="K47" s="219"/>
      <c r="L47" s="219"/>
      <c r="M47" s="219"/>
      <c r="N47" s="219"/>
      <c r="O47" s="219"/>
      <c r="P47" s="219"/>
      <c r="Q47" s="219"/>
      <c r="R47" s="133"/>
      <c r="S47" s="133"/>
      <c r="T47" s="133"/>
      <c r="U47" s="133"/>
      <c r="V47" s="133"/>
      <c r="W47" s="133"/>
      <c r="X47" s="133"/>
      <c r="Y47" s="133"/>
      <c r="Z47" s="133"/>
      <c r="AJ47" s="282"/>
      <c r="AK47" s="282"/>
      <c r="AL47" s="282"/>
      <c r="AM47" s="282"/>
      <c r="AN47" s="282"/>
    </row>
    <row r="48" spans="1:40" x14ac:dyDescent="0.35">
      <c r="A48" s="290"/>
      <c r="B48" s="304"/>
      <c r="C48" s="293"/>
      <c r="D48" s="292"/>
      <c r="E48" s="293"/>
      <c r="F48" s="294"/>
      <c r="G48" s="290"/>
      <c r="H48" s="290"/>
      <c r="I48" s="291"/>
      <c r="J48" s="215"/>
      <c r="K48" s="215"/>
      <c r="L48" s="215"/>
      <c r="M48" s="215"/>
      <c r="N48" s="215"/>
      <c r="O48" s="215"/>
      <c r="P48" s="215"/>
      <c r="Q48" s="215"/>
      <c r="R48" s="133"/>
      <c r="S48" s="133"/>
      <c r="T48" s="133"/>
      <c r="U48" s="133"/>
      <c r="V48" s="133"/>
      <c r="W48" s="133"/>
      <c r="X48" s="133"/>
      <c r="Y48" s="133"/>
      <c r="Z48" s="133"/>
      <c r="AJ48" s="282"/>
      <c r="AK48" s="282"/>
      <c r="AL48" s="282"/>
      <c r="AM48" s="282"/>
      <c r="AN48" s="282"/>
    </row>
    <row r="49" spans="1:40" x14ac:dyDescent="0.35">
      <c r="A49" s="295"/>
      <c r="B49" s="361" t="s">
        <v>999</v>
      </c>
      <c r="C49" s="362"/>
      <c r="D49" s="362"/>
      <c r="E49" s="362"/>
      <c r="F49" s="362"/>
      <c r="G49" s="362"/>
      <c r="H49" s="362"/>
      <c r="I49" s="362"/>
      <c r="J49" s="390"/>
      <c r="K49" s="215"/>
      <c r="L49" s="215"/>
      <c r="M49" s="215"/>
      <c r="N49" s="215"/>
      <c r="O49" s="215"/>
      <c r="P49" s="215"/>
      <c r="Q49" s="215"/>
      <c r="R49" s="133"/>
      <c r="S49" s="133"/>
      <c r="T49" s="133"/>
      <c r="U49" s="133"/>
      <c r="V49" s="133"/>
      <c r="W49" s="133"/>
      <c r="X49" s="133"/>
      <c r="Y49" s="133"/>
      <c r="Z49" s="133"/>
      <c r="AJ49" s="282"/>
      <c r="AK49" s="282"/>
      <c r="AL49" s="282"/>
      <c r="AM49" s="282"/>
      <c r="AN49" s="282"/>
    </row>
    <row r="50" spans="1:40" ht="43.5" x14ac:dyDescent="0.35">
      <c r="A50" s="290"/>
      <c r="B50" s="278" t="s">
        <v>771</v>
      </c>
      <c r="C50" s="165" t="s">
        <v>761</v>
      </c>
      <c r="D50" s="387" t="s">
        <v>814</v>
      </c>
      <c r="E50" s="253" t="s">
        <v>676</v>
      </c>
      <c r="F50" s="253" t="s">
        <v>677</v>
      </c>
      <c r="G50" s="164" t="s">
        <v>782</v>
      </c>
      <c r="H50" s="164" t="s">
        <v>783</v>
      </c>
      <c r="I50" s="253" t="s">
        <v>784</v>
      </c>
      <c r="J50" s="390"/>
      <c r="K50" s="495" t="s">
        <v>1056</v>
      </c>
      <c r="L50" s="387" t="s">
        <v>814</v>
      </c>
      <c r="M50" s="483" t="s">
        <v>676</v>
      </c>
      <c r="N50" s="483" t="s">
        <v>677</v>
      </c>
      <c r="O50" s="388" t="s">
        <v>782</v>
      </c>
      <c r="P50" s="388" t="s">
        <v>783</v>
      </c>
      <c r="Q50" s="483" t="s">
        <v>784</v>
      </c>
      <c r="R50" s="133"/>
      <c r="S50" s="133"/>
      <c r="T50" s="133"/>
      <c r="U50" s="133"/>
      <c r="V50" s="133"/>
      <c r="W50" s="133"/>
      <c r="X50" s="133"/>
      <c r="Y50" s="133"/>
      <c r="Z50" s="133"/>
      <c r="AJ50" s="282"/>
      <c r="AK50" s="282"/>
      <c r="AL50" s="282"/>
      <c r="AM50" s="282"/>
      <c r="AN50" s="282"/>
    </row>
    <row r="51" spans="1:40" x14ac:dyDescent="0.35">
      <c r="A51" s="290"/>
      <c r="B51" s="324" t="str">
        <f>'Inputs and eligible population'!$C$55</f>
        <v>Pembrolizumab + chemo - neoadjuvant</v>
      </c>
      <c r="C51" s="289">
        <f>'Inputs and eligible population'!$F$55</f>
        <v>3.6</v>
      </c>
      <c r="D51" s="128">
        <f>'Inputs and eligible population'!L82*'Capacity (national prices)'!$C51</f>
        <v>0</v>
      </c>
      <c r="E51" s="128">
        <f>'Inputs and eligible population'!M82*'Capacity (national prices)'!$C51</f>
        <v>1635.9442108086596</v>
      </c>
      <c r="F51" s="128">
        <f>'Inputs and eligible population'!N82*'Capacity (national prices)'!$C51</f>
        <v>2477.576504866508</v>
      </c>
      <c r="G51" s="128">
        <f>'Inputs and eligible population'!O82*'Capacity (national prices)'!$C51</f>
        <v>2918.3756239208496</v>
      </c>
      <c r="H51" s="128">
        <f>'Inputs and eligible population'!P82*'Capacity (national prices)'!$C51</f>
        <v>3788.3751940210082</v>
      </c>
      <c r="I51" s="128">
        <f>'Inputs and eligible population'!Q82*'Capacity (national prices)'!$C51</f>
        <v>4249.8910869365354</v>
      </c>
      <c r="J51" s="390"/>
      <c r="K51" s="512">
        <f>'Unit costs'!Q57</f>
        <v>1787.2380000000003</v>
      </c>
      <c r="L51" s="286">
        <f>('Financial impact (cash)'!D15*'Capacity (national prices)'!$K$51)/1000</f>
        <v>0</v>
      </c>
      <c r="M51" s="286">
        <f>('Financial impact (cash)'!E15*'Capacity (national prices)'!$K$51)/1000</f>
        <v>812.17268317701314</v>
      </c>
      <c r="N51" s="286">
        <f>('Financial impact (cash)'!F15*'Capacity (national prices)'!$K$51)/1000</f>
        <v>1230.0052437235024</v>
      </c>
      <c r="O51" s="286">
        <f>('Financial impact (cash)'!G15*'Capacity (national prices)'!$K$51)/1000</f>
        <v>1448.8421703736255</v>
      </c>
      <c r="P51" s="286">
        <f>('Financial impact (cash)'!H15*'Capacity (national prices)'!$K$51)/1000</f>
        <v>1880.7578069476999</v>
      </c>
      <c r="Q51" s="286">
        <f>('Financial impact (cash)'!I15*'Capacity (national prices)'!$K$51)/1000</f>
        <v>2109.8796795650783</v>
      </c>
      <c r="R51" s="133"/>
      <c r="S51" s="133"/>
      <c r="T51" s="133"/>
      <c r="U51" s="133"/>
      <c r="V51" s="133"/>
      <c r="W51" s="133"/>
      <c r="X51" s="133"/>
      <c r="Y51" s="133"/>
      <c r="Z51" s="133"/>
      <c r="AJ51" s="282"/>
      <c r="AK51" s="282"/>
      <c r="AL51" s="282"/>
      <c r="AM51" s="282"/>
      <c r="AN51" s="282"/>
    </row>
    <row r="52" spans="1:40" x14ac:dyDescent="0.35">
      <c r="A52" s="290"/>
      <c r="B52" s="324" t="str">
        <f>'Inputs and eligible population'!$C$58</f>
        <v>Nivolumab neoadjuvant</v>
      </c>
      <c r="C52" s="289">
        <f>'Inputs and eligible population'!$F$58</f>
        <v>2.8</v>
      </c>
      <c r="D52" s="128">
        <f>'Inputs and eligible population'!L83*'Capacity (national prices)'!$C52</f>
        <v>6301.2498266452685</v>
      </c>
      <c r="E52" s="128">
        <f>'Inputs and eligible population'!M83*'Capacity (national prices)'!$C52</f>
        <v>5089.6042114047177</v>
      </c>
      <c r="F52" s="128">
        <f>'Inputs and eligible population'!N83*'Capacity (national prices)'!$C52</f>
        <v>4496.3425458688471</v>
      </c>
      <c r="G52" s="128">
        <f>'Inputs and eligible population'!O83*'Capacity (national prices)'!$C52</f>
        <v>4215.4314567745605</v>
      </c>
      <c r="H52" s="128">
        <f>'Inputs and eligible population'!P83*'Capacity (national prices)'!$C52</f>
        <v>3601.2949375261433</v>
      </c>
      <c r="I52" s="128">
        <f>'Inputs and eligible population'!Q83*'Capacity (national prices)'!$C52</f>
        <v>3305.470845395083</v>
      </c>
      <c r="J52" s="390"/>
      <c r="K52" s="512">
        <f>'Unit costs'!Q64</f>
        <v>781.06000000000006</v>
      </c>
      <c r="L52" s="286">
        <f>('Financial impact (cash)'!D16*'Capacity (national prices)'!$K$52)/1000</f>
        <v>1757.7336391426979</v>
      </c>
      <c r="M52" s="286">
        <f>('Financial impact (cash)'!E16*'Capacity (national prices)'!$K$52)/1000</f>
        <v>1419.7450947713462</v>
      </c>
      <c r="N52" s="286">
        <f>('Financial impact (cash)'!F16*'Capacity (national prices)'!$K$52)/1000</f>
        <v>1254.2547531701152</v>
      </c>
      <c r="O52" s="286">
        <f>('Financial impact (cash)'!G16*'Capacity (national prices)'!$K$52)/1000</f>
        <v>1175.894604867264</v>
      </c>
      <c r="P52" s="286">
        <f>('Financial impact (cash)'!H16*'Capacity (national prices)'!$K$52)/1000</f>
        <v>1004.5812228229179</v>
      </c>
      <c r="Q52" s="286">
        <f>('Financial impact (cash)'!I16*'Capacity (national prices)'!$K$52)/1000</f>
        <v>922.06109232295853</v>
      </c>
      <c r="R52" s="133"/>
      <c r="S52" s="133"/>
      <c r="T52" s="133"/>
      <c r="U52" s="133"/>
      <c r="V52" s="133"/>
      <c r="W52" s="133"/>
      <c r="X52" s="133"/>
      <c r="Y52" s="133"/>
      <c r="Z52" s="133"/>
      <c r="AJ52" s="282"/>
      <c r="AK52" s="282"/>
      <c r="AL52" s="282"/>
      <c r="AM52" s="282"/>
      <c r="AN52" s="282"/>
    </row>
    <row r="53" spans="1:40" x14ac:dyDescent="0.35">
      <c r="A53" s="290"/>
      <c r="B53" s="279"/>
      <c r="C53" s="305"/>
      <c r="D53" s="185">
        <f t="shared" ref="D53:I53" si="42">SUM(D51:D52)</f>
        <v>6301.2498266452685</v>
      </c>
      <c r="E53" s="185">
        <f t="shared" si="42"/>
        <v>6725.5484222133773</v>
      </c>
      <c r="F53" s="185">
        <f t="shared" si="42"/>
        <v>6973.9190507353551</v>
      </c>
      <c r="G53" s="185">
        <f t="shared" si="42"/>
        <v>7133.8070806954101</v>
      </c>
      <c r="H53" s="185">
        <f t="shared" si="42"/>
        <v>7389.670131547151</v>
      </c>
      <c r="I53" s="185">
        <f t="shared" si="42"/>
        <v>7555.3619323316179</v>
      </c>
      <c r="J53" s="390"/>
      <c r="K53" s="215"/>
      <c r="L53" s="287">
        <f t="shared" ref="L53:Q53" si="43">SUM(L51:L52)</f>
        <v>1757.7336391426979</v>
      </c>
      <c r="M53" s="287">
        <f t="shared" si="43"/>
        <v>2231.9177779483593</v>
      </c>
      <c r="N53" s="287">
        <f t="shared" si="43"/>
        <v>2484.2599968936174</v>
      </c>
      <c r="O53" s="287">
        <f t="shared" si="43"/>
        <v>2624.7367752408895</v>
      </c>
      <c r="P53" s="287">
        <f t="shared" si="43"/>
        <v>2885.3390297706178</v>
      </c>
      <c r="Q53" s="287">
        <f t="shared" si="43"/>
        <v>3031.9407718880366</v>
      </c>
      <c r="R53" s="133"/>
      <c r="S53" s="133"/>
      <c r="T53" s="133"/>
      <c r="U53" s="133"/>
      <c r="V53" s="133"/>
      <c r="W53" s="133"/>
      <c r="X53" s="133"/>
      <c r="Y53" s="133"/>
      <c r="Z53" s="133"/>
      <c r="AJ53" s="282"/>
      <c r="AK53" s="282"/>
      <c r="AL53" s="282"/>
      <c r="AM53" s="282"/>
      <c r="AN53" s="282"/>
    </row>
    <row r="54" spans="1:40" x14ac:dyDescent="0.35">
      <c r="A54" s="290"/>
      <c r="B54" s="254"/>
      <c r="C54" s="254"/>
      <c r="D54" s="281" t="s">
        <v>827</v>
      </c>
      <c r="E54" s="185">
        <f>E53-$D$53</f>
        <v>424.29859556810879</v>
      </c>
      <c r="F54" s="185">
        <f t="shared" ref="F54:I54" si="44">F53-$D$53</f>
        <v>672.66922409008657</v>
      </c>
      <c r="G54" s="185">
        <f t="shared" si="44"/>
        <v>832.55725405014164</v>
      </c>
      <c r="H54" s="185">
        <f t="shared" si="44"/>
        <v>1088.4203049018824</v>
      </c>
      <c r="I54" s="185">
        <f t="shared" si="44"/>
        <v>1254.1121056863494</v>
      </c>
      <c r="J54" s="390"/>
      <c r="K54" s="290"/>
      <c r="L54" s="486"/>
      <c r="M54" s="287">
        <f>M53-$L53</f>
        <v>474.18413880566141</v>
      </c>
      <c r="N54" s="287">
        <f>N53-$L53</f>
        <v>726.52635775091949</v>
      </c>
      <c r="O54" s="287">
        <f>O53-$L53</f>
        <v>867.00313609819159</v>
      </c>
      <c r="P54" s="287">
        <f>P53-$L53</f>
        <v>1127.6053906279199</v>
      </c>
      <c r="Q54" s="287">
        <f>Q53-$L53</f>
        <v>1274.2071327453386</v>
      </c>
      <c r="R54" s="133"/>
      <c r="S54" s="133"/>
      <c r="T54" s="133"/>
      <c r="U54" s="133"/>
      <c r="V54" s="133"/>
      <c r="W54" s="133"/>
      <c r="X54" s="133"/>
      <c r="Y54" s="133"/>
      <c r="Z54" s="133"/>
      <c r="AJ54" s="282"/>
      <c r="AK54" s="282"/>
      <c r="AL54" s="282"/>
      <c r="AM54" s="282"/>
      <c r="AN54" s="282"/>
    </row>
    <row r="55" spans="1:40" x14ac:dyDescent="0.35">
      <c r="A55" s="290"/>
      <c r="B55" s="304"/>
      <c r="C55" s="293"/>
      <c r="D55" s="292"/>
      <c r="E55" s="293"/>
      <c r="F55" s="294"/>
      <c r="G55" s="290"/>
      <c r="H55" s="290"/>
      <c r="I55" s="743"/>
      <c r="J55" s="215"/>
      <c r="K55" s="215"/>
      <c r="L55" s="215"/>
      <c r="M55" s="215"/>
      <c r="N55" s="215"/>
      <c r="O55" s="215"/>
      <c r="P55" s="215"/>
      <c r="Q55" s="215"/>
      <c r="R55" s="133"/>
      <c r="S55" s="133"/>
      <c r="T55" s="133"/>
      <c r="U55" s="133"/>
      <c r="V55" s="133"/>
      <c r="W55" s="133"/>
      <c r="X55" s="133"/>
      <c r="Y55" s="133"/>
      <c r="Z55" s="133"/>
      <c r="AJ55" s="282"/>
      <c r="AK55" s="282"/>
      <c r="AL55" s="282"/>
      <c r="AM55" s="282"/>
      <c r="AN55" s="282"/>
    </row>
    <row r="56" spans="1:40" x14ac:dyDescent="0.35">
      <c r="A56" s="295"/>
      <c r="B56" s="745" t="s">
        <v>1000</v>
      </c>
      <c r="C56" s="362"/>
      <c r="D56" s="362"/>
      <c r="E56" s="362"/>
      <c r="F56" s="362"/>
      <c r="G56" s="362"/>
      <c r="H56" s="362"/>
      <c r="I56" s="362"/>
      <c r="J56" s="390"/>
      <c r="K56" s="215"/>
      <c r="L56" s="215"/>
      <c r="M56" s="215"/>
      <c r="N56" s="215"/>
      <c r="O56" s="215"/>
      <c r="P56" s="215"/>
      <c r="Q56" s="215"/>
      <c r="S56" s="133"/>
      <c r="T56" s="133"/>
      <c r="U56" s="133"/>
      <c r="V56" s="133"/>
      <c r="W56" s="133"/>
      <c r="X56" s="133"/>
      <c r="Y56" s="133"/>
      <c r="Z56" s="133"/>
      <c r="AJ56" s="282"/>
      <c r="AK56" s="282"/>
      <c r="AL56" s="282"/>
      <c r="AM56" s="282"/>
      <c r="AN56" s="282"/>
    </row>
    <row r="57" spans="1:40" ht="43.5" x14ac:dyDescent="0.35">
      <c r="A57" s="295"/>
      <c r="B57" s="275" t="s">
        <v>771</v>
      </c>
      <c r="C57" s="165" t="s">
        <v>761</v>
      </c>
      <c r="D57" s="387" t="s">
        <v>814</v>
      </c>
      <c r="E57" s="253" t="s">
        <v>676</v>
      </c>
      <c r="F57" s="253" t="s">
        <v>677</v>
      </c>
      <c r="G57" s="164" t="s">
        <v>782</v>
      </c>
      <c r="H57" s="164" t="s">
        <v>783</v>
      </c>
      <c r="I57" s="253" t="s">
        <v>784</v>
      </c>
      <c r="J57" s="390"/>
      <c r="K57" s="495" t="s">
        <v>1056</v>
      </c>
      <c r="L57" s="387" t="s">
        <v>814</v>
      </c>
      <c r="M57" s="483" t="s">
        <v>676</v>
      </c>
      <c r="N57" s="483" t="s">
        <v>677</v>
      </c>
      <c r="O57" s="388" t="s">
        <v>782</v>
      </c>
      <c r="P57" s="388" t="s">
        <v>783</v>
      </c>
      <c r="Q57" s="483" t="s">
        <v>784</v>
      </c>
      <c r="V57" s="133"/>
      <c r="AJ57" s="282"/>
      <c r="AK57" s="282"/>
      <c r="AL57" s="282"/>
      <c r="AM57" s="282"/>
      <c r="AN57" s="282"/>
    </row>
    <row r="58" spans="1:40" x14ac:dyDescent="0.35">
      <c r="A58" s="295"/>
      <c r="B58" s="325" t="str">
        <f>'Capacity (local prices)'!B70</f>
        <v>Pembrolizumab adjuvant Yr 1</v>
      </c>
      <c r="C58" s="289">
        <f>IF('Unit costs'!$B$18="200mg every 3wks",'Inputs and eligible population'!F56,'Inputs and eligible population'!F57)</f>
        <v>2.625</v>
      </c>
      <c r="D58" s="128">
        <f>'Inputs and eligible population'!L88*'Capacity (national prices)'!$C58</f>
        <v>0</v>
      </c>
      <c r="E58" s="128">
        <f>'Inputs and eligible population'!M88*'Capacity (national prices)'!$C58</f>
        <v>849.32770277816235</v>
      </c>
      <c r="F58" s="128">
        <f>'Inputs and eligible population'!N88*'Capacity (national prices)'!$C58</f>
        <v>1286.2751354431955</v>
      </c>
      <c r="G58" s="128">
        <f>'Inputs and eligible population'!O88*'Capacity (national prices)'!$C58</f>
        <v>1515.1233447522411</v>
      </c>
      <c r="H58" s="128">
        <f>'Inputs and eligible population'!P88*'Capacity (national prices)'!$C58</f>
        <v>1966.7981215625732</v>
      </c>
      <c r="I58" s="128">
        <f>'Inputs and eligible population'!Q88*'Capacity (national prices)'!$C58</f>
        <v>2206.4017893012178</v>
      </c>
      <c r="J58" s="764"/>
      <c r="K58" s="512">
        <f>'Unit costs'!N58</f>
        <v>172</v>
      </c>
      <c r="L58" s="286">
        <f>(D58*$K58)/1000</f>
        <v>0</v>
      </c>
      <c r="M58" s="286">
        <f t="shared" ref="M58:Q58" si="45">(E58*$K58)/1000</f>
        <v>146.08436487784394</v>
      </c>
      <c r="N58" s="286">
        <f t="shared" si="45"/>
        <v>221.23932329622963</v>
      </c>
      <c r="O58" s="286">
        <f t="shared" si="45"/>
        <v>260.60121529738547</v>
      </c>
      <c r="P58" s="286">
        <f t="shared" si="45"/>
        <v>338.28927690876259</v>
      </c>
      <c r="Q58" s="286">
        <f t="shared" si="45"/>
        <v>379.50110775980949</v>
      </c>
      <c r="V58" s="133"/>
      <c r="AJ58" s="282"/>
      <c r="AK58" s="282"/>
      <c r="AL58" s="282"/>
      <c r="AM58" s="282"/>
      <c r="AN58" s="282"/>
    </row>
    <row r="59" spans="1:40" x14ac:dyDescent="0.35">
      <c r="A59" s="295"/>
      <c r="B59" s="325" t="str">
        <f>'Capacity (local prices)'!B71</f>
        <v>Pembrolizumab adjuvant Yr 2</v>
      </c>
      <c r="C59" s="289">
        <f>IF('Unit costs'!$B$18="200mg every 3wks",'Inputs and eligible population'!G56,'Inputs and eligible population'!G57)</f>
        <v>2.625</v>
      </c>
      <c r="D59" s="128">
        <f>'Inputs and eligible population'!L89*'Capacity (national prices)'!$C59</f>
        <v>0</v>
      </c>
      <c r="E59" s="128">
        <f>'Inputs and eligible population'!M89*'Capacity (national prices)'!$C59</f>
        <v>343.54828426981851</v>
      </c>
      <c r="F59" s="128">
        <f>'Inputs and eligible population'!N89*'Capacity (national prices)'!$C59</f>
        <v>520.29106602196669</v>
      </c>
      <c r="G59" s="128">
        <f>'Inputs and eligible population'!O89*'Capacity (national prices)'!$C59</f>
        <v>612.85888102337844</v>
      </c>
      <c r="H59" s="128">
        <f>'Inputs and eligible population'!P89*'Capacity (national prices)'!$C59</f>
        <v>795.55879074441168</v>
      </c>
      <c r="I59" s="128">
        <f>'Inputs and eligible population'!Q89*'Capacity (national prices)'!$C59</f>
        <v>892.47712825667259</v>
      </c>
      <c r="J59" s="764"/>
      <c r="K59" s="512">
        <f>'Unit costs'!N58</f>
        <v>172</v>
      </c>
      <c r="L59" s="286">
        <f>(D59*$K59)/1000</f>
        <v>0</v>
      </c>
      <c r="M59" s="286">
        <f t="shared" ref="M59" si="46">(E59*$K59)/1000</f>
        <v>59.090304894408789</v>
      </c>
      <c r="N59" s="286">
        <f t="shared" ref="N59" si="47">(F59*$K59)/1000</f>
        <v>89.490063355778275</v>
      </c>
      <c r="O59" s="286">
        <f t="shared" ref="O59" si="48">(G59*$K59)/1000</f>
        <v>105.41172753602109</v>
      </c>
      <c r="P59" s="286">
        <f t="shared" ref="P59" si="49">(H59*$K59)/1000</f>
        <v>136.83611200803881</v>
      </c>
      <c r="Q59" s="286">
        <f t="shared" ref="Q59" si="50">(I59*$K59)/1000</f>
        <v>153.50606606014767</v>
      </c>
      <c r="V59" s="133"/>
      <c r="AJ59" s="282"/>
      <c r="AK59" s="282"/>
      <c r="AL59" s="282"/>
      <c r="AM59" s="282"/>
      <c r="AN59" s="282"/>
    </row>
    <row r="60" spans="1:40" x14ac:dyDescent="0.35">
      <c r="A60" s="295"/>
      <c r="B60" s="279"/>
      <c r="C60" s="305"/>
      <c r="D60" s="185">
        <f t="shared" ref="D60:I60" si="51">SUM(D58:D59)</f>
        <v>0</v>
      </c>
      <c r="E60" s="185">
        <f t="shared" si="51"/>
        <v>1192.8759870479807</v>
      </c>
      <c r="F60" s="185">
        <f t="shared" si="51"/>
        <v>1806.5662014651621</v>
      </c>
      <c r="G60" s="185">
        <f t="shared" si="51"/>
        <v>2127.9822257756196</v>
      </c>
      <c r="H60" s="185">
        <f t="shared" si="51"/>
        <v>2762.3569123069847</v>
      </c>
      <c r="I60" s="185">
        <f t="shared" si="51"/>
        <v>3098.8789175578904</v>
      </c>
      <c r="J60" s="290"/>
      <c r="K60" s="215"/>
      <c r="L60" s="287">
        <f t="shared" ref="L60:Q60" si="52">SUM(L58:L59)</f>
        <v>0</v>
      </c>
      <c r="M60" s="287">
        <f t="shared" si="52"/>
        <v>205.17466977225274</v>
      </c>
      <c r="N60" s="287">
        <f t="shared" si="52"/>
        <v>310.72938665200792</v>
      </c>
      <c r="O60" s="287">
        <f t="shared" si="52"/>
        <v>366.01294283340656</v>
      </c>
      <c r="P60" s="287">
        <f t="shared" si="52"/>
        <v>475.1253889168014</v>
      </c>
      <c r="Q60" s="287">
        <f t="shared" si="52"/>
        <v>533.00717381995719</v>
      </c>
      <c r="V60" s="133"/>
      <c r="AJ60" s="282"/>
      <c r="AK60" s="282"/>
      <c r="AL60" s="282"/>
      <c r="AM60" s="282"/>
      <c r="AN60" s="282"/>
    </row>
    <row r="61" spans="1:40" x14ac:dyDescent="0.35">
      <c r="A61" s="295"/>
      <c r="B61" s="300"/>
      <c r="C61" s="254"/>
      <c r="D61" s="281" t="s">
        <v>827</v>
      </c>
      <c r="E61" s="185">
        <f>E60-$D$60</f>
        <v>1192.8759870479807</v>
      </c>
      <c r="F61" s="185">
        <f t="shared" ref="F61:I61" si="53">F60-$D$60</f>
        <v>1806.5662014651621</v>
      </c>
      <c r="G61" s="185">
        <f t="shared" si="53"/>
        <v>2127.9822257756196</v>
      </c>
      <c r="H61" s="185">
        <f t="shared" si="53"/>
        <v>2762.3569123069847</v>
      </c>
      <c r="I61" s="185">
        <f t="shared" si="53"/>
        <v>3098.8789175578904</v>
      </c>
      <c r="J61" s="290"/>
      <c r="K61" s="290"/>
      <c r="L61" s="486"/>
      <c r="M61" s="287">
        <f>M60-$L60</f>
        <v>205.17466977225274</v>
      </c>
      <c r="N61" s="287">
        <f>N60-$L60</f>
        <v>310.72938665200792</v>
      </c>
      <c r="O61" s="287">
        <f>O60-$L60</f>
        <v>366.01294283340656</v>
      </c>
      <c r="P61" s="287">
        <f>P60-$L60</f>
        <v>475.1253889168014</v>
      </c>
      <c r="Q61" s="287">
        <f>Q60-$L60</f>
        <v>533.00717381995719</v>
      </c>
      <c r="S61" s="133"/>
      <c r="T61" s="133"/>
      <c r="U61" s="133"/>
      <c r="V61" s="133"/>
      <c r="W61" s="133"/>
      <c r="X61" s="133"/>
      <c r="Y61" s="133"/>
      <c r="Z61" s="133"/>
      <c r="AJ61" s="282"/>
      <c r="AK61" s="282"/>
      <c r="AL61" s="282"/>
      <c r="AM61" s="282"/>
      <c r="AN61" s="282"/>
    </row>
    <row r="62" spans="1:40" x14ac:dyDescent="0.35">
      <c r="A62" s="290"/>
      <c r="B62" s="304"/>
      <c r="C62" s="293"/>
      <c r="D62" s="293"/>
      <c r="E62" s="294"/>
      <c r="F62" s="290"/>
      <c r="G62" s="290"/>
      <c r="H62" s="215"/>
      <c r="I62" s="215"/>
      <c r="J62" s="290"/>
      <c r="K62" s="290"/>
      <c r="L62" s="290"/>
      <c r="M62" s="290"/>
      <c r="N62" s="290"/>
      <c r="O62" s="290"/>
      <c r="P62" s="290"/>
      <c r="Q62" s="290"/>
      <c r="S62" s="133"/>
      <c r="T62" s="133"/>
      <c r="U62" s="133"/>
      <c r="V62" s="133"/>
      <c r="W62" s="133"/>
      <c r="X62" s="133"/>
      <c r="Y62" s="133"/>
      <c r="Z62" s="133"/>
      <c r="AJ62" s="282"/>
      <c r="AK62" s="282"/>
      <c r="AL62" s="282"/>
      <c r="AM62" s="282"/>
      <c r="AN62" s="282"/>
    </row>
    <row r="63" spans="1:40" x14ac:dyDescent="0.35">
      <c r="B63"/>
    </row>
    <row r="64" spans="1:40" x14ac:dyDescent="0.35">
      <c r="B64"/>
    </row>
    <row r="65" spans="2:2" x14ac:dyDescent="0.35">
      <c r="B65"/>
    </row>
    <row r="66" spans="2:2" x14ac:dyDescent="0.35">
      <c r="B66"/>
    </row>
    <row r="67" spans="2:2" x14ac:dyDescent="0.35">
      <c r="B67"/>
    </row>
  </sheetData>
  <sheetProtection algorithmName="SHA-512" hashValue="yvbY/j13D8UqqUGFuoS8t5+Gk/A3/WBv1qzAflFuI6GwmMcAgDg9OSmt1iUZEF0cKADW6XOKlS4r85AEjAcP6w==" saltValue="26F1V0uUY/ExuRiBlp8wE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2006/metadata/properties"/>
    <ds:schemaRef ds:uri="http://schemas.microsoft.com/office/2006/documentManagement/types"/>
    <ds:schemaRef ds:uri="acaf4567-dc07-471f-892c-2bcb86ef35ae"/>
    <ds:schemaRef ds:uri="http://purl.org/dc/elements/1.1/"/>
    <ds:schemaRef ds:uri="c1f338ac-e338-414f-952c-f74dcc6d59e1"/>
    <ds:schemaRef ds:uri="http://schemas.microsoft.com/office/infopath/2007/PartnerControls"/>
    <ds:schemaRef ds:uri="http://purl.org/dc/terms/"/>
    <ds:schemaRef ds:uri="http://purl.org/dc/dcmitype/"/>
    <ds:schemaRef ds:uri="http://schemas.openxmlformats.org/package/2006/metadata/core-properties"/>
    <ds:schemaRef ds:uri="0eb656aa-4e79-4e95-9076-bc119a23e0cc"/>
    <ds:schemaRef ds:uri="http://www.w3.org/XML/1998/namespace"/>
  </ds:schemaRefs>
</ds:datastoreItem>
</file>

<file path=customXml/itemProps3.xml><?xml version="1.0" encoding="utf-8"?>
<ds:datastoreItem xmlns:ds="http://schemas.openxmlformats.org/officeDocument/2006/customXml" ds:itemID="{1125D93F-88A2-4539-867B-DEDE06C21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TA1017 Pembrolizumab with chemotherapy before surgery (neoadjuvant) then alone after surgery (adjuvant) for treating resectable non-small-cell lung cancer: resource impact template 20/11/2024</dc:title>
  <dc:subject/>
  <dc:creator/>
  <cp:keywords/>
  <dc:description/>
  <cp:lastModifiedBy/>
  <cp:revision/>
  <dcterms:created xsi:type="dcterms:W3CDTF">2022-07-27T12:38:28Z</dcterms:created>
  <dcterms:modified xsi:type="dcterms:W3CDTF">2024-11-19T15:05:24Z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