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AE154575-B00A-4170-AEAF-B4561D55FA85}" xr6:coauthVersionLast="47" xr6:coauthVersionMax="47" xr10:uidLastSave="{00000000-0000-0000-0000-000000000000}"/>
  <bookViews>
    <workbookView xWindow="31530" yWindow="2730" windowWidth="21600" windowHeight="11385"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#REF!</definedName>
    <definedName name="ORGTYPE" localSheetId="9">#REF!</definedName>
    <definedName name="ORGTYPE" localSheetId="2">#REF!</definedName>
    <definedName name="ORGTYPE" localSheetId="7">#REF!</definedName>
    <definedName name="ORGTYPE" localSheetId="6">#REF!</definedName>
    <definedName name="ORGTYPE">'Population selection'!$L$5:$L$14</definedName>
    <definedName name="ORGTYPE2">#REF!</definedName>
    <definedName name="ORGTYPE3">#REF!</definedName>
    <definedName name="PER100K">'Population selection'!$B$23</definedName>
    <definedName name="Popindicator">'Population selection'!$B$549:$B$564</definedName>
    <definedName name="_xlnm.Print_Area" localSheetId="8">'Capacity (local prices)'!$B$1:$S$104</definedName>
    <definedName name="_xlnm.Print_Area" localSheetId="9">'Capacity (national prices)'!$B$1:$S$102</definedName>
    <definedName name="_xlnm.Print_Area" localSheetId="3">Contents!$A$1:$P$29</definedName>
    <definedName name="_xlnm.Print_Area" localSheetId="2">Cover!$A$1:$J$28</definedName>
    <definedName name="_xlnm.Print_Area" localSheetId="7">'Financial impact (cash)'!$B$1:$J$34</definedName>
    <definedName name="_xlnm.Print_Area" localSheetId="4">'Inputs and eligible population'!$A$2:$S$145</definedName>
    <definedName name="_xlnm.Print_Area" localSheetId="0">'Population selection'!$B$11:$J$17</definedName>
    <definedName name="_xlnm.Print_Area" localSheetId="6">Summary!$B$1:$K$63</definedName>
    <definedName name="_xlnm.Print_Area" localSheetId="5">'Unit costs'!$D$1:$V$111</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57" l="1"/>
  <c r="C29" i="46"/>
  <c r="C28" i="46"/>
  <c r="B17" i="46"/>
  <c r="B15" i="56"/>
  <c r="C58" i="46"/>
  <c r="C57" i="46"/>
  <c r="C56" i="46"/>
  <c r="C55" i="46"/>
  <c r="K47" i="56"/>
  <c r="K46" i="56"/>
  <c r="K45" i="56"/>
  <c r="N78" i="21"/>
  <c r="K37" i="56"/>
  <c r="K38" i="56"/>
  <c r="K36" i="56"/>
  <c r="C38" i="56"/>
  <c r="C37" i="56"/>
  <c r="C40" i="46"/>
  <c r="C39" i="46"/>
  <c r="Q99" i="21"/>
  <c r="Q98" i="21"/>
  <c r="N99" i="21"/>
  <c r="N98" i="21"/>
  <c r="N97" i="21"/>
  <c r="N96" i="21"/>
  <c r="Q87" i="21"/>
  <c r="N88" i="21"/>
  <c r="N87" i="21"/>
  <c r="N86" i="21"/>
  <c r="N102" i="21" l="1"/>
  <c r="N91" i="21"/>
  <c r="N77" i="21"/>
  <c r="N76" i="21"/>
  <c r="N75" i="21"/>
  <c r="N74" i="21"/>
  <c r="N73" i="21"/>
  <c r="N72" i="21"/>
  <c r="N71" i="21"/>
  <c r="Q78" i="21"/>
  <c r="Q76" i="21"/>
  <c r="Q75" i="21"/>
  <c r="Q73" i="21"/>
  <c r="Q72" i="21"/>
  <c r="Q71" i="21"/>
  <c r="N83" i="21"/>
  <c r="R53" i="21"/>
  <c r="P60" i="21"/>
  <c r="P59" i="21"/>
  <c r="P58" i="21"/>
  <c r="P57" i="21"/>
  <c r="P56" i="21"/>
  <c r="P55" i="21"/>
  <c r="P53" i="21"/>
  <c r="K45" i="21"/>
  <c r="R45" i="21"/>
  <c r="N40" i="21"/>
  <c r="N39" i="21"/>
  <c r="N37" i="21"/>
  <c r="N38" i="21"/>
  <c r="P35" i="21"/>
  <c r="P40" i="21" s="1"/>
  <c r="N81" i="21" l="1"/>
  <c r="N80" i="21"/>
  <c r="P39" i="21"/>
  <c r="P37" i="21"/>
  <c r="P38" i="21"/>
  <c r="P28" i="21"/>
  <c r="R23" i="21"/>
  <c r="F92" i="50"/>
  <c r="E92" i="50"/>
  <c r="H82" i="50"/>
  <c r="H81" i="50"/>
  <c r="H80" i="50"/>
  <c r="B15" i="47" l="1"/>
  <c r="B16" i="47"/>
  <c r="B17" i="47"/>
  <c r="B18" i="47"/>
  <c r="B14" i="47"/>
  <c r="B77" i="46"/>
  <c r="B87" i="46" s="1"/>
  <c r="B98" i="46" s="1"/>
  <c r="B78" i="46"/>
  <c r="B88" i="46" s="1"/>
  <c r="B99" i="46" s="1"/>
  <c r="B79" i="46"/>
  <c r="B89" i="46" s="1"/>
  <c r="B100" i="46" s="1"/>
  <c r="B80" i="46"/>
  <c r="B90" i="46" s="1"/>
  <c r="B101" i="46" s="1"/>
  <c r="B76" i="46"/>
  <c r="B86" i="46" s="1"/>
  <c r="B97" i="46" s="1"/>
  <c r="C99" i="56"/>
  <c r="C98" i="56"/>
  <c r="C97" i="56"/>
  <c r="C96" i="56"/>
  <c r="C95" i="56"/>
  <c r="C88" i="56"/>
  <c r="C87" i="56"/>
  <c r="C86" i="56"/>
  <c r="C85" i="56"/>
  <c r="C84" i="56"/>
  <c r="C78" i="56"/>
  <c r="C77" i="56"/>
  <c r="C76" i="56"/>
  <c r="C75" i="56"/>
  <c r="C74" i="56"/>
  <c r="C68" i="56"/>
  <c r="C70" i="46" s="1"/>
  <c r="C67" i="56"/>
  <c r="C69" i="46" s="1"/>
  <c r="C66" i="56"/>
  <c r="C68" i="46" s="1"/>
  <c r="C65" i="56"/>
  <c r="C67" i="46" s="1"/>
  <c r="C64" i="56"/>
  <c r="C66" i="46" s="1"/>
  <c r="C56" i="56"/>
  <c r="C55" i="56"/>
  <c r="C54" i="56"/>
  <c r="C53" i="56"/>
  <c r="K35" i="56"/>
  <c r="K34" i="56"/>
  <c r="K27" i="56"/>
  <c r="K28" i="56"/>
  <c r="K26" i="56"/>
  <c r="C36" i="56"/>
  <c r="C35" i="56"/>
  <c r="C34" i="56"/>
  <c r="C28" i="56"/>
  <c r="C27" i="56"/>
  <c r="C26" i="56"/>
  <c r="C38" i="46"/>
  <c r="C37" i="46"/>
  <c r="C36" i="46"/>
  <c r="R83" i="21"/>
  <c r="P78" i="21"/>
  <c r="D7" i="47"/>
  <c r="E7" i="47"/>
  <c r="F7" i="47"/>
  <c r="C7" i="47"/>
  <c r="P75" i="21"/>
  <c r="P72" i="21"/>
  <c r="R72" i="21" s="1"/>
  <c r="P73" i="21"/>
  <c r="R73" i="21" s="1"/>
  <c r="P74" i="21"/>
  <c r="P76" i="21"/>
  <c r="R76" i="21" s="1"/>
  <c r="P77" i="21"/>
  <c r="P71" i="21"/>
  <c r="R71" i="21" s="1"/>
  <c r="R60" i="21"/>
  <c r="R59" i="21"/>
  <c r="R58" i="21"/>
  <c r="R57" i="21"/>
  <c r="R56" i="21"/>
  <c r="R55" i="21"/>
  <c r="R40" i="21"/>
  <c r="R39" i="21"/>
  <c r="R28" i="21"/>
  <c r="N28" i="21"/>
  <c r="J28" i="21"/>
  <c r="O28" i="21" l="1"/>
  <c r="C76" i="46"/>
  <c r="C77" i="46"/>
  <c r="C90" i="46"/>
  <c r="C78" i="46"/>
  <c r="C97" i="46"/>
  <c r="C79" i="46"/>
  <c r="C98" i="46"/>
  <c r="C99" i="46"/>
  <c r="C80" i="46"/>
  <c r="C86" i="46"/>
  <c r="C100" i="46"/>
  <c r="C87" i="46"/>
  <c r="C101" i="46"/>
  <c r="C88" i="46"/>
  <c r="C89" i="46"/>
  <c r="R78" i="21"/>
  <c r="R75" i="21"/>
  <c r="Q28" i="21"/>
  <c r="R79" i="21" l="1"/>
  <c r="V28" i="21"/>
  <c r="V29" i="21" s="1"/>
  <c r="C28" i="42" s="1"/>
  <c r="S28" i="21"/>
  <c r="R38" i="21" l="1"/>
  <c r="R37" i="21"/>
  <c r="N35" i="21"/>
  <c r="O35" i="21" s="1"/>
  <c r="J45" i="21"/>
  <c r="N45" i="21"/>
  <c r="O45" i="21" s="1"/>
  <c r="U45" i="21"/>
  <c r="R35" i="21" l="1"/>
  <c r="R24" i="21"/>
  <c r="R22" i="21"/>
  <c r="R20" i="21"/>
  <c r="R19" i="21"/>
  <c r="R18" i="21"/>
  <c r="R17" i="21"/>
  <c r="R16" i="21"/>
  <c r="R15" i="21"/>
  <c r="R14" i="21"/>
  <c r="R13" i="21"/>
  <c r="R21" i="21"/>
  <c r="R11" i="21"/>
  <c r="J20" i="21"/>
  <c r="J19" i="21"/>
  <c r="J18" i="21"/>
  <c r="J17" i="21"/>
  <c r="J16" i="21"/>
  <c r="J15" i="21"/>
  <c r="J14" i="21"/>
  <c r="J13" i="21"/>
  <c r="L24" i="21"/>
  <c r="N24" i="21" s="1"/>
  <c r="L22" i="21"/>
  <c r="N22" i="21" s="1"/>
  <c r="O22" i="21" s="1"/>
  <c r="L21" i="21"/>
  <c r="N21" i="21" s="1"/>
  <c r="O21" i="21" s="1"/>
  <c r="L20" i="21"/>
  <c r="N20" i="21" s="1"/>
  <c r="L18" i="21"/>
  <c r="N18" i="21" s="1"/>
  <c r="M23" i="21"/>
  <c r="N23" i="21" s="1"/>
  <c r="M19" i="21"/>
  <c r="N19" i="21" s="1"/>
  <c r="M17" i="21"/>
  <c r="N17" i="21" s="1"/>
  <c r="L16" i="21"/>
  <c r="N16" i="21" s="1"/>
  <c r="L15" i="21"/>
  <c r="N15" i="21" s="1"/>
  <c r="O15" i="21" s="1"/>
  <c r="L14" i="21"/>
  <c r="N14" i="21" s="1"/>
  <c r="O14" i="21" s="1"/>
  <c r="M13" i="21"/>
  <c r="N13" i="21" s="1"/>
  <c r="J24" i="21"/>
  <c r="J23" i="21"/>
  <c r="J22" i="21"/>
  <c r="J21" i="21"/>
  <c r="N11" i="21"/>
  <c r="O11" i="21" s="1"/>
  <c r="U40" i="21"/>
  <c r="U39" i="21"/>
  <c r="U38" i="21"/>
  <c r="U37" i="21"/>
  <c r="U35" i="21"/>
  <c r="P99" i="21"/>
  <c r="P98" i="21"/>
  <c r="P97" i="21"/>
  <c r="Q96" i="21"/>
  <c r="N101" i="21" s="1"/>
  <c r="P96" i="21"/>
  <c r="Q88" i="21"/>
  <c r="N90" i="21" s="1"/>
  <c r="P88" i="21"/>
  <c r="P87" i="21"/>
  <c r="P86" i="21"/>
  <c r="N60" i="21"/>
  <c r="J60" i="21"/>
  <c r="K59" i="21"/>
  <c r="N59" i="21" s="1"/>
  <c r="J59" i="21"/>
  <c r="N58" i="21"/>
  <c r="J58" i="21"/>
  <c r="N57" i="21"/>
  <c r="J57" i="21"/>
  <c r="N56" i="21"/>
  <c r="J56" i="21"/>
  <c r="N55" i="21"/>
  <c r="J55" i="21"/>
  <c r="N53" i="21"/>
  <c r="J53" i="21"/>
  <c r="J40" i="21"/>
  <c r="O40" i="21" s="1"/>
  <c r="J39" i="21"/>
  <c r="J38" i="21"/>
  <c r="O38" i="21" s="1"/>
  <c r="J37" i="21"/>
  <c r="O16" i="21" l="1"/>
  <c r="O24" i="21"/>
  <c r="O17" i="21"/>
  <c r="O39" i="21"/>
  <c r="Q39" i="21" s="1"/>
  <c r="S39" i="21" s="1"/>
  <c r="O19" i="21"/>
  <c r="O59" i="21"/>
  <c r="O37" i="21"/>
  <c r="Q37" i="21" s="1"/>
  <c r="S37" i="21" s="1"/>
  <c r="O60" i="21"/>
  <c r="Q60" i="21" s="1"/>
  <c r="S60" i="21" s="1"/>
  <c r="O57" i="21"/>
  <c r="Q57" i="21" s="1"/>
  <c r="S57" i="21" s="1"/>
  <c r="O23" i="21"/>
  <c r="O56" i="21"/>
  <c r="O18" i="21"/>
  <c r="O55" i="21"/>
  <c r="O53" i="21"/>
  <c r="Q53" i="21" s="1"/>
  <c r="O58" i="21"/>
  <c r="Q58" i="21" s="1"/>
  <c r="S58" i="21" s="1"/>
  <c r="O13" i="21"/>
  <c r="O20" i="21"/>
  <c r="R98" i="21"/>
  <c r="R87" i="21"/>
  <c r="Q59" i="21"/>
  <c r="S59" i="21" s="1"/>
  <c r="Q55" i="21"/>
  <c r="S55" i="21" s="1"/>
  <c r="Q56" i="21"/>
  <c r="S56" i="21" s="1"/>
  <c r="Q40" i="21"/>
  <c r="S40" i="21" s="1"/>
  <c r="R99" i="21"/>
  <c r="R88" i="21"/>
  <c r="R96" i="21"/>
  <c r="Q35" i="21"/>
  <c r="V35" i="21" s="1"/>
  <c r="V40" i="21" l="1"/>
  <c r="R89" i="21"/>
  <c r="V58" i="21"/>
  <c r="V60" i="21"/>
  <c r="V56" i="21"/>
  <c r="V53" i="21"/>
  <c r="S53" i="21"/>
  <c r="Q38" i="21"/>
  <c r="R100" i="21"/>
  <c r="V61" i="21" l="1"/>
  <c r="C27" i="42" s="1"/>
  <c r="S38" i="21"/>
  <c r="V38" i="21" s="1"/>
  <c r="V41" i="21" s="1"/>
  <c r="C26" i="42" s="1"/>
  <c r="H92" i="50"/>
  <c r="G92" i="50"/>
  <c r="J82" i="50"/>
  <c r="J81" i="50"/>
  <c r="J80" i="50"/>
  <c r="H7" i="47" s="1"/>
  <c r="I81" i="50"/>
  <c r="I80" i="50"/>
  <c r="G7" i="47" s="1"/>
  <c r="I82" i="50"/>
  <c r="H83" i="50"/>
  <c r="G83" i="50"/>
  <c r="F83" i="50"/>
  <c r="E83" i="50"/>
  <c r="J90" i="50"/>
  <c r="I90" i="50"/>
  <c r="H90" i="50"/>
  <c r="G90" i="50"/>
  <c r="F90" i="50"/>
  <c r="E90" i="50"/>
  <c r="K55" i="50"/>
  <c r="K54" i="50"/>
  <c r="P45" i="21" s="1"/>
  <c r="K52" i="50"/>
  <c r="N93" i="21" l="1"/>
  <c r="R93" i="21" s="1"/>
  <c r="C59" i="46"/>
  <c r="C57" i="56"/>
  <c r="I92" i="50"/>
  <c r="Q45" i="21"/>
  <c r="I83" i="50"/>
  <c r="K51" i="50"/>
  <c r="J92" i="50"/>
  <c r="J83" i="50"/>
  <c r="E93" i="50"/>
  <c r="E94" i="50" s="1"/>
  <c r="G93" i="50"/>
  <c r="G94" i="50" s="1"/>
  <c r="I93" i="50"/>
  <c r="F93" i="50"/>
  <c r="F94" i="50" s="1"/>
  <c r="H93" i="50"/>
  <c r="H94" i="50" s="1"/>
  <c r="J93" i="50"/>
  <c r="K53" i="50"/>
  <c r="E28" i="50"/>
  <c r="I94" i="50" l="1"/>
  <c r="S45" i="21"/>
  <c r="V45" i="21" s="1"/>
  <c r="V46" i="21" s="1"/>
  <c r="C29" i="42" s="1"/>
  <c r="J94" i="50"/>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M119" i="50"/>
  <c r="M118" i="50"/>
  <c r="M117" i="50"/>
  <c r="M116" i="50"/>
  <c r="M115" i="50"/>
  <c r="M113"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E14" i="57"/>
  <c r="D13" i="57"/>
  <c r="C13" i="57"/>
  <c r="E13" i="57" s="1"/>
  <c r="D12" i="57"/>
  <c r="C12" i="57"/>
  <c r="E12" i="57" s="1"/>
  <c r="K40" i="46" l="1"/>
  <c r="K39" i="46"/>
  <c r="K38" i="46"/>
  <c r="K77" i="46"/>
  <c r="K78" i="46"/>
  <c r="K79" i="46"/>
  <c r="K80" i="46"/>
  <c r="K76" i="46"/>
  <c r="K88" i="46"/>
  <c r="K89" i="46"/>
  <c r="K90" i="46"/>
  <c r="K86" i="46"/>
  <c r="K87" i="46"/>
  <c r="K98" i="46"/>
  <c r="K99" i="46"/>
  <c r="K100" i="46"/>
  <c r="K101" i="46"/>
  <c r="K97" i="46"/>
  <c r="K67" i="46"/>
  <c r="K68" i="46"/>
  <c r="K69" i="46"/>
  <c r="K70" i="46"/>
  <c r="K66" i="46"/>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F19" i="50"/>
  <c r="G13" i="50"/>
  <c r="G41" i="50"/>
  <c r="G38" i="50" l="1"/>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B1" i="21"/>
  <c r="C44" i="50" l="1"/>
  <c r="F16" i="50" l="1"/>
  <c r="F18" i="50"/>
  <c r="C30" i="46"/>
  <c r="B13" i="56"/>
  <c r="B13" i="46" s="1"/>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B14" i="56" l="1"/>
  <c r="B16" i="46"/>
  <c r="B19" i="56" l="1"/>
  <c r="B18" i="56"/>
  <c r="B17" i="56"/>
  <c r="B16" i="56"/>
  <c r="B12" i="56"/>
  <c r="B12" i="46" s="1"/>
  <c r="B21" i="46"/>
  <c r="B20" i="46"/>
  <c r="B19" i="46"/>
  <c r="B18" i="46"/>
  <c r="K37" i="46" l="1"/>
  <c r="K36" i="46"/>
  <c r="K30" i="46"/>
  <c r="K29" i="46"/>
  <c r="K28" i="46"/>
  <c r="C43" i="50"/>
  <c r="G39" i="50"/>
  <c r="C38" i="50" l="1"/>
  <c r="F17" i="50"/>
  <c r="C17" i="50"/>
  <c r="F15" i="50"/>
  <c r="F20" i="50" l="1"/>
  <c r="H41" i="50" l="1"/>
  <c r="I41" i="50" s="1"/>
  <c r="J41" i="50" s="1"/>
  <c r="K41" i="50" s="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K50" i="50"/>
  <c r="P11" i="21" s="1"/>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Q11" i="21" l="1"/>
  <c r="V11" i="21" s="1"/>
  <c r="P18" i="21"/>
  <c r="Q18" i="21" s="1"/>
  <c r="S18" i="21" s="1"/>
  <c r="P17" i="21"/>
  <c r="Q17" i="21" s="1"/>
  <c r="S17" i="21" s="1"/>
  <c r="P24" i="21"/>
  <c r="Q24" i="21" s="1"/>
  <c r="S24" i="21" s="1"/>
  <c r="P16" i="21"/>
  <c r="Q16" i="21" s="1"/>
  <c r="S16" i="21" s="1"/>
  <c r="P19" i="21"/>
  <c r="Q19" i="21" s="1"/>
  <c r="S19" i="21" s="1"/>
  <c r="P23" i="21"/>
  <c r="Q23" i="21" s="1"/>
  <c r="S23" i="21" s="1"/>
  <c r="P15" i="21"/>
  <c r="Q15" i="21" s="1"/>
  <c r="S15" i="21" s="1"/>
  <c r="P22" i="21"/>
  <c r="Q22" i="21" s="1"/>
  <c r="S22" i="21" s="1"/>
  <c r="P14" i="21"/>
  <c r="Q14" i="21" s="1"/>
  <c r="S14" i="21" s="1"/>
  <c r="P21" i="21"/>
  <c r="Q21" i="21" s="1"/>
  <c r="S21" i="21" s="1"/>
  <c r="P13" i="21"/>
  <c r="Q13" i="21" s="1"/>
  <c r="S13" i="21" s="1"/>
  <c r="P20" i="21"/>
  <c r="Q20" i="21" s="1"/>
  <c r="S20" i="21" s="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V14" i="21" l="1"/>
  <c r="V20" i="21"/>
  <c r="V16" i="21"/>
  <c r="V24" i="21"/>
  <c r="V18" i="21"/>
  <c r="V22" i="21"/>
  <c r="F532" i="32"/>
  <c r="F143" i="32"/>
  <c r="F26" i="32"/>
  <c r="F157" i="32"/>
  <c r="F27" i="32"/>
  <c r="F497" i="32"/>
  <c r="F520" i="32"/>
  <c r="F149" i="32"/>
  <c r="D25" i="32"/>
  <c r="E25" i="32"/>
  <c r="F135" i="32"/>
  <c r="F200" i="32"/>
  <c r="F25" i="32"/>
  <c r="V25" i="21" l="1"/>
  <c r="C25" i="42" s="1"/>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27" i="50" s="1"/>
  <c r="F28" i="50" s="1"/>
  <c r="F29" i="50" s="1"/>
  <c r="F30" i="50" s="1"/>
  <c r="F31" i="50" s="1"/>
  <c r="F32" i="50" s="1"/>
  <c r="F33" i="50" s="1"/>
  <c r="F34" i="50" s="1"/>
  <c r="F43" i="50"/>
  <c r="F15" i="32"/>
  <c r="F16" i="32" s="1"/>
  <c r="G43" i="50" l="1"/>
  <c r="K43" i="50" l="1"/>
  <c r="G26" i="50" s="1"/>
  <c r="J43" i="50"/>
  <c r="I43" i="50"/>
  <c r="H43" i="50"/>
  <c r="G27" i="50" l="1"/>
  <c r="G28" i="50" s="1"/>
  <c r="G29" i="50" s="1"/>
  <c r="G30" i="50" s="1"/>
  <c r="G31" i="50" s="1"/>
  <c r="G32" i="50" s="1"/>
  <c r="G33" i="50" s="1"/>
  <c r="G34" i="50" s="1"/>
  <c r="F44" i="50"/>
  <c r="L80" i="50" s="1"/>
  <c r="D55" i="46" l="1"/>
  <c r="D66" i="46" s="1"/>
  <c r="L89" i="50"/>
  <c r="D53" i="56"/>
  <c r="L81" i="50"/>
  <c r="L82" i="50"/>
  <c r="C6" i="47"/>
  <c r="D8" i="42"/>
  <c r="G44" i="50"/>
  <c r="I44" i="50"/>
  <c r="H44" i="50"/>
  <c r="K44" i="50"/>
  <c r="J44" i="50"/>
  <c r="D57" i="46" l="1"/>
  <c r="D68" i="46" s="1"/>
  <c r="D55" i="56"/>
  <c r="D56" i="46"/>
  <c r="D67" i="46" s="1"/>
  <c r="D54" i="56"/>
  <c r="D64" i="56"/>
  <c r="D84" i="56"/>
  <c r="D95" i="56"/>
  <c r="D74" i="56"/>
  <c r="C16" i="47"/>
  <c r="D16" i="42"/>
  <c r="D14" i="42"/>
  <c r="C8" i="47" s="1"/>
  <c r="C14" i="47"/>
  <c r="L90" i="50"/>
  <c r="D15" i="42"/>
  <c r="C15" i="47"/>
  <c r="Q82" i="50"/>
  <c r="Q80" i="50"/>
  <c r="Q81" i="50"/>
  <c r="L83" i="50"/>
  <c r="P81" i="50"/>
  <c r="P80" i="50"/>
  <c r="P82" i="50"/>
  <c r="N81" i="50"/>
  <c r="N80" i="50"/>
  <c r="N82" i="50"/>
  <c r="O82" i="50"/>
  <c r="O81" i="50"/>
  <c r="O80" i="50"/>
  <c r="D6" i="47"/>
  <c r="M82" i="50"/>
  <c r="M81" i="50"/>
  <c r="M80" i="50"/>
  <c r="F6" i="47"/>
  <c r="G6" i="47"/>
  <c r="E6" i="47"/>
  <c r="H6" i="47"/>
  <c r="H8" i="42"/>
  <c r="G8" i="42"/>
  <c r="I8" i="42"/>
  <c r="E8" i="42"/>
  <c r="F8" i="42"/>
  <c r="H57" i="46" l="1"/>
  <c r="H68" i="46" s="1"/>
  <c r="H55" i="56"/>
  <c r="E55" i="46"/>
  <c r="E66" i="46" s="1"/>
  <c r="E53" i="56"/>
  <c r="F55" i="46"/>
  <c r="F66" i="46" s="1"/>
  <c r="F53" i="56"/>
  <c r="I57" i="46"/>
  <c r="I68" i="46" s="1"/>
  <c r="I55" i="56"/>
  <c r="E56" i="46"/>
  <c r="E67" i="46" s="1"/>
  <c r="E54" i="56"/>
  <c r="F56" i="46"/>
  <c r="F67" i="46" s="1"/>
  <c r="F54" i="56"/>
  <c r="H55" i="46"/>
  <c r="H66" i="46" s="1"/>
  <c r="H53" i="56"/>
  <c r="E57" i="46"/>
  <c r="E68" i="46" s="1"/>
  <c r="E55" i="56"/>
  <c r="D37" i="46"/>
  <c r="L37" i="46" s="1"/>
  <c r="D27" i="56"/>
  <c r="D29" i="46"/>
  <c r="G55" i="46"/>
  <c r="G66" i="46" s="1"/>
  <c r="G53" i="56"/>
  <c r="H56" i="46"/>
  <c r="H67" i="46" s="1"/>
  <c r="H54" i="56"/>
  <c r="D65" i="56"/>
  <c r="D85" i="56"/>
  <c r="D75" i="56"/>
  <c r="D96" i="56"/>
  <c r="G56" i="46"/>
  <c r="G67" i="46" s="1"/>
  <c r="G54" i="56"/>
  <c r="D7" i="56"/>
  <c r="D7" i="46"/>
  <c r="D47" i="56"/>
  <c r="L47" i="56" s="1"/>
  <c r="D48" i="46"/>
  <c r="D49" i="46"/>
  <c r="D46" i="56"/>
  <c r="L46" i="56" s="1"/>
  <c r="D26" i="56"/>
  <c r="L26" i="56" s="1"/>
  <c r="D36" i="46"/>
  <c r="D28" i="46"/>
  <c r="G57" i="46"/>
  <c r="G68" i="46" s="1"/>
  <c r="G55" i="56"/>
  <c r="I56" i="46"/>
  <c r="I67" i="46" s="1"/>
  <c r="I54" i="56"/>
  <c r="D36" i="56"/>
  <c r="D28" i="56"/>
  <c r="D38" i="46"/>
  <c r="L38" i="46" s="1"/>
  <c r="D30" i="46"/>
  <c r="D66" i="56"/>
  <c r="D86" i="56"/>
  <c r="D76" i="56"/>
  <c r="D97" i="56"/>
  <c r="F57" i="46"/>
  <c r="F68" i="46" s="1"/>
  <c r="F55" i="56"/>
  <c r="I55" i="46"/>
  <c r="I66" i="46" s="1"/>
  <c r="I53" i="56"/>
  <c r="D17" i="42"/>
  <c r="D34" i="56"/>
  <c r="E14" i="42"/>
  <c r="D14" i="47"/>
  <c r="F14" i="42"/>
  <c r="E14" i="47"/>
  <c r="I14" i="42"/>
  <c r="H14" i="47"/>
  <c r="G16" i="47"/>
  <c r="H16" i="42"/>
  <c r="D86" i="46"/>
  <c r="L86" i="46" s="1"/>
  <c r="D97" i="46"/>
  <c r="L97" i="46" s="1"/>
  <c r="L66" i="46"/>
  <c r="D76" i="46"/>
  <c r="L76" i="46" s="1"/>
  <c r="N90" i="50"/>
  <c r="E15" i="47"/>
  <c r="F15" i="42"/>
  <c r="H14" i="42"/>
  <c r="G14" i="47"/>
  <c r="L67" i="46"/>
  <c r="D98" i="46"/>
  <c r="L98" i="46" s="1"/>
  <c r="D87" i="46"/>
  <c r="L87" i="46" s="1"/>
  <c r="D77" i="46"/>
  <c r="L77" i="46" s="1"/>
  <c r="F16" i="42"/>
  <c r="E16" i="47"/>
  <c r="M90" i="50"/>
  <c r="E15" i="42"/>
  <c r="D15" i="47"/>
  <c r="E16" i="42"/>
  <c r="D16" i="47"/>
  <c r="F14" i="47"/>
  <c r="G14" i="42"/>
  <c r="P90" i="50"/>
  <c r="H15" i="42"/>
  <c r="G15" i="47"/>
  <c r="D88" i="46"/>
  <c r="L88" i="46" s="1"/>
  <c r="D99" i="46"/>
  <c r="L99" i="46" s="1"/>
  <c r="L68" i="46"/>
  <c r="D78" i="46"/>
  <c r="L78" i="46" s="1"/>
  <c r="Q90" i="50"/>
  <c r="I15" i="42"/>
  <c r="H15" i="47"/>
  <c r="I16" i="42"/>
  <c r="H16" i="47"/>
  <c r="O90" i="50"/>
  <c r="G15" i="42"/>
  <c r="F15" i="47"/>
  <c r="D26" i="42"/>
  <c r="D27" i="42"/>
  <c r="G16" i="42"/>
  <c r="F16" i="47"/>
  <c r="M89" i="50"/>
  <c r="M83" i="50"/>
  <c r="O89" i="50"/>
  <c r="O83" i="50"/>
  <c r="N89" i="50"/>
  <c r="N83" i="50"/>
  <c r="Q89" i="50"/>
  <c r="Q83" i="50"/>
  <c r="P89" i="50"/>
  <c r="P83" i="50"/>
  <c r="L92" i="50"/>
  <c r="L93" i="50"/>
  <c r="L27" i="56"/>
  <c r="D35" i="56"/>
  <c r="L35" i="56" s="1"/>
  <c r="D25" i="42"/>
  <c r="G49" i="46" l="1"/>
  <c r="G47" i="56"/>
  <c r="O47" i="56" s="1"/>
  <c r="G46" i="56"/>
  <c r="O46" i="56" s="1"/>
  <c r="G48" i="46"/>
  <c r="G36" i="46"/>
  <c r="G26" i="56"/>
  <c r="G34" i="56"/>
  <c r="O34" i="56" s="1"/>
  <c r="G28" i="46"/>
  <c r="F28" i="56"/>
  <c r="F38" i="46"/>
  <c r="N38" i="46" s="1"/>
  <c r="F36" i="56"/>
  <c r="N36" i="56" s="1"/>
  <c r="F30" i="46"/>
  <c r="G66" i="56"/>
  <c r="G76" i="56"/>
  <c r="G86" i="56"/>
  <c r="G97" i="56"/>
  <c r="E66" i="56"/>
  <c r="E76" i="56"/>
  <c r="E86" i="56"/>
  <c r="E97" i="56"/>
  <c r="I66" i="56"/>
  <c r="I76" i="56"/>
  <c r="I97" i="56"/>
  <c r="I86" i="56"/>
  <c r="I48" i="46"/>
  <c r="I46" i="56"/>
  <c r="Q46" i="56" s="1"/>
  <c r="I49" i="46"/>
  <c r="I47" i="56"/>
  <c r="Q47" i="56" s="1"/>
  <c r="I34" i="56"/>
  <c r="I36" i="46"/>
  <c r="I26" i="56"/>
  <c r="Q26" i="56" s="1"/>
  <c r="I28" i="46"/>
  <c r="I64" i="56"/>
  <c r="I84" i="56"/>
  <c r="I74" i="56"/>
  <c r="I95" i="56"/>
  <c r="H65" i="56"/>
  <c r="H85" i="56"/>
  <c r="H75" i="56"/>
  <c r="H96" i="56"/>
  <c r="G7" i="56"/>
  <c r="G7" i="46"/>
  <c r="G27" i="56"/>
  <c r="G35" i="56"/>
  <c r="G37" i="46"/>
  <c r="O37" i="46" s="1"/>
  <c r="G29" i="46"/>
  <c r="H64" i="56"/>
  <c r="H95" i="56"/>
  <c r="H74" i="56"/>
  <c r="H84" i="56"/>
  <c r="H7" i="46"/>
  <c r="H7" i="56"/>
  <c r="E7" i="46"/>
  <c r="E7" i="56"/>
  <c r="E36" i="56"/>
  <c r="M36" i="56" s="1"/>
  <c r="E38" i="46"/>
  <c r="M38" i="46" s="1"/>
  <c r="E28" i="56"/>
  <c r="E30" i="46"/>
  <c r="F47" i="56"/>
  <c r="N47" i="56" s="1"/>
  <c r="F46" i="56"/>
  <c r="N46" i="56" s="1"/>
  <c r="F48" i="46"/>
  <c r="F49" i="46"/>
  <c r="F36" i="46"/>
  <c r="F34" i="56"/>
  <c r="N34" i="56" s="1"/>
  <c r="F26" i="56"/>
  <c r="F28" i="46"/>
  <c r="F66" i="56"/>
  <c r="F86" i="56"/>
  <c r="F76" i="56"/>
  <c r="F97" i="56"/>
  <c r="L36" i="46"/>
  <c r="G65" i="56"/>
  <c r="G85" i="56"/>
  <c r="G75" i="56"/>
  <c r="G96" i="56"/>
  <c r="G64" i="56"/>
  <c r="G74" i="56"/>
  <c r="G84" i="56"/>
  <c r="G95" i="56"/>
  <c r="F64" i="56"/>
  <c r="F74" i="56"/>
  <c r="F95" i="56"/>
  <c r="F84" i="56"/>
  <c r="F65" i="56"/>
  <c r="F75" i="56"/>
  <c r="F96" i="56"/>
  <c r="F85" i="56"/>
  <c r="E64" i="56"/>
  <c r="E74" i="56"/>
  <c r="E84" i="56"/>
  <c r="E95" i="56"/>
  <c r="D59" i="46"/>
  <c r="D70" i="46" s="1"/>
  <c r="D57" i="56"/>
  <c r="O30" i="46"/>
  <c r="P30" i="46"/>
  <c r="Q30" i="46"/>
  <c r="M30" i="46"/>
  <c r="N30" i="46"/>
  <c r="L30" i="46"/>
  <c r="I28" i="56"/>
  <c r="I36" i="56"/>
  <c r="Q36" i="56" s="1"/>
  <c r="I38" i="46"/>
  <c r="Q38" i="46" s="1"/>
  <c r="I30" i="46"/>
  <c r="E35" i="56"/>
  <c r="M35" i="56" s="1"/>
  <c r="E37" i="46"/>
  <c r="M37" i="46" s="1"/>
  <c r="E27" i="56"/>
  <c r="E29" i="46"/>
  <c r="E47" i="56"/>
  <c r="M47" i="56" s="1"/>
  <c r="E46" i="56"/>
  <c r="M46" i="56" s="1"/>
  <c r="E49" i="46"/>
  <c r="E48" i="46"/>
  <c r="E34" i="56"/>
  <c r="M34" i="56" s="1"/>
  <c r="E26" i="56"/>
  <c r="E36" i="46"/>
  <c r="E28" i="46"/>
  <c r="Q29" i="46"/>
  <c r="P29" i="46"/>
  <c r="N29" i="46"/>
  <c r="M29" i="46"/>
  <c r="L29" i="46"/>
  <c r="O29" i="46"/>
  <c r="C10" i="47"/>
  <c r="C11" i="47" s="1"/>
  <c r="D58" i="46"/>
  <c r="D69" i="46" s="1"/>
  <c r="D56" i="56"/>
  <c r="I7" i="56"/>
  <c r="I7" i="46"/>
  <c r="G28" i="56"/>
  <c r="G38" i="46"/>
  <c r="O38" i="46" s="1"/>
  <c r="G36" i="56"/>
  <c r="O36" i="56" s="1"/>
  <c r="G30" i="46"/>
  <c r="H27" i="56"/>
  <c r="H35" i="56"/>
  <c r="P35" i="56" s="1"/>
  <c r="H37" i="46"/>
  <c r="P37" i="46" s="1"/>
  <c r="H29" i="46"/>
  <c r="H49" i="46"/>
  <c r="H46" i="56"/>
  <c r="P46" i="56" s="1"/>
  <c r="H48" i="46"/>
  <c r="H47" i="56"/>
  <c r="P47" i="56" s="1"/>
  <c r="H34" i="56"/>
  <c r="H36" i="46"/>
  <c r="H26" i="56"/>
  <c r="P26" i="56" s="1"/>
  <c r="H28" i="46"/>
  <c r="H38" i="46"/>
  <c r="P38" i="46" s="1"/>
  <c r="H28" i="56"/>
  <c r="H36" i="56"/>
  <c r="P36" i="56" s="1"/>
  <c r="H30" i="46"/>
  <c r="I65" i="56"/>
  <c r="I85" i="56"/>
  <c r="I75" i="56"/>
  <c r="I96" i="56"/>
  <c r="E65" i="56"/>
  <c r="E75" i="56"/>
  <c r="E85" i="56"/>
  <c r="E96" i="56"/>
  <c r="H66" i="56"/>
  <c r="H86" i="56"/>
  <c r="H97" i="56"/>
  <c r="H76" i="56"/>
  <c r="D14" i="46"/>
  <c r="M28" i="46"/>
  <c r="N28" i="46"/>
  <c r="L28" i="46"/>
  <c r="Q28" i="46"/>
  <c r="O28" i="46"/>
  <c r="P28" i="46"/>
  <c r="F7" i="56"/>
  <c r="F7" i="46"/>
  <c r="I27" i="56"/>
  <c r="Q27" i="56" s="1"/>
  <c r="I37" i="46"/>
  <c r="Q37" i="46" s="1"/>
  <c r="I35" i="56"/>
  <c r="Q35" i="56" s="1"/>
  <c r="I29" i="46"/>
  <c r="F27" i="56"/>
  <c r="N27" i="56" s="1"/>
  <c r="F37" i="46"/>
  <c r="N37" i="46" s="1"/>
  <c r="F35" i="56"/>
  <c r="N35" i="56" s="1"/>
  <c r="F29" i="46"/>
  <c r="L34" i="56"/>
  <c r="H25" i="42"/>
  <c r="H17" i="42"/>
  <c r="I25" i="42"/>
  <c r="I17" i="42"/>
  <c r="E25" i="42"/>
  <c r="E17" i="42"/>
  <c r="G25" i="42"/>
  <c r="G17" i="42"/>
  <c r="F25" i="42"/>
  <c r="F17" i="42"/>
  <c r="G26" i="42"/>
  <c r="F86" i="46"/>
  <c r="N86" i="46" s="1"/>
  <c r="F97" i="46"/>
  <c r="N97" i="46" s="1"/>
  <c r="F76" i="46"/>
  <c r="N76" i="46" s="1"/>
  <c r="N66" i="46"/>
  <c r="H87" i="46"/>
  <c r="P87" i="46" s="1"/>
  <c r="H98" i="46"/>
  <c r="P98" i="46" s="1"/>
  <c r="P67" i="46"/>
  <c r="H77" i="46"/>
  <c r="P77" i="46" s="1"/>
  <c r="E88" i="46"/>
  <c r="M88" i="46" s="1"/>
  <c r="E99" i="46"/>
  <c r="M99" i="46" s="1"/>
  <c r="M68" i="46"/>
  <c r="E78" i="46"/>
  <c r="M78" i="46" s="1"/>
  <c r="E26" i="42"/>
  <c r="H86" i="46"/>
  <c r="P86" i="46" s="1"/>
  <c r="H97" i="46"/>
  <c r="P97" i="46" s="1"/>
  <c r="P66" i="46"/>
  <c r="H76" i="46"/>
  <c r="P76" i="46" s="1"/>
  <c r="F26" i="42"/>
  <c r="I26" i="42"/>
  <c r="G88" i="46"/>
  <c r="O88" i="46" s="1"/>
  <c r="G99" i="46"/>
  <c r="O99" i="46" s="1"/>
  <c r="O68" i="46"/>
  <c r="G78" i="46"/>
  <c r="O78" i="46" s="1"/>
  <c r="H26" i="42"/>
  <c r="D19" i="42"/>
  <c r="C17" i="47"/>
  <c r="I87" i="46"/>
  <c r="Q87" i="46" s="1"/>
  <c r="I98" i="46"/>
  <c r="Q98" i="46" s="1"/>
  <c r="Q67" i="46"/>
  <c r="I77" i="46"/>
  <c r="Q77" i="46" s="1"/>
  <c r="I88" i="46"/>
  <c r="Q88" i="46" s="1"/>
  <c r="I99" i="46"/>
  <c r="Q99" i="46" s="1"/>
  <c r="Q68" i="46"/>
  <c r="I78" i="46"/>
  <c r="Q78" i="46" s="1"/>
  <c r="H88" i="46"/>
  <c r="P88" i="46" s="1"/>
  <c r="H99" i="46"/>
  <c r="P99" i="46" s="1"/>
  <c r="H78" i="46"/>
  <c r="P78" i="46" s="1"/>
  <c r="P68" i="46"/>
  <c r="I86" i="46"/>
  <c r="Q86" i="46" s="1"/>
  <c r="I97" i="46"/>
  <c r="Q97" i="46" s="1"/>
  <c r="I76" i="46"/>
  <c r="Q76" i="46" s="1"/>
  <c r="Q66" i="46"/>
  <c r="E86" i="46"/>
  <c r="M86" i="46" s="1"/>
  <c r="E97" i="46"/>
  <c r="M97" i="46" s="1"/>
  <c r="M66" i="46"/>
  <c r="E76" i="46"/>
  <c r="M76" i="46" s="1"/>
  <c r="F27" i="42"/>
  <c r="G87" i="46"/>
  <c r="O87" i="46" s="1"/>
  <c r="G98" i="46"/>
  <c r="O98" i="46" s="1"/>
  <c r="G77" i="46"/>
  <c r="O77" i="46" s="1"/>
  <c r="O67" i="46"/>
  <c r="E27" i="42"/>
  <c r="F88" i="46"/>
  <c r="N88" i="46" s="1"/>
  <c r="F99" i="46"/>
  <c r="N99" i="46" s="1"/>
  <c r="N68" i="46"/>
  <c r="F78" i="46"/>
  <c r="N78" i="46" s="1"/>
  <c r="F87" i="46"/>
  <c r="N87" i="46" s="1"/>
  <c r="F98" i="46"/>
  <c r="N98" i="46" s="1"/>
  <c r="N67" i="46"/>
  <c r="F77" i="46"/>
  <c r="N77" i="46" s="1"/>
  <c r="H27" i="42"/>
  <c r="D20" i="42"/>
  <c r="C18" i="47"/>
  <c r="G27" i="42"/>
  <c r="I27" i="42"/>
  <c r="G86" i="46"/>
  <c r="O86" i="46" s="1"/>
  <c r="G97" i="46"/>
  <c r="O97" i="46" s="1"/>
  <c r="O66" i="46"/>
  <c r="G76" i="46"/>
  <c r="O76" i="46" s="1"/>
  <c r="E87" i="46"/>
  <c r="M87" i="46" s="1"/>
  <c r="E98" i="46"/>
  <c r="M98" i="46" s="1"/>
  <c r="M67" i="46"/>
  <c r="E77" i="46"/>
  <c r="M77" i="46" s="1"/>
  <c r="L94" i="50"/>
  <c r="P92" i="50"/>
  <c r="P93" i="50"/>
  <c r="Q92" i="50"/>
  <c r="Q93" i="50"/>
  <c r="N92" i="50"/>
  <c r="N93" i="50"/>
  <c r="O92" i="50"/>
  <c r="O93" i="50"/>
  <c r="M92" i="50"/>
  <c r="M93" i="50"/>
  <c r="D31" i="46"/>
  <c r="E8" i="47"/>
  <c r="N26" i="56"/>
  <c r="M26" i="56"/>
  <c r="O26" i="56"/>
  <c r="M27" i="56"/>
  <c r="O27" i="56"/>
  <c r="O35" i="56"/>
  <c r="Q34" i="56"/>
  <c r="P27" i="56"/>
  <c r="P34" i="56"/>
  <c r="D8" i="47"/>
  <c r="G8" i="47"/>
  <c r="H8" i="47"/>
  <c r="F8" i="47"/>
  <c r="E14" i="46" l="1"/>
  <c r="L31" i="46"/>
  <c r="L12" i="46" s="1"/>
  <c r="G14" i="46"/>
  <c r="F53" i="47"/>
  <c r="D68" i="56"/>
  <c r="D88" i="56"/>
  <c r="D78" i="56"/>
  <c r="D99" i="56"/>
  <c r="N36" i="46"/>
  <c r="I59" i="46"/>
  <c r="I70" i="46" s="1"/>
  <c r="I57" i="56"/>
  <c r="D38" i="56"/>
  <c r="L38" i="56" s="1"/>
  <c r="D40" i="46"/>
  <c r="L40" i="46" s="1"/>
  <c r="P36" i="46"/>
  <c r="D67" i="56"/>
  <c r="D87" i="56"/>
  <c r="D77" i="56"/>
  <c r="D98" i="56"/>
  <c r="Q36" i="46"/>
  <c r="E10" i="47"/>
  <c r="E11" i="47" s="1"/>
  <c r="F58" i="46"/>
  <c r="F69" i="46" s="1"/>
  <c r="F56" i="56"/>
  <c r="H10" i="47"/>
  <c r="H11" i="47" s="1"/>
  <c r="I58" i="46"/>
  <c r="I69" i="46" s="1"/>
  <c r="I56" i="56"/>
  <c r="D53" i="47"/>
  <c r="E57" i="56"/>
  <c r="E59" i="46"/>
  <c r="E70" i="46" s="1"/>
  <c r="H57" i="56"/>
  <c r="H59" i="46"/>
  <c r="H70" i="46" s="1"/>
  <c r="M36" i="46"/>
  <c r="O36" i="46"/>
  <c r="D10" i="47"/>
  <c r="D11" i="47" s="1"/>
  <c r="E58" i="46"/>
  <c r="E69" i="46" s="1"/>
  <c r="E56" i="56"/>
  <c r="G10" i="47"/>
  <c r="G11" i="47" s="1"/>
  <c r="H58" i="46"/>
  <c r="H69" i="46" s="1"/>
  <c r="H56" i="56"/>
  <c r="D8" i="46"/>
  <c r="D8" i="56"/>
  <c r="F14" i="46"/>
  <c r="E53" i="47" s="1"/>
  <c r="F10" i="47"/>
  <c r="F11" i="47" s="1"/>
  <c r="G58" i="46"/>
  <c r="G69" i="46" s="1"/>
  <c r="G56" i="56"/>
  <c r="D47" i="46"/>
  <c r="D50" i="46" s="1"/>
  <c r="D21" i="42"/>
  <c r="D22" i="42" s="1"/>
  <c r="D45" i="56"/>
  <c r="D48" i="56" s="1"/>
  <c r="D39" i="46"/>
  <c r="D37" i="56"/>
  <c r="G59" i="46"/>
  <c r="G70" i="46" s="1"/>
  <c r="G57" i="56"/>
  <c r="F59" i="46"/>
  <c r="F70" i="46" s="1"/>
  <c r="F57" i="56"/>
  <c r="H14" i="46"/>
  <c r="G53" i="47" s="1"/>
  <c r="I14" i="46"/>
  <c r="H53" i="47" s="1"/>
  <c r="O31" i="46"/>
  <c r="O12" i="46" s="1"/>
  <c r="M31" i="46"/>
  <c r="H18" i="47"/>
  <c r="I20" i="42"/>
  <c r="I19" i="42"/>
  <c r="H17" i="47"/>
  <c r="D17" i="47"/>
  <c r="E19" i="42"/>
  <c r="H19" i="42"/>
  <c r="G17" i="47"/>
  <c r="D89" i="46"/>
  <c r="D100" i="46"/>
  <c r="D79" i="46"/>
  <c r="D60" i="46"/>
  <c r="D17" i="46" s="1"/>
  <c r="D29" i="42"/>
  <c r="G20" i="42"/>
  <c r="F18" i="47"/>
  <c r="D58" i="56"/>
  <c r="F19" i="42"/>
  <c r="E17" i="47"/>
  <c r="H20" i="42"/>
  <c r="G18" i="47"/>
  <c r="G19" i="42"/>
  <c r="F17" i="47"/>
  <c r="C19" i="47"/>
  <c r="E20" i="42"/>
  <c r="D18" i="47"/>
  <c r="F20" i="42"/>
  <c r="E18" i="47"/>
  <c r="D28" i="42"/>
  <c r="L70" i="46"/>
  <c r="D101" i="46"/>
  <c r="L101" i="46" s="1"/>
  <c r="D90" i="46"/>
  <c r="L90" i="46" s="1"/>
  <c r="D80" i="46"/>
  <c r="L80" i="46" s="1"/>
  <c r="M94" i="50"/>
  <c r="O94" i="50"/>
  <c r="N94" i="50"/>
  <c r="Q94" i="50"/>
  <c r="P94" i="50"/>
  <c r="N31" i="46"/>
  <c r="Q31" i="46"/>
  <c r="P31" i="46"/>
  <c r="I31" i="46"/>
  <c r="F31" i="46"/>
  <c r="G31" i="46"/>
  <c r="E31" i="46"/>
  <c r="H31" i="46"/>
  <c r="H8" i="56" l="1"/>
  <c r="H8" i="46"/>
  <c r="G45" i="56"/>
  <c r="G21" i="42"/>
  <c r="G22" i="42" s="1"/>
  <c r="G47" i="46"/>
  <c r="G50" i="46" s="1"/>
  <c r="G37" i="56"/>
  <c r="G39" i="46"/>
  <c r="I8" i="56"/>
  <c r="I8" i="46"/>
  <c r="G68" i="56"/>
  <c r="G78" i="56"/>
  <c r="G99" i="56"/>
  <c r="G88" i="56"/>
  <c r="D9" i="46"/>
  <c r="D9" i="56"/>
  <c r="I45" i="56"/>
  <c r="I47" i="46"/>
  <c r="I50" i="46" s="1"/>
  <c r="I21" i="42"/>
  <c r="I22" i="42" s="1"/>
  <c r="I39" i="46"/>
  <c r="I37" i="56"/>
  <c r="H68" i="56"/>
  <c r="H88" i="56"/>
  <c r="H78" i="56"/>
  <c r="H99" i="56"/>
  <c r="G8" i="56"/>
  <c r="G8" i="46"/>
  <c r="F38" i="56"/>
  <c r="N38" i="56" s="1"/>
  <c r="F40" i="46"/>
  <c r="N40" i="46" s="1"/>
  <c r="I38" i="56"/>
  <c r="Q38" i="56" s="1"/>
  <c r="I40" i="46"/>
  <c r="Q40" i="46" s="1"/>
  <c r="G67" i="56"/>
  <c r="G77" i="56"/>
  <c r="G79" i="56" s="1"/>
  <c r="G17" i="56" s="1"/>
  <c r="G98" i="56"/>
  <c r="G87" i="56"/>
  <c r="G58" i="56"/>
  <c r="G15" i="56" s="1"/>
  <c r="H67" i="56"/>
  <c r="H98" i="56"/>
  <c r="H87" i="56"/>
  <c r="H77" i="56"/>
  <c r="H58" i="56"/>
  <c r="H15" i="56" s="1"/>
  <c r="I67" i="56"/>
  <c r="I77" i="56"/>
  <c r="I98" i="56"/>
  <c r="I87" i="56"/>
  <c r="I58" i="56"/>
  <c r="I15" i="56" s="1"/>
  <c r="E8" i="46"/>
  <c r="E8" i="56"/>
  <c r="F21" i="42"/>
  <c r="F22" i="42" s="1"/>
  <c r="F45" i="56"/>
  <c r="F47" i="46"/>
  <c r="F50" i="46" s="1"/>
  <c r="F39" i="46"/>
  <c r="F37" i="56"/>
  <c r="E68" i="56"/>
  <c r="E78" i="56"/>
  <c r="E99" i="56"/>
  <c r="E88" i="56"/>
  <c r="F8" i="56"/>
  <c r="F8" i="46"/>
  <c r="E38" i="56"/>
  <c r="M38" i="56" s="1"/>
  <c r="E40" i="46"/>
  <c r="M40" i="46" s="1"/>
  <c r="H45" i="56"/>
  <c r="H21" i="42"/>
  <c r="H22" i="42" s="1"/>
  <c r="H47" i="46"/>
  <c r="H50" i="46" s="1"/>
  <c r="H37" i="56"/>
  <c r="H39" i="46"/>
  <c r="F68" i="56"/>
  <c r="F99" i="56"/>
  <c r="F88" i="56"/>
  <c r="F78" i="56"/>
  <c r="L37" i="56"/>
  <c r="D39" i="56"/>
  <c r="D13" i="56" s="1"/>
  <c r="D13" i="46" s="1"/>
  <c r="E67" i="56"/>
  <c r="E98" i="56"/>
  <c r="E87" i="56"/>
  <c r="E77" i="56"/>
  <c r="E58" i="56"/>
  <c r="E15" i="56" s="1"/>
  <c r="F67" i="56"/>
  <c r="F98" i="56"/>
  <c r="F77" i="56"/>
  <c r="F87" i="56"/>
  <c r="F58" i="56"/>
  <c r="F15" i="56" s="1"/>
  <c r="I68" i="56"/>
  <c r="I88" i="56"/>
  <c r="I78" i="56"/>
  <c r="I99" i="56"/>
  <c r="H40" i="46"/>
  <c r="P40" i="46" s="1"/>
  <c r="H38" i="56"/>
  <c r="P38" i="56" s="1"/>
  <c r="G38" i="56"/>
  <c r="O38" i="56" s="1"/>
  <c r="G40" i="46"/>
  <c r="O40" i="46" s="1"/>
  <c r="E21" i="42"/>
  <c r="E22" i="42" s="1"/>
  <c r="E47" i="46"/>
  <c r="E50" i="46" s="1"/>
  <c r="E45" i="56"/>
  <c r="E39" i="46"/>
  <c r="E37" i="56"/>
  <c r="L39" i="46"/>
  <c r="L41" i="46" s="1"/>
  <c r="L13" i="46" s="1"/>
  <c r="D41" i="46"/>
  <c r="D15" i="46"/>
  <c r="D15" i="56"/>
  <c r="O32" i="46"/>
  <c r="M32" i="46"/>
  <c r="M12" i="46"/>
  <c r="N32" i="46"/>
  <c r="N12" i="46"/>
  <c r="Q32" i="46"/>
  <c r="Q12" i="46"/>
  <c r="P32" i="46"/>
  <c r="P12" i="46"/>
  <c r="F19" i="47"/>
  <c r="D69" i="56"/>
  <c r="D89" i="56"/>
  <c r="D18" i="56" s="1"/>
  <c r="D30" i="42"/>
  <c r="C24" i="47" s="1"/>
  <c r="D16" i="46"/>
  <c r="H19" i="47"/>
  <c r="F90" i="46"/>
  <c r="N90" i="46" s="1"/>
  <c r="F101" i="46"/>
  <c r="N101" i="46" s="1"/>
  <c r="N70" i="46"/>
  <c r="F80" i="46"/>
  <c r="N80" i="46" s="1"/>
  <c r="G28" i="42"/>
  <c r="L69" i="46"/>
  <c r="L71" i="46" s="1"/>
  <c r="L18" i="46" s="1"/>
  <c r="D71" i="46"/>
  <c r="D18" i="46" s="1"/>
  <c r="D19" i="47"/>
  <c r="L79" i="46"/>
  <c r="L81" i="46" s="1"/>
  <c r="L19" i="46" s="1"/>
  <c r="D81" i="46"/>
  <c r="D19" i="46" s="1"/>
  <c r="F29" i="42"/>
  <c r="H90" i="46"/>
  <c r="P90" i="46" s="1"/>
  <c r="H101" i="46"/>
  <c r="P101" i="46" s="1"/>
  <c r="H80" i="46"/>
  <c r="P80" i="46" s="1"/>
  <c r="P70" i="46"/>
  <c r="G29" i="42"/>
  <c r="L100" i="46"/>
  <c r="L102" i="46" s="1"/>
  <c r="L21" i="46" s="1"/>
  <c r="D102" i="46"/>
  <c r="D21" i="46" s="1"/>
  <c r="I89" i="46"/>
  <c r="I100" i="46"/>
  <c r="I79" i="46"/>
  <c r="I60" i="46"/>
  <c r="G90" i="46"/>
  <c r="O90" i="46" s="1"/>
  <c r="G101" i="46"/>
  <c r="O101" i="46" s="1"/>
  <c r="O70" i="46"/>
  <c r="G80" i="46"/>
  <c r="O80" i="46" s="1"/>
  <c r="E90" i="46"/>
  <c r="M90" i="46" s="1"/>
  <c r="E101" i="46"/>
  <c r="M101" i="46" s="1"/>
  <c r="M70" i="46"/>
  <c r="E80" i="46"/>
  <c r="M80" i="46" s="1"/>
  <c r="L28" i="56"/>
  <c r="L29" i="56" s="1"/>
  <c r="L12" i="56" s="1"/>
  <c r="D29" i="56"/>
  <c r="D12" i="56" s="1"/>
  <c r="D12" i="46" s="1"/>
  <c r="L89" i="46"/>
  <c r="L91" i="46" s="1"/>
  <c r="L20" i="46" s="1"/>
  <c r="D91" i="46"/>
  <c r="D20" i="46" s="1"/>
  <c r="I90" i="46"/>
  <c r="Q90" i="46" s="1"/>
  <c r="I101" i="46"/>
  <c r="Q101" i="46" s="1"/>
  <c r="Q70" i="46"/>
  <c r="I80" i="46"/>
  <c r="Q80" i="46" s="1"/>
  <c r="E28" i="42"/>
  <c r="H29" i="42"/>
  <c r="L36" i="56"/>
  <c r="H89" i="46"/>
  <c r="H100" i="46"/>
  <c r="H79" i="46"/>
  <c r="H60" i="46"/>
  <c r="I28" i="42"/>
  <c r="I29" i="42"/>
  <c r="F89" i="46"/>
  <c r="F100" i="46"/>
  <c r="F79" i="46"/>
  <c r="F60" i="46"/>
  <c r="D79" i="56"/>
  <c r="D17" i="56" s="1"/>
  <c r="G19" i="47"/>
  <c r="E19" i="47"/>
  <c r="L45" i="56"/>
  <c r="L48" i="56" s="1"/>
  <c r="F59" i="56"/>
  <c r="H28" i="42"/>
  <c r="G59" i="56"/>
  <c r="E29" i="42"/>
  <c r="G89" i="46"/>
  <c r="G100" i="46"/>
  <c r="G79" i="46"/>
  <c r="G60" i="46"/>
  <c r="F28" i="42"/>
  <c r="D100" i="56"/>
  <c r="D19" i="56" s="1"/>
  <c r="E89" i="46"/>
  <c r="E100" i="46"/>
  <c r="E79" i="46"/>
  <c r="E60" i="46"/>
  <c r="E69" i="56" l="1"/>
  <c r="E16" i="56" s="1"/>
  <c r="H79" i="56"/>
  <c r="H17" i="56" s="1"/>
  <c r="F79" i="56"/>
  <c r="F17" i="56" s="1"/>
  <c r="F69" i="56"/>
  <c r="F16" i="56" s="1"/>
  <c r="H69" i="56"/>
  <c r="H16" i="56" s="1"/>
  <c r="E59" i="56"/>
  <c r="H59" i="56"/>
  <c r="I59" i="56"/>
  <c r="G89" i="56"/>
  <c r="G18" i="56" s="1"/>
  <c r="E100" i="56"/>
  <c r="E19" i="56" s="1"/>
  <c r="G100" i="56"/>
  <c r="G19" i="56" s="1"/>
  <c r="F9" i="56"/>
  <c r="F9" i="46"/>
  <c r="G9" i="46"/>
  <c r="G9" i="56"/>
  <c r="G69" i="56"/>
  <c r="G16" i="56" s="1"/>
  <c r="N37" i="56"/>
  <c r="N39" i="56" s="1"/>
  <c r="F39" i="56"/>
  <c r="I89" i="56"/>
  <c r="I18" i="56" s="1"/>
  <c r="H100" i="56"/>
  <c r="H19" i="56" s="1"/>
  <c r="I9" i="46"/>
  <c r="I9" i="56"/>
  <c r="M39" i="46"/>
  <c r="M41" i="46" s="1"/>
  <c r="E41" i="46"/>
  <c r="E42" i="46" s="1"/>
  <c r="E15" i="46"/>
  <c r="D54" i="47" s="1"/>
  <c r="E9" i="46"/>
  <c r="E9" i="56"/>
  <c r="E79" i="56"/>
  <c r="E17" i="56" s="1"/>
  <c r="N39" i="46"/>
  <c r="N41" i="46" s="1"/>
  <c r="F15" i="46"/>
  <c r="E54" i="47" s="1"/>
  <c r="F41" i="46"/>
  <c r="F42" i="46" s="1"/>
  <c r="I100" i="56"/>
  <c r="I19" i="56" s="1"/>
  <c r="O39" i="46"/>
  <c r="O41" i="46" s="1"/>
  <c r="G15" i="46"/>
  <c r="F54" i="47" s="1"/>
  <c r="G41" i="46"/>
  <c r="G42" i="46" s="1"/>
  <c r="E89" i="56"/>
  <c r="E18" i="56" s="1"/>
  <c r="I79" i="56"/>
  <c r="I17" i="56" s="1"/>
  <c r="Q37" i="56"/>
  <c r="Q39" i="56" s="1"/>
  <c r="I39" i="56"/>
  <c r="O37" i="56"/>
  <c r="O39" i="56" s="1"/>
  <c r="G39" i="56"/>
  <c r="P37" i="56"/>
  <c r="P39" i="56" s="1"/>
  <c r="H39" i="56"/>
  <c r="H9" i="46"/>
  <c r="H9" i="56"/>
  <c r="F89" i="56"/>
  <c r="F18" i="56" s="1"/>
  <c r="P39" i="46"/>
  <c r="P41" i="46" s="1"/>
  <c r="H41" i="46"/>
  <c r="H42" i="46" s="1"/>
  <c r="H15" i="46"/>
  <c r="G54" i="47" s="1"/>
  <c r="F48" i="56"/>
  <c r="N45" i="56"/>
  <c r="N48" i="56" s="1"/>
  <c r="N14" i="56" s="1"/>
  <c r="I69" i="56"/>
  <c r="I16" i="56" s="1"/>
  <c r="Q39" i="46"/>
  <c r="Q41" i="46" s="1"/>
  <c r="I15" i="46"/>
  <c r="H54" i="47" s="1"/>
  <c r="I41" i="46"/>
  <c r="I42" i="46" s="1"/>
  <c r="M37" i="56"/>
  <c r="M39" i="56" s="1"/>
  <c r="E39" i="56"/>
  <c r="F100" i="56"/>
  <c r="F19" i="56" s="1"/>
  <c r="O45" i="56"/>
  <c r="O48" i="56" s="1"/>
  <c r="O14" i="56" s="1"/>
  <c r="G48" i="56"/>
  <c r="G49" i="56" s="1"/>
  <c r="Q45" i="56"/>
  <c r="Q48" i="56" s="1"/>
  <c r="Q14" i="56" s="1"/>
  <c r="I48" i="56"/>
  <c r="E48" i="56"/>
  <c r="E49" i="56" s="1"/>
  <c r="M45" i="56"/>
  <c r="M48" i="56" s="1"/>
  <c r="M14" i="56" s="1"/>
  <c r="P45" i="56"/>
  <c r="P48" i="56" s="1"/>
  <c r="P14" i="56" s="1"/>
  <c r="H48" i="56"/>
  <c r="H89" i="56"/>
  <c r="H18" i="56" s="1"/>
  <c r="E61" i="46"/>
  <c r="D50" i="47" s="1"/>
  <c r="E17" i="46"/>
  <c r="G61" i="46"/>
  <c r="F50" i="47" s="1"/>
  <c r="G17" i="46"/>
  <c r="H61" i="46"/>
  <c r="G50" i="47" s="1"/>
  <c r="H17" i="46"/>
  <c r="F61" i="46"/>
  <c r="E50" i="47" s="1"/>
  <c r="F17" i="46"/>
  <c r="I61" i="46"/>
  <c r="H50" i="47" s="1"/>
  <c r="I17" i="46"/>
  <c r="L39" i="56"/>
  <c r="L13" i="56" s="1"/>
  <c r="F30" i="42"/>
  <c r="F32" i="42" s="1"/>
  <c r="D16" i="56"/>
  <c r="H80" i="56"/>
  <c r="F80" i="56"/>
  <c r="H30" i="42"/>
  <c r="E16" i="46"/>
  <c r="Q100" i="46"/>
  <c r="Q102" i="46" s="1"/>
  <c r="I102" i="46"/>
  <c r="P100" i="46"/>
  <c r="P102" i="46" s="1"/>
  <c r="H102" i="46"/>
  <c r="Q89" i="46"/>
  <c r="Q91" i="46" s="1"/>
  <c r="I91" i="46"/>
  <c r="G80" i="56"/>
  <c r="M79" i="46"/>
  <c r="M81" i="46" s="1"/>
  <c r="E81" i="46"/>
  <c r="O79" i="46"/>
  <c r="O81" i="46" s="1"/>
  <c r="G81" i="46"/>
  <c r="Q28" i="56"/>
  <c r="Q29" i="56" s="1"/>
  <c r="I29" i="56"/>
  <c r="P89" i="46"/>
  <c r="P91" i="46" s="1"/>
  <c r="H91" i="46"/>
  <c r="L22" i="46"/>
  <c r="P79" i="46"/>
  <c r="P81" i="46" s="1"/>
  <c r="H81" i="46"/>
  <c r="M69" i="46"/>
  <c r="M71" i="46" s="1"/>
  <c r="E71" i="46"/>
  <c r="O69" i="46"/>
  <c r="O71" i="46" s="1"/>
  <c r="G71" i="46"/>
  <c r="E30" i="42"/>
  <c r="N89" i="46"/>
  <c r="N91" i="46" s="1"/>
  <c r="F91" i="46"/>
  <c r="M100" i="46"/>
  <c r="M102" i="46" s="1"/>
  <c r="E102" i="46"/>
  <c r="O100" i="46"/>
  <c r="O102" i="46" s="1"/>
  <c r="G102" i="46"/>
  <c r="D14" i="56"/>
  <c r="N79" i="46"/>
  <c r="N81" i="46" s="1"/>
  <c r="F81" i="46"/>
  <c r="I30" i="42"/>
  <c r="P28" i="56"/>
  <c r="P29" i="56" s="1"/>
  <c r="H29" i="56"/>
  <c r="O28" i="56"/>
  <c r="O29" i="56" s="1"/>
  <c r="G29" i="56"/>
  <c r="Q69" i="46"/>
  <c r="Q71" i="46" s="1"/>
  <c r="I71" i="46"/>
  <c r="N28" i="56"/>
  <c r="N29" i="56" s="1"/>
  <c r="F29" i="56"/>
  <c r="M89" i="46"/>
  <c r="M91" i="46" s="1"/>
  <c r="E91" i="46"/>
  <c r="O89" i="46"/>
  <c r="O91" i="46" s="1"/>
  <c r="G91" i="46"/>
  <c r="M28" i="56"/>
  <c r="M29" i="56" s="1"/>
  <c r="E29" i="56"/>
  <c r="L14" i="56"/>
  <c r="N49" i="56"/>
  <c r="O49" i="56"/>
  <c r="N69" i="46"/>
  <c r="N71" i="46" s="1"/>
  <c r="F71" i="46"/>
  <c r="N100" i="46"/>
  <c r="N102" i="46" s="1"/>
  <c r="F102" i="46"/>
  <c r="P69" i="46"/>
  <c r="P71" i="46" s="1"/>
  <c r="H71" i="46"/>
  <c r="Q79" i="46"/>
  <c r="Q81" i="46" s="1"/>
  <c r="I81" i="46"/>
  <c r="G30" i="42"/>
  <c r="E70" i="56" l="1"/>
  <c r="H101" i="56"/>
  <c r="I101" i="56"/>
  <c r="H70" i="56"/>
  <c r="E90" i="56"/>
  <c r="F70" i="56"/>
  <c r="H90" i="56"/>
  <c r="G90" i="56"/>
  <c r="M49" i="56"/>
  <c r="G70" i="56"/>
  <c r="E101" i="56"/>
  <c r="G101" i="56"/>
  <c r="I70" i="56"/>
  <c r="E80" i="56"/>
  <c r="I80" i="56"/>
  <c r="H14" i="56"/>
  <c r="O13" i="46"/>
  <c r="O42" i="46"/>
  <c r="F14" i="56"/>
  <c r="F49" i="56"/>
  <c r="I90" i="56"/>
  <c r="E14" i="56"/>
  <c r="P13" i="46"/>
  <c r="P42" i="46"/>
  <c r="F101" i="56"/>
  <c r="I14" i="56"/>
  <c r="Q42" i="46"/>
  <c r="Q13" i="46"/>
  <c r="Q49" i="56"/>
  <c r="F90" i="56"/>
  <c r="G14" i="56"/>
  <c r="N13" i="46"/>
  <c r="N42" i="46"/>
  <c r="H49" i="56"/>
  <c r="M42" i="46"/>
  <c r="M13" i="46"/>
  <c r="P49" i="56"/>
  <c r="I49" i="56"/>
  <c r="L20" i="56"/>
  <c r="C33" i="47" s="1"/>
  <c r="C39" i="47" s="1"/>
  <c r="E24" i="47"/>
  <c r="E25" i="47" s="1"/>
  <c r="E51" i="46"/>
  <c r="D49" i="47" s="1"/>
  <c r="H51" i="46"/>
  <c r="G49" i="47" s="1"/>
  <c r="H16" i="46"/>
  <c r="H32" i="42"/>
  <c r="G24" i="47"/>
  <c r="G25" i="47" s="1"/>
  <c r="G20" i="46"/>
  <c r="G92" i="46"/>
  <c r="F59" i="47" s="1"/>
  <c r="Q72" i="46"/>
  <c r="Q18" i="46"/>
  <c r="G19" i="46"/>
  <c r="G82" i="46"/>
  <c r="F58" i="47" s="1"/>
  <c r="G30" i="56"/>
  <c r="G12" i="56"/>
  <c r="G12" i="46" s="1"/>
  <c r="F47" i="47" s="1"/>
  <c r="F19" i="46"/>
  <c r="F82" i="46"/>
  <c r="E58" i="47" s="1"/>
  <c r="E103" i="46"/>
  <c r="D62" i="47" s="1"/>
  <c r="E21" i="46"/>
  <c r="E32" i="42"/>
  <c r="D24" i="47"/>
  <c r="H19" i="46"/>
  <c r="H82" i="46"/>
  <c r="G58" i="47" s="1"/>
  <c r="O82" i="46"/>
  <c r="O19" i="46"/>
  <c r="H103" i="46"/>
  <c r="G62" i="47" s="1"/>
  <c r="H21" i="46"/>
  <c r="F21" i="46"/>
  <c r="F103" i="46"/>
  <c r="E62" i="47" s="1"/>
  <c r="N21" i="46"/>
  <c r="N103" i="46"/>
  <c r="E20" i="46"/>
  <c r="E92" i="46"/>
  <c r="D59" i="47" s="1"/>
  <c r="O30" i="56"/>
  <c r="O12" i="56"/>
  <c r="N82" i="46"/>
  <c r="N19" i="46"/>
  <c r="M21" i="46"/>
  <c r="M103" i="46"/>
  <c r="G18" i="46"/>
  <c r="G72" i="46"/>
  <c r="F57" i="47" s="1"/>
  <c r="P82" i="46"/>
  <c r="P19" i="46"/>
  <c r="E19" i="46"/>
  <c r="E82" i="46"/>
  <c r="D58" i="47" s="1"/>
  <c r="P21" i="46"/>
  <c r="P103" i="46"/>
  <c r="M92" i="46"/>
  <c r="M20" i="46"/>
  <c r="G51" i="46"/>
  <c r="F49" i="47" s="1"/>
  <c r="G16" i="46"/>
  <c r="O18" i="46"/>
  <c r="O72" i="46"/>
  <c r="M19" i="46"/>
  <c r="M82" i="46"/>
  <c r="I13" i="56"/>
  <c r="I13" i="46" s="1"/>
  <c r="H48" i="47" s="1"/>
  <c r="I40" i="56"/>
  <c r="P18" i="46"/>
  <c r="P72" i="46"/>
  <c r="N40" i="56"/>
  <c r="N13" i="56"/>
  <c r="F16" i="46"/>
  <c r="F51" i="46"/>
  <c r="E49" i="47" s="1"/>
  <c r="G32" i="42"/>
  <c r="F24" i="47"/>
  <c r="M40" i="56"/>
  <c r="M13" i="56"/>
  <c r="H13" i="56"/>
  <c r="H13" i="46" s="1"/>
  <c r="G48" i="47" s="1"/>
  <c r="H40" i="56"/>
  <c r="E18" i="46"/>
  <c r="E72" i="46"/>
  <c r="D57" i="47" s="1"/>
  <c r="H20" i="46"/>
  <c r="H92" i="46"/>
  <c r="G59" i="47" s="1"/>
  <c r="Q13" i="56"/>
  <c r="Q40" i="56"/>
  <c r="I19" i="46"/>
  <c r="I82" i="46"/>
  <c r="H58" i="47" s="1"/>
  <c r="F30" i="56"/>
  <c r="F12" i="56"/>
  <c r="F12" i="46" s="1"/>
  <c r="E47" i="47" s="1"/>
  <c r="P40" i="56"/>
  <c r="P13" i="56"/>
  <c r="I51" i="46"/>
  <c r="H49" i="47" s="1"/>
  <c r="I16" i="46"/>
  <c r="G13" i="56"/>
  <c r="G13" i="46" s="1"/>
  <c r="F48" i="47" s="1"/>
  <c r="G40" i="56"/>
  <c r="F20" i="46"/>
  <c r="F92" i="46"/>
  <c r="E59" i="47" s="1"/>
  <c r="M18" i="46"/>
  <c r="M72" i="46"/>
  <c r="P92" i="46"/>
  <c r="P20" i="46"/>
  <c r="I21" i="46"/>
  <c r="I103" i="46"/>
  <c r="H62" i="47" s="1"/>
  <c r="O21" i="46"/>
  <c r="O103" i="46"/>
  <c r="E13" i="56"/>
  <c r="E13" i="46" s="1"/>
  <c r="D48" i="47" s="1"/>
  <c r="E40" i="56"/>
  <c r="Q82" i="46"/>
  <c r="Q19" i="46"/>
  <c r="F18" i="46"/>
  <c r="F72" i="46"/>
  <c r="E57" i="47" s="1"/>
  <c r="E30" i="56"/>
  <c r="E12" i="56"/>
  <c r="E12" i="46" s="1"/>
  <c r="D47" i="47" s="1"/>
  <c r="N30" i="56"/>
  <c r="N12" i="56"/>
  <c r="H30" i="56"/>
  <c r="H12" i="56"/>
  <c r="H12" i="46" s="1"/>
  <c r="G47" i="47" s="1"/>
  <c r="O40" i="56"/>
  <c r="O13" i="56"/>
  <c r="N92" i="46"/>
  <c r="N20" i="46"/>
  <c r="I30" i="56"/>
  <c r="I12" i="56"/>
  <c r="I12" i="46" s="1"/>
  <c r="H47" i="47" s="1"/>
  <c r="I20" i="46"/>
  <c r="I92" i="46"/>
  <c r="H59" i="47" s="1"/>
  <c r="Q103" i="46"/>
  <c r="Q21" i="46"/>
  <c r="I32" i="42"/>
  <c r="H24" i="47"/>
  <c r="O92" i="46"/>
  <c r="O20" i="46"/>
  <c r="H18" i="46"/>
  <c r="H72" i="46"/>
  <c r="G57" i="47" s="1"/>
  <c r="N18" i="46"/>
  <c r="N72" i="46"/>
  <c r="M30" i="56"/>
  <c r="M12" i="56"/>
  <c r="I18" i="46"/>
  <c r="I72" i="46"/>
  <c r="H57" i="47" s="1"/>
  <c r="F40" i="56"/>
  <c r="F13" i="56"/>
  <c r="F13" i="46" s="1"/>
  <c r="E48" i="47" s="1"/>
  <c r="P30" i="56"/>
  <c r="P12" i="56"/>
  <c r="G103" i="46"/>
  <c r="F62" i="47" s="1"/>
  <c r="G21" i="46"/>
  <c r="Q30" i="56"/>
  <c r="Q12" i="56"/>
  <c r="Q20" i="46"/>
  <c r="Q92" i="46"/>
  <c r="N20" i="56" l="1"/>
  <c r="E33" i="47" s="1"/>
  <c r="E39" i="47" s="1"/>
  <c r="E40" i="47" s="1"/>
  <c r="I33" i="42"/>
  <c r="O22" i="46"/>
  <c r="P20" i="56"/>
  <c r="G33" i="47" s="1"/>
  <c r="G39" i="47" s="1"/>
  <c r="G40" i="47" s="1"/>
  <c r="M20" i="56"/>
  <c r="D33" i="47" s="1"/>
  <c r="D39" i="47" s="1"/>
  <c r="D41" i="47" s="1"/>
  <c r="H25" i="47"/>
  <c r="H26" i="47"/>
  <c r="M22" i="46"/>
  <c r="E33" i="42"/>
  <c r="F33" i="42"/>
  <c r="N22" i="46"/>
  <c r="F26" i="47"/>
  <c r="F25" i="47"/>
  <c r="G26" i="47"/>
  <c r="P22" i="46"/>
  <c r="O20" i="56"/>
  <c r="F33" i="47" s="1"/>
  <c r="F39" i="47" s="1"/>
  <c r="F40" i="47" s="1"/>
  <c r="Q22" i="46"/>
  <c r="H33" i="42"/>
  <c r="G33" i="42"/>
  <c r="D25" i="47"/>
  <c r="D26" i="47"/>
  <c r="E26" i="47"/>
  <c r="Q20" i="56"/>
  <c r="H33" i="47" s="1"/>
  <c r="H39" i="47" s="1"/>
  <c r="E34" i="47" l="1"/>
  <c r="E35" i="47"/>
  <c r="E41" i="47"/>
  <c r="G35" i="47"/>
  <c r="D35" i="47"/>
  <c r="F41" i="47"/>
  <c r="G41" i="47"/>
  <c r="G34" i="47"/>
  <c r="H40" i="47"/>
  <c r="H41" i="47"/>
  <c r="H34" i="47"/>
  <c r="H35" i="47"/>
  <c r="D40" i="47"/>
  <c r="D34" i="47"/>
  <c r="F34" i="47"/>
  <c r="F35" i="47"/>
  <c r="F32" i="46"/>
  <c r="I32" i="46"/>
  <c r="E32" i="46"/>
  <c r="H32" i="46"/>
  <c r="G3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<sst xmlns="http://schemas.openxmlformats.org/spreadsheetml/2006/main" count="2534" uniqueCount="1170">
  <si>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</si>
  <si>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</si>
  <si>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</si>
  <si>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</si>
  <si>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</si>
  <si>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</si>
  <si>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</si>
  <si>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</si>
  <si>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</si>
  <si>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</si>
  <si>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</si>
  <si>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</si>
  <si>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</si>
  <si>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</si>
  <si>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</si>
  <si>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</si>
  <si>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</si>
  <si>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</si>
  <si>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</si>
  <si>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</si>
  <si>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</si>
  <si>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</si>
  <si>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</si>
  <si>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</si>
  <si>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</si>
  <si>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</si>
  <si>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</si>
  <si>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</si>
  <si>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</si>
  <si>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</si>
  <si>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</si>
  <si>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</si>
  <si>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</si>
  <si>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</si>
  <si>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</si>
  <si>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</si>
  <si>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</si>
  <si>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</si>
  <si>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</si>
  <si>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</si>
  <si>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</si>
  <si>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</si>
  <si>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</si>
  <si>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</si>
  <si>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</si>
  <si>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</si>
  <si>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</si>
  <si>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</si>
  <si>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</si>
  <si>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</si>
  <si>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</si>
  <si>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</si>
  <si>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</si>
  <si>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</si>
  <si>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</si>
  <si>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</si>
  <si>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</si>
  <si>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</si>
  <si>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</si>
  <si>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</si>
  <si>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</si>
  <si>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</si>
  <si>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</si>
  <si>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</si>
  <si>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</si>
  <si>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</si>
  <si>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</si>
  <si>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</si>
  <si>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</si>
  <si>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</si>
  <si>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</si>
  <si>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</si>
  <si>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</si>
  <si>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</si>
  <si>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</si>
  <si>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</si>
  <si>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</si>
  <si>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</si>
  <si>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</si>
  <si>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</si>
  <si>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</si>
  <si>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</si>
  <si>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</si>
  <si>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</si>
  <si>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</si>
  <si>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</si>
  <si>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</si>
  <si>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</si>
  <si>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</si>
  <si>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</si>
  <si>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</si>
  <si>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</si>
  <si>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</si>
  <si>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</si>
  <si>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</si>
  <si>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</si>
  <si>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</si>
  <si>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</si>
  <si>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</si>
  <si>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</si>
  <si>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</si>
  <si>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</si>
  <si>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</si>
  <si>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</si>
  <si>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</si>
  <si>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</si>
  <si>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</si>
  <si>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</si>
  <si>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</si>
  <si>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</si>
  <si>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</si>
  <si>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</si>
  <si>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</si>
  <si>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</si>
  <si>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</si>
  <si>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</si>
  <si>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</si>
  <si>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</si>
  <si>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</si>
  <si>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</si>
  <si>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</si>
  <si>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</si>
  <si>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</si>
  <si>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</si>
  <si>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</si>
  <si>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</si>
  <si>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</si>
  <si>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</si>
  <si>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</si>
  <si>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</si>
  <si>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</si>
  <si>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</si>
  <si>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</si>
  <si>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</si>
  <si>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</si>
  <si>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</si>
  <si>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</si>
  <si>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</si>
  <si>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</si>
  <si>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</si>
  <si>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</si>
  <si>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</si>
  <si>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</si>
  <si>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</si>
  <si>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</si>
  <si>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</si>
  <si>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</si>
  <si>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</si>
  <si>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</si>
  <si>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</si>
  <si>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</si>
  <si>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</si>
  <si>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</si>
  <si>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</si>
  <si>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</si>
  <si>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</si>
  <si>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</si>
  <si>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</si>
  <si>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</si>
  <si>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</si>
  <si>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</si>
  <si>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</si>
  <si>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</si>
  <si>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</si>
  <si>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</si>
  <si>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</si>
  <si>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</si>
  <si>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</si>
  <si>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</si>
  <si>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</si>
  <si>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</si>
  <si>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</si>
  <si>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</si>
  <si>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</si>
  <si>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</si>
  <si>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</si>
  <si>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</si>
  <si>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</si>
  <si>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</si>
  <si>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</si>
  <si>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</si>
  <si>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</si>
  <si>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</si>
  <si>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</si>
  <si>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</si>
  <si>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</si>
  <si>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</si>
  <si>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</si>
  <si>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</si>
  <si>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</si>
  <si>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</si>
  <si>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</si>
  <si>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</si>
  <si>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</si>
  <si>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</si>
  <si>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</si>
  <si>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</si>
  <si>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</si>
  <si>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</si>
  <si>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</si>
  <si>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</si>
  <si>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</si>
  <si>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</si>
  <si>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</si>
  <si>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</si>
  <si>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</si>
  <si>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</si>
  <si>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</si>
  <si>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</si>
  <si>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</si>
  <si>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</si>
  <si>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</si>
  <si>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</si>
  <si>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</si>
  <si>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</si>
  <si>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</si>
  <si>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</si>
  <si>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</si>
  <si>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</si>
  <si>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</si>
  <si>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</si>
  <si>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</si>
  <si>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</si>
  <si>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</si>
  <si>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</si>
  <si>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</si>
  <si>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</si>
  <si>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</si>
  <si>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</si>
  <si>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</si>
  <si>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</si>
  <si>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</si>
  <si>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</si>
  <si>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</si>
  <si>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</si>
  <si>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</si>
  <si>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</si>
  <si>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</si>
  <si>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</si>
  <si>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</si>
  <si>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</si>
  <si>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</si>
  <si>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</si>
  <si>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</si>
  <si>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</si>
  <si>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</si>
  <si>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</si>
  <si>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</si>
  <si>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</si>
  <si>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</si>
  <si>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</si>
  <si>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</si>
  <si>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</si>
  <si>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</si>
  <si>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</si>
  <si>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</si>
  <si>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</si>
  <si>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</si>
  <si>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</si>
  <si>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</si>
  <si>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</si>
  <si>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</si>
  <si>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</si>
  <si>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</si>
  <si>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</si>
  <si>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</si>
  <si>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</si>
  <si>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</si>
  <si>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</si>
  <si>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</si>
  <si>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</si>
  <si>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</si>
  <si>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</si>
  <si>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</si>
  <si>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</si>
  <si>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</si>
  <si>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</si>
  <si>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</si>
  <si>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</si>
  <si>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</si>
  <si>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</si>
  <si>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</si>
  <si>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</si>
  <si>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</si>
  <si>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</si>
  <si>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</si>
  <si>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</si>
  <si>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</si>
  <si>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</si>
  <si>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</si>
  <si>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</si>
  <si>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</si>
  <si>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</si>
  <si>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</si>
  <si>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</si>
  <si>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</si>
  <si>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</si>
  <si>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</si>
  <si>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</si>
  <si>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</si>
  <si>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</si>
  <si>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</si>
  <si>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</si>
  <si>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</si>
  <si>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</si>
  <si>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</si>
  <si>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</si>
  <si>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</si>
  <si>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</si>
  <si>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</si>
  <si>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</si>
  <si>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</si>
  <si>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</si>
  <si>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</si>
  <si>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</si>
  <si>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</si>
  <si>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</si>
  <si>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</si>
  <si>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</si>
  <si>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</si>
  <si>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</si>
  <si>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</si>
  <si>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</si>
  <si>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</si>
  <si>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</si>
  <si>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</si>
  <si>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</si>
  <si>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</si>
  <si>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</si>
  <si>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</si>
  <si>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</si>
  <si>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</si>
  <si>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</si>
  <si>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</si>
  <si>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</si>
  <si>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</si>
  <si>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</si>
  <si>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</si>
  <si>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</si>
  <si>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</si>
  <si>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</si>
  <si>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</si>
  <si>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</si>
  <si>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</si>
  <si>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</si>
  <si>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</si>
  <si>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</si>
  <si>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</si>
  <si>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</si>
  <si>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</si>
  <si>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</si>
  <si>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</si>
  <si>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</si>
  <si>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</si>
  <si>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</si>
  <si>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</si>
  <si>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</si>
  <si>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</si>
  <si>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</si>
  <si>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</si>
  <si>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</si>
  <si>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</si>
  <si>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</si>
  <si>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</si>
  <si>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</si>
  <si>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</si>
  <si>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</si>
  <si>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</si>
  <si>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</si>
  <si>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</si>
  <si>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</si>
  <si>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</si>
  <si>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</si>
  <si>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</si>
  <si>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</si>
  <si>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</si>
  <si>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</si>
  <si>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</si>
  <si>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</si>
  <si>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</si>
  <si>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</si>
  <si>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</si>
  <si>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</si>
  <si>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</si>
  <si>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</si>
  <si>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</si>
  <si>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</si>
  <si>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</si>
  <si>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</si>
  <si>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</si>
  <si>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</si>
  <si>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</si>
  <si>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</si>
  <si>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</si>
  <si>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</si>
  <si>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</si>
  <si>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</si>
  <si>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</si>
  <si>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</si>
  <si>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</si>
  <si>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</si>
  <si>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</si>
  <si>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</si>
  <si>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</si>
  <si>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</si>
  <si>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</si>
  <si>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</si>
  <si>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</si>
  <si>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</si>
  <si>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</si>
  <si>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</si>
  <si>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</si>
  <si>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</si>
  <si>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</si>
  <si>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</si>
  <si>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</si>
  <si>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</si>
  <si>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</si>
  <si>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</si>
  <si>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</si>
  <si>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</si>
  <si>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</si>
  <si>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</si>
  <si>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</si>
  <si>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</si>
  <si>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</si>
  <si>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</si>
  <si>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</si>
  <si>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</si>
  <si>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</si>
  <si>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</si>
  <si>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</si>
  <si>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</si>
  <si>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</si>
  <si>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</si>
  <si>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</si>
  <si>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</si>
  <si>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</si>
  <si>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</si>
  <si>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</si>
  <si>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</si>
  <si>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</si>
  <si>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</si>
  <si>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</si>
  <si>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</si>
  <si>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</si>
  <si>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</si>
  <si>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</si>
  <si>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</si>
  <si>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</si>
  <si>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</si>
  <si>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</si>
  <si>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</si>
  <si>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</si>
  <si>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</si>
  <si>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</si>
  <si>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</si>
  <si>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</si>
  <si>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</si>
  <si>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</si>
  <si>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</si>
  <si>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</si>
  <si>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</si>
  <si>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</si>
  <si>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</si>
  <si>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</si>
  <si>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</si>
  <si>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</si>
  <si>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</si>
  <si>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</si>
  <si>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</si>
  <si>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</si>
  <si>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</si>
  <si>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</si>
  <si>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</si>
  <si>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</si>
  <si>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</si>
  <si>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</si>
  <si>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</si>
  <si>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</si>
  <si>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</si>
  <si>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</si>
  <si>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</si>
  <si>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</si>
  <si>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</si>
  <si>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</si>
  <si>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</si>
  <si>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</si>
  <si>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</si>
  <si>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</si>
  <si>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</si>
  <si>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</si>
  <si>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</si>
  <si>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</si>
  <si>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</si>
  <si>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</si>
  <si>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</si>
  <si>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</si>
  <si>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</si>
  <si>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</si>
  <si>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</si>
  <si>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</si>
  <si>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</si>
  <si>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</si>
  <si>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</si>
  <si>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</si>
  <si>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</si>
  <si>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</si>
  <si>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</si>
  <si>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</si>
  <si>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</si>
  <si>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</si>
  <si>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</si>
  <si>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</si>
  <si>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</si>
  <si>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</si>
  <si>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</si>
  <si>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</si>
  <si>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</si>
  <si>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</si>
  <si>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</si>
  <si>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</si>
  <si>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</si>
  <si>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</si>
  <si>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</si>
  <si>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</si>
  <si>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</si>
  <si>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</si>
  <si>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</si>
  <si>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</si>
  <si>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</si>
  <si>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</si>
  <si>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</si>
  <si>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</si>
  <si>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</si>
  <si>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</si>
  <si>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</si>
  <si>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</si>
  <si>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</si>
  <si>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</si>
  <si>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</si>
  <si>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</si>
  <si>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</si>
  <si>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</si>
  <si>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</si>
  <si>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</si>
  <si>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</si>
  <si>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</si>
  <si>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</si>
  <si>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</si>
  <si>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</si>
  <si>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</si>
  <si>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</si>
  <si>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</si>
  <si>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</si>
  <si>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</si>
  <si>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</si>
  <si>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</si>
  <si>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</si>
  <si>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</si>
  <si>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</si>
  <si>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</si>
  <si>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</si>
  <si>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</si>
  <si>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</si>
  <si>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</si>
  <si>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</si>
  <si>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</si>
  <si>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</si>
  <si>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</si>
  <si>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</si>
  <si>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</si>
  <si>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</si>
  <si>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</si>
  <si>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</si>
  <si>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</si>
  <si>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</si>
  <si>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</si>
  <si>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</si>
  <si>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</si>
  <si>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</si>
  <si>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</si>
  <si>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</si>
  <si>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</si>
  <si>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</si>
  <si>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</si>
  <si>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</si>
  <si>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</si>
  <si>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</si>
  <si>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</si>
  <si>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</si>
  <si>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</si>
  <si>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</si>
  <si>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</si>
  <si>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</si>
  <si>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</si>
  <si>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</si>
  <si>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</si>
  <si>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</si>
  <si>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</si>
  <si>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</si>
  <si>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</si>
  <si>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</si>
  <si>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</si>
  <si>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</si>
  <si>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</si>
  <si>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</si>
  <si>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</si>
  <si>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</si>
  <si>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</si>
  <si>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</si>
  <si>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</si>
  <si>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</si>
  <si>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</si>
  <si>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</si>
  <si>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</si>
  <si>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</si>
  <si>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</si>
  <si>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</si>
  <si>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</si>
  <si>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</si>
  <si>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</si>
  <si>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</si>
  <si>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</si>
  <si>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</si>
  <si>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</si>
  <si>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</si>
  <si>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</si>
  <si>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</si>
  <si>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</si>
  <si>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</si>
  <si>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</si>
  <si>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</si>
  <si>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</si>
  <si>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</si>
  <si>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</si>
  <si>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</si>
  <si>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</si>
  <si>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</si>
  <si>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</si>
  <si>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</si>
  <si>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</si>
  <si>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</si>
  <si>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</si>
  <si>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</si>
  <si>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</si>
  <si>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</si>
  <si>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</si>
  <si>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</si>
  <si>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</si>
  <si>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</si>
  <si>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</si>
  <si>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</si>
  <si>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</si>
  <si>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</si>
  <si>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</si>
  <si>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</si>
  <si>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</si>
  <si>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</si>
  <si>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</si>
  <si>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</si>
  <si>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</si>
  <si>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</si>
  <si>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</si>
  <si>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</si>
  <si>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</si>
  <si>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</si>
  <si>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</si>
  <si>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</si>
  <si>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</si>
  <si>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</si>
  <si>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</si>
  <si>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</si>
  <si>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</si>
  <si>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</si>
  <si>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</si>
  <si>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</si>
  <si>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</si>
  <si>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</si>
  <si>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</si>
  <si>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</si>
  <si>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</si>
  <si>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</si>
  <si>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</si>
  <si>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</si>
  <si>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</si>
  <si>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cycles year 2</t>
  </si>
  <si>
    <t>cycles year 3</t>
  </si>
  <si>
    <t>cycles year 4</t>
  </si>
  <si>
    <t>cycles year 5</t>
  </si>
  <si>
    <t>total</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</si>
  <si>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</si>
  <si>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</si>
  <si>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</si>
  <si>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</si>
  <si>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</si>
  <si>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</si>
  <si>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</si>
  <si>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</si>
  <si>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</si>
  <si>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</si>
  <si>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</si>
  <si>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</si>
  <si>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</si>
  <si>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</si>
  <si>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</si>
  <si>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</si>
  <si>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</si>
  <si>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</si>
  <si>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</si>
  <si>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</si>
  <si>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</si>
  <si>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</si>
  <si>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</si>
  <si>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</si>
  <si>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</si>
  <si>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</si>
  <si>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</si>
  <si>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</si>
  <si>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</si>
  <si>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</si>
  <si>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</si>
  <si>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</si>
  <si>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</si>
  <si>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</si>
  <si>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</si>
  <si>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</si>
  <si>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</si>
  <si>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Bottom</t>
  </si>
  <si>
    <t>Band 6 Mid</t>
  </si>
  <si>
    <t>Band 8a Mid</t>
  </si>
  <si>
    <t>Notes</t>
  </si>
  <si>
    <t>Preparation time before and post administration based on consensus of expert clinical opinions.  Band 7 nurse assumed, amend where necessary</t>
  </si>
  <si>
    <t>Duration of administrations as per SmPC available through the European Medicines Compendium</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</si>
  <si>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</si>
  <si>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</si>
  <si>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</si>
  <si>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</si>
  <si>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</si>
  <si>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</si>
  <si>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</si>
  <si>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</si>
  <si>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</si>
  <si>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</si>
  <si>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</si>
  <si>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</si>
  <si>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</si>
  <si>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</si>
  <si>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</si>
  <si>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</si>
  <si>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</si>
  <si>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</si>
  <si>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</si>
  <si>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</si>
  <si>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</si>
  <si>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</si>
  <si>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</si>
  <si>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</si>
  <si>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</si>
  <si>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</si>
  <si>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Number of cycles</t>
  </si>
  <si>
    <t>VAT rate</t>
  </si>
  <si>
    <t>Annual cost</t>
  </si>
  <si>
    <t>IV</t>
  </si>
  <si>
    <t>vial</t>
  </si>
  <si>
    <t>n/a</t>
  </si>
  <si>
    <t>All components</t>
  </si>
  <si>
    <t>Administrations</t>
  </si>
  <si>
    <t>Treatment option</t>
  </si>
  <si>
    <t>HRG code</t>
  </si>
  <si>
    <t>HRG description</t>
  </si>
  <si>
    <t>Tariff</t>
  </si>
  <si>
    <t>Based on 2023-25 NHS England national tariff payment system –  24-25 prices</t>
  </si>
  <si>
    <t>First attendance</t>
  </si>
  <si>
    <t>Follow up attendance</t>
  </si>
  <si>
    <t>Based on 2023-25 National Tariff Payment System –  24-25 prices</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</si>
  <si>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</si>
  <si>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</si>
  <si>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</si>
  <si>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</si>
  <si>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</si>
  <si>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</si>
  <si>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</si>
  <si>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</si>
  <si>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</si>
  <si>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</si>
  <si>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</si>
  <si>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</si>
  <si>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</si>
  <si>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</si>
  <si>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</si>
  <si>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</si>
  <si>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</si>
  <si>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</si>
  <si>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</si>
  <si>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</si>
  <si>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</si>
  <si>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</si>
  <si>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</si>
  <si>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</si>
  <si>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</si>
  <si>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Administrations cycles per year - change</t>
  </si>
  <si>
    <t>Capacity impact on nursing staffing - hours</t>
  </si>
  <si>
    <t>Post administration nursing time (hours)</t>
  </si>
  <si>
    <t>Capacity impact on pharmacy</t>
  </si>
  <si>
    <t>Support time (hours) - change to current practice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</si>
  <si>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</si>
  <si>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</si>
  <si>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</si>
  <si>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</si>
  <si>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</si>
  <si>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</si>
  <si>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</si>
  <si>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</si>
  <si>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</si>
  <si>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</si>
  <si>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</si>
  <si>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</si>
  <si>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</si>
  <si>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</si>
  <si>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</si>
  <si>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 xml:space="preserve">Administrations  </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</si>
  <si>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</si>
  <si>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</si>
  <si>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</si>
  <si>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</si>
  <si>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</si>
  <si>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</si>
  <si>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</si>
  <si>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</si>
  <si>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</si>
  <si>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</si>
  <si>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</si>
  <si>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</si>
  <si>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</si>
  <si>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</si>
  <si>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Unit cost</t>
  </si>
  <si>
    <t>Capacity impact (national prices)</t>
  </si>
  <si>
    <t>First attendances - number of appointments</t>
  </si>
  <si>
    <t>Follow up attendances - number of appointments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</si>
  <si>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</si>
  <si>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</si>
  <si>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</si>
  <si>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</si>
  <si>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</si>
  <si>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</si>
  <si>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</si>
  <si>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</si>
  <si>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</si>
  <si>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</si>
  <si>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</si>
  <si>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</si>
  <si>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</si>
  <si>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</si>
  <si>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</si>
  <si>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</si>
  <si>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</si>
  <si>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</si>
  <si>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</si>
  <si>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</si>
  <si>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</si>
  <si>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</si>
  <si>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</si>
  <si>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</si>
  <si>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</si>
  <si>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</si>
  <si>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</si>
  <si>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</si>
  <si>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</si>
  <si>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</si>
  <si>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</si>
  <si>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</si>
  <si>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</si>
  <si>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</si>
  <si>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</si>
  <si>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</si>
  <si>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</si>
  <si>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</si>
  <si>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</si>
  <si>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</si>
  <si>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</si>
  <si>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</si>
  <si>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</si>
  <si>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</si>
  <si>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</si>
  <si>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</si>
  <si>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</si>
  <si>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</si>
  <si>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</si>
  <si>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</si>
  <si>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</si>
  <si>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</si>
  <si>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</si>
  <si>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</si>
  <si>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</si>
  <si>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</si>
  <si>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</si>
  <si>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</si>
  <si>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</si>
  <si>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</si>
  <si>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</si>
  <si>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</si>
  <si>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</si>
  <si>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</si>
  <si>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</si>
  <si>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</si>
  <si>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</si>
  <si>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</si>
  <si>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</si>
  <si>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</si>
  <si>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</si>
  <si>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</si>
  <si>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</si>
  <si>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</si>
  <si>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</si>
  <si>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</si>
  <si>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</si>
  <si>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</si>
  <si>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</si>
  <si>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</si>
  <si>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</si>
  <si>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</si>
  <si>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</si>
  <si>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</si>
  <si>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</si>
  <si>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</si>
  <si>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</si>
  <si>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</si>
  <si>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</si>
  <si>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</si>
  <si>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</si>
  <si>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</si>
  <si>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</si>
  <si>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</si>
  <si>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</si>
  <si>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</si>
  <si>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</si>
  <si>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</si>
  <si>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</si>
  <si>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</si>
  <si>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</si>
  <si>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</si>
  <si>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</si>
  <si>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</si>
  <si>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</si>
  <si>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</si>
  <si>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</si>
  <si>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</si>
  <si>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</si>
  <si>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</si>
  <si>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</si>
  <si>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Incidence of lung cancer</t>
  </si>
  <si>
    <t>Proportion that are NSCLC</t>
  </si>
  <si>
    <t>NLCA State of the Nation 2024 Version 2 - National Lung Cancer Audit</t>
  </si>
  <si>
    <t>Proportion who undergo surgical resection</t>
  </si>
  <si>
    <t>Table 5</t>
  </si>
  <si>
    <t>Less: Proportion who are stage I whose tumours are easily operable and would not require neoadjuvant treatment</t>
  </si>
  <si>
    <t>Sub total people receiving surgical resection who are not stage I</t>
  </si>
  <si>
    <t>Proportion who are not EGFR or ALK mutation positive</t>
  </si>
  <si>
    <t>Proportion who are suitable for neoadjuvant treatment</t>
  </si>
  <si>
    <t>Pembrolizumab + chemo - neoadjuvant</t>
  </si>
  <si>
    <t>Nivolumab neoadjuvant</t>
  </si>
  <si>
    <t>Durvalumab</t>
  </si>
  <si>
    <t>100mg vial / pack size 1</t>
  </si>
  <si>
    <t>Nivolumab</t>
  </si>
  <si>
    <t>120mg vial / pack size 1</t>
  </si>
  <si>
    <t>Carboplatin</t>
  </si>
  <si>
    <t>Carboplatin 450mg/45ml solution for infusion vials  /  Pack size 1</t>
  </si>
  <si>
    <t>eMIT</t>
  </si>
  <si>
    <t>Carboplatin 600mg/60ml solution for infusion vials  /  Pack size 1</t>
  </si>
  <si>
    <t>Cisplatin</t>
  </si>
  <si>
    <t>Cisplatin 100mg/100ml solution for infusion vials  /  Pack size 1</t>
  </si>
  <si>
    <t>Cisplatin 10mg/10ml solution for infusion vials  /  Pack size 1</t>
  </si>
  <si>
    <t>Gemcitabine</t>
  </si>
  <si>
    <t>Gemcitabine 2g/20ml (100mg/ml) concentrate for solution for infusion vials  /  Pack size 1</t>
  </si>
  <si>
    <t>Paclitaxel</t>
  </si>
  <si>
    <t>Paclitaxel 100mg/16.7ml solution for infusion vials  /  Pack size 1</t>
  </si>
  <si>
    <t>Paclitaxel 300mg/50ml solution for injection vials  /  Pack size 1</t>
  </si>
  <si>
    <t>Pemetrexed</t>
  </si>
  <si>
    <t>Pemetrexed 1g powder for solution for injection vials (generic)  /  Pack size 1</t>
  </si>
  <si>
    <t>Pembrolizumab</t>
  </si>
  <si>
    <t>500mg/10ml concentrate for solution for infusion vials</t>
  </si>
  <si>
    <t>120mg/2.4ml concentrate for solution for infusion vials</t>
  </si>
  <si>
    <t>Docetaxel 160mg/8ml solution for infusion vials (20mg/ml)  /  Packsize 1</t>
  </si>
  <si>
    <t>Docetaxel</t>
  </si>
  <si>
    <t>Neoadjuvant setting</t>
  </si>
  <si>
    <t>Uptake for pembrolizumab+chemotherapy</t>
  </si>
  <si>
    <t>Uptake for nivolumab+chemotherapy</t>
  </si>
  <si>
    <t>Total</t>
  </si>
  <si>
    <t>Adjuvant setting</t>
  </si>
  <si>
    <t>Proportion suitable for adjuvant treatment with pembrolizumab (proportion of those who receive neoadjuvant pembrolizumab)</t>
  </si>
  <si>
    <t>Uptake for adjuvant pembrolizumab after neoadjuvant pembrolizumab</t>
  </si>
  <si>
    <t>Proportion suitable for adjuvant treatment with durvalumab (proportion of those who receive neoadjuvant durvalumab)</t>
  </si>
  <si>
    <t>Uptake for durvalumab+chemotherapy</t>
  </si>
  <si>
    <t>Uptake for adjuvant durvalumab after neoadjuvant durvalumab</t>
  </si>
  <si>
    <t>Notes:</t>
  </si>
  <si>
    <t>Market share estimates assume equal market shares over time, please amend locally.</t>
  </si>
  <si>
    <t>Pembrolizumab (neoadjuvant)</t>
  </si>
  <si>
    <t>Oncologist appointment</t>
  </si>
  <si>
    <t>Drug regimen prep (mins)</t>
  </si>
  <si>
    <t>Durvalumab (neoadjuvant)</t>
  </si>
  <si>
    <t>Appointments with specialist assumed to be the same for all groups. Please amend locally.</t>
  </si>
  <si>
    <t>Per NHSE: Clinical pathways for treatment of patients in the neoadjuvant and adjuvant setting are established in practice.  There will be additional treatment cycles in the adjuvant setting with pembrolizumab compared to current practice.</t>
  </si>
  <si>
    <t>Administration time of durvalumab based on company submission: durvalumab is administered as an intravenous infusion over 1 hour.</t>
  </si>
  <si>
    <t>Administration time of durvalumab, pembrolizumab and nivolumab per SmPC:</t>
  </si>
  <si>
    <t>Weighting</t>
  </si>
  <si>
    <t>200 mg every three weeks</t>
  </si>
  <si>
    <t>Cisplatin + Gemcitabine.  Cisplatin</t>
  </si>
  <si>
    <t>Cisplatin + Gemcitabine.  Gemcitabine</t>
  </si>
  <si>
    <t>Cisplatin + Pemetrexed.  Cisplatin</t>
  </si>
  <si>
    <t>Cisplatin + Pemetrexed.  Pemetrexed</t>
  </si>
  <si>
    <t xml:space="preserve">Pembrolizumab (adjuvant) </t>
  </si>
  <si>
    <t>Carboplatin + Paclitaxel.  Carboplatin</t>
  </si>
  <si>
    <t>Carboplatin + Paclitaxel.  Paclitaxel</t>
  </si>
  <si>
    <t>Osimertinib (IV) is not considered a comparator.  This is because this is available to people who have gone straight to surgery without neoadjuvant chemotherapy.</t>
  </si>
  <si>
    <t>weighting</t>
  </si>
  <si>
    <t>SB13Z</t>
  </si>
  <si>
    <t>SB13Z Deliver more complex parenteral chemotherapy at first Attendance</t>
  </si>
  <si>
    <t>SB15Z</t>
  </si>
  <si>
    <t>SB15Z Deliver Subsequent Elements of a Chemotherapy Cycle</t>
  </si>
  <si>
    <t>Pembrolizumab adjuvant</t>
  </si>
  <si>
    <t>SB12Z</t>
  </si>
  <si>
    <t>SB12Z Deliver Simple Parenteral Chemotherapy at First Attendance</t>
  </si>
  <si>
    <t>Appointments with oncologist</t>
  </si>
  <si>
    <t>HRG code- outpatient attendance</t>
  </si>
  <si>
    <t>1500 mg every three weeks</t>
  </si>
  <si>
    <t>Carboplatin + Pemetrexed.  Carboplatin</t>
  </si>
  <si>
    <t>Carboplatin + Pemetrexed.  Pemetrexed</t>
  </si>
  <si>
    <t>Cisplatin + Paclitaxel.  Cisplatin</t>
  </si>
  <si>
    <t>Cisplatin + Paclitaxel.  Paclitaxel</t>
  </si>
  <si>
    <t>Carboplatin + Gemcitabine.  Carboplatin</t>
  </si>
  <si>
    <t>Carboplatin + Gemcitabine.  Gemcitabine</t>
  </si>
  <si>
    <t>5mg/mL/min, once every 3 weeks</t>
  </si>
  <si>
    <t>500mg/m2, once every 3 weeks</t>
  </si>
  <si>
    <t>75mg/m2, once every 3 weeks</t>
  </si>
  <si>
    <t>6mg/mL/min, once every 3 weeks</t>
  </si>
  <si>
    <t>200mg/m2, once every 3 weeks</t>
  </si>
  <si>
    <t>1250mg/m2, twice every 3 weeks</t>
  </si>
  <si>
    <t>Chemo regimens</t>
  </si>
  <si>
    <t>Total cost</t>
  </si>
  <si>
    <t>Regminen weighted annual cost</t>
  </si>
  <si>
    <t>Regimen weighting</t>
  </si>
  <si>
    <t xml:space="preserve">Durvalumab (adjuvant) </t>
  </si>
  <si>
    <t>Durvalumab + chemo neoadjuvant</t>
  </si>
  <si>
    <t>Pembrolizumab + chemo neoadjuvant</t>
  </si>
  <si>
    <t>Nivolumab + chemo neoadjuvant</t>
  </si>
  <si>
    <t>Durvalumab adjuvant</t>
  </si>
  <si>
    <t>People choosing durvalumab</t>
  </si>
  <si>
    <t>Durvalumab with chemotherapy before surgery (neoadjuvant) then alone after surgery (adjuvant) for treating resectable non-small-cell lung cancer</t>
  </si>
  <si>
    <t xml:space="preserve">Durvalumab with chemotherapy before surgery </t>
  </si>
  <si>
    <t xml:space="preserve">(neoadjuvant) then alone after surgery (adjuvant) for </t>
  </si>
  <si>
    <t>treating resectable non-small-cell lung cancer</t>
  </si>
  <si>
    <t>Published: January 2025</t>
  </si>
  <si>
    <t>Cancer</t>
  </si>
  <si>
    <t>Lung cancer</t>
  </si>
  <si>
    <t>90 days</t>
  </si>
  <si>
    <t>Cancer Registration Statistics, England 2022. ICD10 code C33-C34. Ages 20 years and above as a proxy for ages 18 years and over</t>
  </si>
  <si>
    <t xml:space="preserve">Table 3  </t>
  </si>
  <si>
    <t xml:space="preserve">Table 3 Calculated.  Stage I as a proportion of I, II, IIIA. 22.5/(22.5 + 7.5 + 10.7) = 55.2%. Estimate 55% of all resections were stage 1 and would not be eligible for neoadjuvant treatment. </t>
  </si>
  <si>
    <t>Adizie JB, Tweedie J, Khakwani A, et al. Biomarker testing for people with advanced lung cancer in England. JTO Clin Res Rep. 2021;2:100176. Table 2, 10% EGFRpositive + 4%ALK positive. Assumed that people who are suitable for targeted therapies would receive them.</t>
  </si>
  <si>
    <t>Clinical expert opinion, resource impact template, Nivolumab with chemotherapy for neoadjuvant treatment of resectable non-small-cell lung cancer (2023) TA876</t>
  </si>
  <si>
    <t xml:space="preserve">Pre-operative (neoadjuvant) resectable NSCLC and adjuvant (post operative) NSCLC </t>
  </si>
  <si>
    <t>IV infusion</t>
  </si>
  <si>
    <t>NHS Hospital Trusts</t>
  </si>
  <si>
    <t>NHS England</t>
  </si>
  <si>
    <t>2D Cancers &amp; Tumours - Lung</t>
  </si>
  <si>
    <t>Only people who receive durvalumab as a neoadjuvant treatment can then receive durvalumab as an adjuvant treatment after surgery. Therefore the eligible ppulation for adjuvant treatment is dependent on the uptake as a neoadjuvant treatment.</t>
  </si>
  <si>
    <t>66% of people who receive durvalumab as a neoadjuvant treatment are expected to be eligible for adjuvant treatment with durvalumab. This is based on the AEGEAN trial.</t>
  </si>
  <si>
    <t>Pembrolizumab - adjuvant 200mg Q3W</t>
  </si>
  <si>
    <t>Pembrolizumab - adjuvant 400mg Q6W</t>
  </si>
  <si>
    <t>length (days) of cycle</t>
  </si>
  <si>
    <t>BNF</t>
  </si>
  <si>
    <t>Gemcitabine 1g powder for solution for infusion vials  /  Packsize 1</t>
  </si>
  <si>
    <t xml:space="preserve">BNF and eMIT accessed online 30 December 2024. </t>
  </si>
  <si>
    <t>Sacco JJ, Botten J, Macbeth F, Bagust A, Clark P. The average body surface area of adult cancer patients in the UK: a multicentre retrospective study. PLoS One. 2010 Jan 28;5(1):e8933. doi: 10.1371/journal.pone.0008933. PMID: 20126669; PMCID: PMC2812484.</t>
  </si>
  <si>
    <t>Health Survey for England, 2022. NHS Digital</t>
  </si>
  <si>
    <t>Durvalumab +chemo (adjuvant)</t>
  </si>
  <si>
    <t>Durvalumab +chemo (neoadjuvant)</t>
  </si>
  <si>
    <t>Pembrolizumab +chemo (neoadjuvant)</t>
  </si>
  <si>
    <t>Pembrolizumab +chemo (adjuvant)</t>
  </si>
  <si>
    <t>Nivolumab +chemo (neoadjuvant)</t>
  </si>
  <si>
    <t>Nivolumab + chemo - neoadjuvant</t>
  </si>
  <si>
    <t>Adverse events are not assumed to have additional resource impact from current practice. Company submission.</t>
  </si>
  <si>
    <t>Default is Non HCAS</t>
  </si>
  <si>
    <t>Please select pay scale used in your locality (Non HCAS/HCA type) in the payscales tab</t>
  </si>
  <si>
    <t>Dosing</t>
  </si>
  <si>
    <t>1500 mg every four weeks</t>
  </si>
  <si>
    <t>Number of vial/packs per cycle</t>
  </si>
  <si>
    <t>Total number of vial/packs</t>
  </si>
  <si>
    <t>Vial/pack cost</t>
  </si>
  <si>
    <t>75mg/m2, every 3 weeks, day 1</t>
  </si>
  <si>
    <t>1000mg/m2, every 3 weeks, day 1 and 8</t>
  </si>
  <si>
    <t>Days given</t>
  </si>
  <si>
    <t>500mg/m2, every 3 weeks, day 1</t>
  </si>
  <si>
    <t>400mg every 6wks</t>
  </si>
  <si>
    <t>200mg every 3wks</t>
  </si>
  <si>
    <t>Select dosing regimen from dropdown</t>
  </si>
  <si>
    <t>360mg IV over 30mins every 3 weeks, three cycles</t>
  </si>
  <si>
    <t>BSA (m2)/GFR</t>
  </si>
  <si>
    <t>Atezolizumab is not considered a comparator. See note in 'Inputs and eligible population'.</t>
  </si>
  <si>
    <t>Cycles</t>
  </si>
  <si>
    <t>Weighted cost</t>
  </si>
  <si>
    <t>Durvalumab neoadjuvant</t>
  </si>
  <si>
    <t xml:space="preserve">Treatment </t>
  </si>
  <si>
    <t>Durvalumab + Carboplatin + Pemetrexed</t>
  </si>
  <si>
    <t>Durvalumab + Cisplatin + Pemetrexed</t>
  </si>
  <si>
    <t>Durvalumab + Carboplatin + Paclitaxel</t>
  </si>
  <si>
    <t xml:space="preserve">Durvalumab + chemo - neoadjuvant </t>
  </si>
  <si>
    <t>Durvalumab + chemo - adjuvant</t>
  </si>
  <si>
    <t>Durvalumab + Cisplatin + Gemcitabine</t>
  </si>
  <si>
    <t>Durvalumab + Cisplatin + Paclitaxel</t>
  </si>
  <si>
    <t>Durvalumab + Carboplatin + Gemcitabine</t>
  </si>
  <si>
    <t>Cost of cycles</t>
  </si>
  <si>
    <t>TFC 370 Medical oncology service</t>
  </si>
  <si>
    <t>WF01B - Single Professional</t>
  </si>
  <si>
    <t>WF01A - Single Professional</t>
  </si>
  <si>
    <t>Pembrolizumab neoadjuvant</t>
  </si>
  <si>
    <t>Pembrolizumab + Cisplatin + Gemcitabine</t>
  </si>
  <si>
    <t>Pembrolizumab + Cisplatin + Pemetrexed</t>
  </si>
  <si>
    <t>Nivolumab + Cisplatin + Pemetrexed</t>
  </si>
  <si>
    <t>Nivolumab + Cisplatin + Gemcitabine</t>
  </si>
  <si>
    <t>Nivolumab + Carboplatin + Paclitaxel</t>
  </si>
  <si>
    <t>1, (8)</t>
  </si>
  <si>
    <t>Neoadjuvent</t>
  </si>
  <si>
    <t>Adjuvent</t>
  </si>
  <si>
    <t>Neoadjuvent and adjuvent</t>
  </si>
  <si>
    <t>Follow up attendances - change in number of attendances to current practice</t>
  </si>
  <si>
    <t>First attendances - change in number of attendances to current practice</t>
  </si>
  <si>
    <t>Durvalumab adjuvent</t>
  </si>
  <si>
    <t>Pembrolizumab adjuvent</t>
  </si>
  <si>
    <t>Durvalumab neoadjuvent</t>
  </si>
  <si>
    <t>Pembrolizumab neoadjuvent</t>
  </si>
  <si>
    <t>Nivolumab neoadjuvent</t>
  </si>
  <si>
    <t>weighted</t>
  </si>
  <si>
    <t>HRG</t>
  </si>
  <si>
    <t>First attendances - number of appointments (hours)</t>
  </si>
  <si>
    <t>Follow up attendances - number of appointments (hours)</t>
  </si>
  <si>
    <t>Eligible population neoadjuvent</t>
  </si>
  <si>
    <t>Eligible population adjuvent</t>
  </si>
  <si>
    <t>Eligible population neoadjuvent and adjuvent</t>
  </si>
  <si>
    <t>Capacity impact on medical staffing - hours</t>
  </si>
  <si>
    <t>Administrations - change in hours</t>
  </si>
  <si>
    <t>Preparation time before administration - change in hours</t>
  </si>
  <si>
    <t>Post administration nursing time - change in hours</t>
  </si>
  <si>
    <t>Support time (hours) - change in hours</t>
  </si>
  <si>
    <t xml:space="preserve">Capacity impact </t>
  </si>
  <si>
    <t xml:space="preserve">After neoadjuvant treatment with nivolumab followed by surgery, it is assumed 100% of people receive monitoring. </t>
  </si>
  <si>
    <t xml:space="preserve">In the neoadjuvant setting it is assumed people would receive: durvalumab+chemotherapy, pembrolizumab+chemotherapy or nivolumab+chemotherapy. </t>
  </si>
  <si>
    <t>71.2% of people who receive pembrolizumab as a neoadjuvant treatment are expected to be eligible for adjuvant treatment with pembrolizumab.</t>
  </si>
  <si>
    <t>This is based on a study by Wakelee et al 2023 where 290 patients received adjuvant treatment out of 325 having surgery (89.2%). Shown in figure S2. This is further adjusted for people who drop out or experience adverse effects 18%.</t>
  </si>
  <si>
    <t>Perioperative Pembrolizumab for Early-Stage Non–Small-Cell Lung Cancer | New England Journal of Medicine (nejm.org)</t>
  </si>
  <si>
    <t xml:space="preserve">Atezolizumab is not considered a comparator in this setting because committee experts for TA1017 agreed the decision for people who were eligible for a neoadjuvant treatment (which meant they could have perioperative pembrolizumab or neoadjuvant nivolumab) followed by surgery and then adjuvant pembrolizumab or chemotherapy, would be separate from the decision for people who went straight to surgery for a number of reasons (not wanting to delay to avoid progression, insufficient information on histology or biomarkers to have a neoadjuvant treatment, or the cancer being at too low a stage to be eligible for neoadjuvant treatment). For those people, the decision would then be to have adjuvant chemotherapy and (if eligible) atezolizumab afterwards. </t>
  </si>
  <si>
    <t>Only people who receive pembrolizumab as a neoadjuvant treatment can then receive pembrolizumab as an adjuvant treatment after surgery. Therefore the eligible ppulation for adjuvant treatment is dependent on the uptake of pembrolizumab as a neoadjuvant treatment.</t>
  </si>
  <si>
    <t>mab</t>
  </si>
  <si>
    <t>pembro</t>
  </si>
  <si>
    <t>lizu</t>
  </si>
  <si>
    <t>nivo</t>
  </si>
  <si>
    <t>lumab</t>
  </si>
  <si>
    <t>durval</t>
  </si>
  <si>
    <t>umab</t>
  </si>
  <si>
    <t>lizumab</t>
  </si>
  <si>
    <t>Number of cycles per treatment/ year</t>
  </si>
  <si>
    <t>Nivolumab (neoadjuvant)</t>
  </si>
  <si>
    <t xml:space="preserve">Distribution of the specific chemotherapy agents is as per the company budget impact submissioned based on the CheckMate-816 trial. </t>
  </si>
  <si>
    <t>Distribution of the specific chemotherapy agents is as per the company budget impact submissioned based on the AEGEAN trial intention to treat (ITT) data.</t>
  </si>
  <si>
    <t xml:space="preserve">Distribution of the specific chemotherapy agents is as per the resource impact template for NICE TA1017, November 2024. </t>
  </si>
  <si>
    <t xml:space="preserve">Cycles as per resource impact template for NICE TA1017, November 2024. </t>
  </si>
  <si>
    <t xml:space="preserve">Cycles as per company based on time to treatment discontinutation from AEGEAN trial.  </t>
  </si>
  <si>
    <t>TA1030</t>
  </si>
  <si>
    <t>© NICE 2025. All rights reserved. Subject to Notice of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</si>
</sst>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
    <numFmt numFmtId="175" formatCode="#,##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24"/>
      <color rgb="FFFF0000"/>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indexed="64"/>
      </right>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auto="1"/>
      </top>
      <bottom/>
      <diagonal/>
    </border>
    <border>
      <left style="medium">
        <color indexed="64"/>
      </left>
      <right/>
      <top style="thin">
        <color auto="1"/>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1061">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8" fillId="24" borderId="12" xfId="82" applyFont="1" applyFill="1" applyBorder="1" applyAlignment="1">
      <alignment horizontal="left"/>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0" fillId="0" borderId="35" xfId="0" applyBorder="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2" borderId="17" xfId="0" applyNumberFormat="1" applyFill="1" applyBorder="1"/>
    <xf numFmtId="3" fontId="0" fillId="43"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40" borderId="17" xfId="0" applyFill="1" applyBorder="1"/>
    <xf numFmtId="0" fontId="0" fillId="40" borderId="14" xfId="0" applyFill="1" applyBorder="1"/>
    <xf numFmtId="0" fontId="0" fillId="42"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62" fillId="0" borderId="0" xfId="0" applyFont="1" applyAlignment="1">
      <alignment horizontal="left"/>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0" fontId="29" fillId="46" borderId="11" xfId="0" applyNumberFormat="1" applyFont="1" applyFill="1" applyBorder="1" applyAlignment="1">
      <alignment horizontal="center"/>
    </xf>
    <xf numFmtId="0" fontId="29" fillId="46"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44" fillId="40" borderId="21" xfId="0" applyFont="1" applyFill="1" applyBorder="1"/>
    <xf numFmtId="169" fontId="48" fillId="0" borderId="14" xfId="82" applyNumberFormat="1" applyFont="1" applyBorder="1"/>
    <xf numFmtId="169"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3"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1" xfId="0" applyFill="1" applyBorder="1" applyProtection="1">
      <protection locked="0"/>
    </xf>
    <xf numFmtId="0" fontId="0" fillId="39" borderId="34"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8" fontId="0" fillId="39" borderId="11" xfId="0" applyNumberFormat="1" applyFill="1" applyBorder="1" applyProtection="1">
      <protection locked="0"/>
    </xf>
    <xf numFmtId="9" fontId="0" fillId="39" borderId="42"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5" fontId="46" fillId="39" borderId="11" xfId="82" applyNumberFormat="1" applyFont="1" applyFill="1" applyBorder="1" applyProtection="1">
      <protection locked="0"/>
    </xf>
    <xf numFmtId="0" fontId="6" fillId="39" borderId="20" xfId="82" applyFont="1" applyFill="1" applyBorder="1" applyAlignment="1" applyProtection="1">
      <alignment horizontal="left"/>
      <protection locked="0"/>
    </xf>
    <xf numFmtId="165" fontId="46" fillId="0" borderId="0" xfId="82" applyNumberFormat="1" applyFont="1"/>
    <xf numFmtId="0" fontId="44" fillId="24" borderId="17" xfId="0" applyFont="1" applyFill="1" applyBorder="1"/>
    <xf numFmtId="0" fontId="46" fillId="0" borderId="21" xfId="82" applyFont="1" applyBorder="1"/>
    <xf numFmtId="168" fontId="0" fillId="39" borderId="33" xfId="0" applyNumberFormat="1" applyFill="1" applyBorder="1" applyProtection="1">
      <protection locked="0"/>
    </xf>
    <xf numFmtId="168"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5" fontId="48" fillId="0" borderId="0" xfId="82" applyNumberFormat="1" applyFont="1"/>
    <xf numFmtId="0" fontId="46" fillId="0" borderId="22" xfId="82" applyFont="1" applyBorder="1"/>
    <xf numFmtId="165" fontId="48" fillId="39" borderId="19" xfId="82" applyNumberFormat="1" applyFont="1" applyFill="1" applyBorder="1"/>
    <xf numFmtId="3" fontId="46" fillId="0" borderId="10"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43" borderId="0" xfId="0" applyFont="1" applyFill="1"/>
    <xf numFmtId="0" fontId="71" fillId="43" borderId="20" xfId="0" applyFont="1" applyFill="1" applyBorder="1" applyAlignment="1">
      <alignment horizontal="center"/>
    </xf>
    <xf numFmtId="4" fontId="71" fillId="43" borderId="20" xfId="0" applyNumberFormat="1" applyFont="1" applyFill="1" applyBorder="1"/>
    <xf numFmtId="164" fontId="71" fillId="43" borderId="20" xfId="0" applyNumberFormat="1" applyFont="1" applyFill="1" applyBorder="1"/>
    <xf numFmtId="0" fontId="71" fillId="43" borderId="20" xfId="0" applyFont="1" applyFill="1" applyBorder="1"/>
    <xf numFmtId="0" fontId="71" fillId="43" borderId="17" xfId="0" applyFont="1" applyFill="1" applyBorder="1"/>
    <xf numFmtId="0" fontId="48" fillId="43" borderId="12" xfId="0" applyFont="1" applyFill="1" applyBorder="1" applyAlignment="1">
      <alignment horizontal="left" vertical="center"/>
    </xf>
    <xf numFmtId="0" fontId="73" fillId="24" borderId="48" xfId="0" applyFont="1" applyFill="1" applyBorder="1" applyAlignment="1">
      <alignment horizontal="center" vertical="center"/>
    </xf>
    <xf numFmtId="0" fontId="40" fillId="24" borderId="47" xfId="0" applyFont="1" applyFill="1" applyBorder="1" applyAlignment="1">
      <alignment vertical="center"/>
    </xf>
    <xf numFmtId="169" fontId="46" fillId="0" borderId="24" xfId="57" applyNumberFormat="1" applyFont="1" applyFill="1" applyBorder="1" applyProtection="1"/>
    <xf numFmtId="0" fontId="74"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9" xfId="0" applyFont="1" applyFill="1" applyBorder="1" applyAlignment="1">
      <alignment horizontal="center"/>
    </xf>
    <xf numFmtId="0" fontId="44" fillId="24" borderId="50" xfId="82" applyFont="1" applyFill="1" applyBorder="1" applyAlignment="1">
      <alignment horizontal="center"/>
    </xf>
    <xf numFmtId="0" fontId="44" fillId="24" borderId="50" xfId="110" applyFont="1" applyFill="1" applyBorder="1" applyAlignment="1">
      <alignment horizontal="center" wrapText="1"/>
    </xf>
    <xf numFmtId="3" fontId="44" fillId="24" borderId="50" xfId="110" applyNumberFormat="1" applyFont="1" applyFill="1" applyBorder="1" applyAlignment="1">
      <alignment horizontal="center" wrapText="1"/>
    </xf>
    <xf numFmtId="0" fontId="44" fillId="24" borderId="51" xfId="110" applyFont="1" applyFill="1" applyBorder="1" applyAlignment="1">
      <alignment horizontal="center" wrapText="1"/>
    </xf>
    <xf numFmtId="0" fontId="44" fillId="24" borderId="49" xfId="0" applyFont="1" applyFill="1" applyBorder="1" applyAlignment="1">
      <alignment horizontal="center" wrapText="1"/>
    </xf>
    <xf numFmtId="0" fontId="44" fillId="46" borderId="50" xfId="0" applyFont="1" applyFill="1" applyBorder="1" applyAlignment="1">
      <alignment horizontal="center" wrapText="1"/>
    </xf>
    <xf numFmtId="0" fontId="44" fillId="24" borderId="50" xfId="0" applyFont="1" applyFill="1" applyBorder="1" applyAlignment="1">
      <alignment horizontal="center" wrapText="1"/>
    </xf>
    <xf numFmtId="0" fontId="44" fillId="24" borderId="51" xfId="0" applyFont="1" applyFill="1" applyBorder="1" applyAlignment="1">
      <alignment horizontal="center" wrapText="1"/>
    </xf>
    <xf numFmtId="0" fontId="0" fillId="0" borderId="52"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3" xfId="0" applyBorder="1" applyAlignment="1">
      <alignment horizontal="center"/>
    </xf>
    <xf numFmtId="0" fontId="0" fillId="0" borderId="15" xfId="0" applyBorder="1"/>
    <xf numFmtId="3" fontId="46" fillId="0" borderId="29" xfId="82" applyNumberFormat="1" applyFont="1" applyBorder="1" applyAlignment="1">
      <alignment horizontal="right"/>
    </xf>
    <xf numFmtId="169" fontId="46" fillId="39" borderId="38" xfId="57" applyNumberFormat="1" applyFont="1" applyFill="1" applyBorder="1" applyAlignment="1" applyProtection="1">
      <alignment horizontal="right"/>
    </xf>
    <xf numFmtId="169" fontId="46" fillId="39" borderId="38" xfId="57" applyNumberFormat="1" applyFont="1" applyFill="1" applyBorder="1" applyProtection="1"/>
    <xf numFmtId="10" fontId="46" fillId="39" borderId="38" xfId="92" applyNumberFormat="1" applyFont="1" applyFill="1" applyBorder="1" applyProtection="1"/>
    <xf numFmtId="10" fontId="46" fillId="39" borderId="27" xfId="92" applyNumberFormat="1" applyFont="1" applyFill="1" applyBorder="1" applyProtection="1"/>
    <xf numFmtId="0" fontId="75" fillId="47" borderId="0" xfId="0" applyFont="1" applyFill="1" applyAlignment="1">
      <alignment horizontal="left" vertical="center"/>
    </xf>
    <xf numFmtId="0" fontId="39" fillId="47" borderId="0" xfId="0" applyFont="1" applyFill="1" applyAlignment="1">
      <alignment horizontal="left" vertical="center"/>
    </xf>
    <xf numFmtId="0" fontId="76" fillId="47" borderId="0" xfId="0" applyFont="1" applyFill="1"/>
    <xf numFmtId="0" fontId="77" fillId="25" borderId="0" xfId="0" applyFont="1" applyFill="1"/>
    <xf numFmtId="0" fontId="77" fillId="0" borderId="0" xfId="0" applyFont="1"/>
    <xf numFmtId="0" fontId="77"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8"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4" xfId="0" applyFont="1" applyBorder="1"/>
    <xf numFmtId="0" fontId="0" fillId="0" borderId="45" xfId="0" applyBorder="1" applyAlignment="1">
      <alignment horizontal="center" wrapText="1"/>
    </xf>
    <xf numFmtId="0" fontId="29" fillId="0" borderId="44" xfId="0" applyFont="1" applyBorder="1" applyAlignment="1">
      <alignment horizontal="center"/>
    </xf>
    <xf numFmtId="0" fontId="0" fillId="0" borderId="46"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8"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8"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8"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8"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4" fontId="29" fillId="25" borderId="0" xfId="92" applyNumberFormat="1" applyFont="1" applyFill="1"/>
    <xf numFmtId="0" fontId="32" fillId="24" borderId="0" xfId="0" applyFont="1" applyFill="1"/>
    <xf numFmtId="174" fontId="32" fillId="25" borderId="54"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7"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7" fillId="25" borderId="0" xfId="0" applyNumberFormat="1" applyFont="1" applyFill="1"/>
    <xf numFmtId="0" fontId="29" fillId="25" borderId="0" xfId="0" applyFont="1" applyFill="1" applyAlignment="1">
      <alignment horizontal="right"/>
    </xf>
    <xf numFmtId="0" fontId="77" fillId="25" borderId="0" xfId="0" applyFont="1" applyFill="1" applyAlignment="1">
      <alignment horizontal="right"/>
    </xf>
    <xf numFmtId="9" fontId="29" fillId="48" borderId="0" xfId="92" applyFont="1" applyFill="1"/>
    <xf numFmtId="174" fontId="79" fillId="25" borderId="0" xfId="92" applyNumberFormat="1" applyFont="1" applyFill="1" applyAlignment="1">
      <alignment horizontal="right"/>
    </xf>
    <xf numFmtId="9" fontId="79" fillId="25" borderId="0" xfId="92" applyFont="1" applyFill="1" applyAlignment="1">
      <alignment horizontal="right"/>
    </xf>
    <xf numFmtId="0" fontId="79"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7" fillId="0" borderId="0" xfId="0" applyNumberFormat="1" applyFont="1"/>
    <xf numFmtId="165" fontId="77" fillId="24" borderId="0" xfId="0" applyNumberFormat="1" applyFont="1" applyFill="1"/>
    <xf numFmtId="0" fontId="4" fillId="24" borderId="0" xfId="0" applyFont="1" applyFill="1" applyAlignment="1">
      <alignment horizontal="left" vertical="center" wrapText="1"/>
    </xf>
    <xf numFmtId="3" fontId="77" fillId="24" borderId="0" xfId="0" applyNumberFormat="1" applyFont="1" applyFill="1"/>
    <xf numFmtId="0" fontId="32" fillId="49" borderId="0" xfId="0" applyFont="1" applyFill="1" applyAlignment="1">
      <alignment horizontal="left"/>
    </xf>
    <xf numFmtId="0" fontId="29" fillId="49" borderId="0" xfId="0" applyFont="1" applyFill="1"/>
    <xf numFmtId="169" fontId="46" fillId="39" borderId="19" xfId="82" applyNumberFormat="1" applyFont="1" applyFill="1" applyBorder="1"/>
    <xf numFmtId="169" fontId="46" fillId="39" borderId="11" xfId="82" applyNumberFormat="1" applyFont="1" applyFill="1" applyBorder="1"/>
    <xf numFmtId="169" fontId="46" fillId="39" borderId="15" xfId="82" applyNumberFormat="1" applyFont="1" applyFill="1" applyBorder="1"/>
    <xf numFmtId="169"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0" fontId="44" fillId="39" borderId="35" xfId="0" applyFont="1" applyFill="1" applyBorder="1" applyAlignment="1">
      <alignment horizontal="right"/>
    </xf>
    <xf numFmtId="0" fontId="0" fillId="39" borderId="35" xfId="0" applyFill="1" applyBorder="1"/>
    <xf numFmtId="3" fontId="44" fillId="39" borderId="0" xfId="0" applyNumberFormat="1" applyFont="1" applyFill="1"/>
    <xf numFmtId="0" fontId="0" fillId="0" borderId="17" xfId="0" applyBorder="1" applyAlignment="1">
      <alignment wrapText="1"/>
    </xf>
    <xf numFmtId="0" fontId="0" fillId="0" borderId="0" xfId="0" applyAlignment="1">
      <alignment wrapText="1"/>
    </xf>
    <xf numFmtId="10" fontId="0" fillId="39" borderId="0" xfId="92" applyNumberFormat="1" applyFont="1" applyFill="1"/>
    <xf numFmtId="174" fontId="0" fillId="39" borderId="11" xfId="92" applyNumberFormat="1" applyFont="1" applyFill="1" applyBorder="1"/>
    <xf numFmtId="0" fontId="28" fillId="0" borderId="20" xfId="72" applyFill="1" applyBorder="1" applyAlignment="1" applyProtection="1">
      <alignment vertical="center" wrapText="1"/>
    </xf>
    <xf numFmtId="0" fontId="44" fillId="0" borderId="12" xfId="0" applyFont="1" applyBorder="1"/>
    <xf numFmtId="0" fontId="0" fillId="0" borderId="54" xfId="0" applyBorder="1"/>
    <xf numFmtId="7" fontId="0" fillId="39" borderId="11" xfId="0" applyNumberFormat="1" applyFill="1" applyBorder="1"/>
    <xf numFmtId="164" fontId="58" fillId="39" borderId="12" xfId="82" applyNumberFormat="1" applyFont="1" applyFill="1" applyBorder="1" applyProtection="1">
      <protection locked="0"/>
    </xf>
    <xf numFmtId="9" fontId="0" fillId="0" borderId="42" xfId="0" applyNumberFormat="1" applyBorder="1" applyAlignment="1" applyProtection="1">
      <alignment horizontal="right"/>
      <protection locked="0"/>
    </xf>
    <xf numFmtId="9" fontId="44" fillId="0" borderId="31" xfId="0" applyNumberFormat="1" applyFont="1" applyBorder="1" applyAlignment="1" applyProtection="1">
      <alignment horizontal="right"/>
      <protection locked="0"/>
    </xf>
    <xf numFmtId="174" fontId="0" fillId="39" borderId="34" xfId="92" applyNumberFormat="1" applyFont="1" applyFill="1" applyBorder="1"/>
    <xf numFmtId="174" fontId="0" fillId="39" borderId="31" xfId="92" applyNumberFormat="1" applyFont="1" applyFill="1" applyBorder="1"/>
    <xf numFmtId="174" fontId="0" fillId="39" borderId="42" xfId="92" applyNumberFormat="1" applyFont="1" applyFill="1" applyBorder="1"/>
    <xf numFmtId="9" fontId="0" fillId="39" borderId="34" xfId="92" applyFont="1" applyFill="1" applyBorder="1"/>
    <xf numFmtId="0" fontId="0" fillId="39" borderId="55" xfId="0" applyFill="1" applyBorder="1" applyProtection="1">
      <protection locked="0"/>
    </xf>
    <xf numFmtId="0" fontId="0" fillId="39" borderId="56" xfId="0" applyFill="1" applyBorder="1" applyProtection="1">
      <protection locked="0"/>
    </xf>
    <xf numFmtId="0" fontId="0" fillId="39" borderId="57" xfId="0" applyFill="1" applyBorder="1" applyProtection="1">
      <protection locked="0"/>
    </xf>
    <xf numFmtId="0" fontId="48" fillId="24" borderId="17" xfId="82" applyFont="1" applyFill="1" applyBorder="1" applyAlignment="1">
      <alignment horizontal="center" wrapText="1"/>
    </xf>
    <xf numFmtId="0" fontId="0" fillId="39" borderId="58" xfId="0" applyFill="1" applyBorder="1" applyProtection="1">
      <protection locked="0"/>
    </xf>
    <xf numFmtId="0" fontId="0" fillId="39" borderId="17" xfId="0" applyFill="1" applyBorder="1" applyProtection="1">
      <protection locked="0"/>
    </xf>
    <xf numFmtId="0" fontId="0" fillId="39" borderId="59" xfId="0" applyFill="1" applyBorder="1" applyProtection="1">
      <protection locked="0"/>
    </xf>
    <xf numFmtId="0" fontId="0" fillId="39" borderId="60" xfId="0" applyFill="1" applyBorder="1" applyProtection="1">
      <protection locked="0"/>
    </xf>
    <xf numFmtId="0" fontId="44" fillId="24" borderId="12" xfId="0" applyFont="1" applyFill="1" applyBorder="1" applyAlignment="1">
      <alignment horizontal="center" wrapText="1"/>
    </xf>
    <xf numFmtId="0" fontId="0" fillId="39" borderId="14" xfId="0" applyFill="1" applyBorder="1"/>
    <xf numFmtId="0" fontId="0" fillId="39" borderId="16" xfId="0" applyFill="1" applyBorder="1"/>
    <xf numFmtId="0" fontId="0" fillId="39" borderId="23" xfId="0" applyFill="1" applyBorder="1"/>
    <xf numFmtId="0" fontId="0" fillId="39" borderId="19" xfId="0" applyFill="1" applyBorder="1"/>
    <xf numFmtId="0" fontId="0" fillId="39" borderId="11" xfId="0" applyFill="1" applyBorder="1"/>
    <xf numFmtId="0" fontId="29" fillId="0" borderId="0" xfId="0" applyFont="1" applyAlignment="1">
      <alignment vertical="center"/>
    </xf>
    <xf numFmtId="0" fontId="49" fillId="0" borderId="0" xfId="0" applyFont="1"/>
    <xf numFmtId="0" fontId="46" fillId="39" borderId="12" xfId="82" applyFont="1" applyFill="1" applyBorder="1" applyAlignment="1">
      <alignment wrapText="1"/>
    </xf>
    <xf numFmtId="0" fontId="46" fillId="24" borderId="11" xfId="82" applyFont="1" applyFill="1" applyBorder="1" applyProtection="1">
      <protection locked="0"/>
    </xf>
    <xf numFmtId="0" fontId="0" fillId="39" borderId="12" xfId="0" applyFill="1" applyBorder="1" applyAlignment="1">
      <alignment horizontal="left" vertical="center"/>
    </xf>
    <xf numFmtId="0" fontId="46" fillId="0" borderId="23" xfId="82" applyFont="1" applyBorder="1"/>
    <xf numFmtId="165" fontId="48" fillId="39" borderId="19" xfId="82" applyNumberFormat="1" applyFont="1" applyFill="1" applyBorder="1" applyAlignment="1">
      <alignment horizontal="right"/>
    </xf>
    <xf numFmtId="165" fontId="48" fillId="25" borderId="0" xfId="82" applyNumberFormat="1" applyFont="1" applyFill="1"/>
    <xf numFmtId="0" fontId="46" fillId="25" borderId="0" xfId="82" applyFont="1" applyFill="1"/>
    <xf numFmtId="0" fontId="0" fillId="39" borderId="11" xfId="0" applyFill="1" applyBorder="1" applyAlignment="1">
      <alignment horizontal="left" vertical="center"/>
    </xf>
    <xf numFmtId="0" fontId="46" fillId="39" borderId="11" xfId="82" applyFont="1" applyFill="1" applyBorder="1"/>
    <xf numFmtId="174" fontId="58" fillId="39" borderId="11" xfId="56" applyNumberFormat="1" applyFont="1" applyFill="1" applyBorder="1"/>
    <xf numFmtId="0" fontId="58" fillId="0" borderId="0" xfId="82" applyFont="1"/>
    <xf numFmtId="0" fontId="0" fillId="39" borderId="12" xfId="0" applyFill="1" applyBorder="1" applyAlignment="1">
      <alignment horizontal="left"/>
    </xf>
    <xf numFmtId="0" fontId="48" fillId="0" borderId="12" xfId="82" applyFont="1" applyBorder="1" applyAlignment="1">
      <alignment wrapText="1"/>
    </xf>
    <xf numFmtId="166" fontId="46" fillId="0" borderId="20" xfId="56" applyNumberFormat="1" applyFont="1" applyFill="1" applyBorder="1" applyProtection="1">
      <protection locked="0"/>
    </xf>
    <xf numFmtId="0" fontId="46" fillId="39" borderId="11" xfId="82" applyFont="1" applyFill="1" applyBorder="1" applyAlignment="1">
      <alignment horizontal="right"/>
    </xf>
    <xf numFmtId="9" fontId="46" fillId="24" borderId="11" xfId="82" applyNumberFormat="1" applyFont="1" applyFill="1" applyBorder="1" applyProtection="1">
      <protection locked="0"/>
    </xf>
    <xf numFmtId="165" fontId="48" fillId="0" borderId="10" xfId="82" applyNumberFormat="1" applyFont="1" applyBorder="1"/>
    <xf numFmtId="165" fontId="48" fillId="0" borderId="0" xfId="82" applyNumberFormat="1" applyFont="1" applyAlignment="1">
      <alignment horizontal="right"/>
    </xf>
    <xf numFmtId="9" fontId="0" fillId="39" borderId="31" xfId="92" applyFont="1" applyFill="1" applyBorder="1"/>
    <xf numFmtId="165" fontId="27" fillId="0" borderId="11" xfId="0" applyNumberFormat="1" applyFont="1" applyBorder="1" applyAlignment="1">
      <alignment horizontal="right"/>
    </xf>
    <xf numFmtId="174" fontId="58" fillId="39" borderId="11" xfId="92" applyNumberFormat="1" applyFont="1" applyFill="1" applyBorder="1" applyAlignment="1">
      <alignment horizontal="right"/>
    </xf>
    <xf numFmtId="166" fontId="80" fillId="0" borderId="54" xfId="56" applyNumberFormat="1" applyFont="1" applyFill="1" applyBorder="1" applyAlignment="1">
      <alignment horizontal="right"/>
    </xf>
    <xf numFmtId="166" fontId="80" fillId="0" borderId="10" xfId="56" applyNumberFormat="1" applyFont="1" applyFill="1" applyBorder="1" applyAlignment="1">
      <alignment horizontal="right"/>
    </xf>
    <xf numFmtId="166" fontId="6" fillId="0" borderId="10" xfId="56" applyNumberFormat="1" applyFont="1" applyFill="1" applyBorder="1"/>
    <xf numFmtId="165" fontId="80" fillId="0" borderId="11" xfId="82" applyNumberFormat="1" applyFont="1" applyBorder="1" applyAlignment="1">
      <alignment horizontal="right"/>
    </xf>
    <xf numFmtId="164" fontId="58" fillId="0" borderId="11" xfId="56" applyNumberFormat="1" applyFont="1" applyFill="1" applyBorder="1"/>
    <xf numFmtId="164" fontId="80" fillId="0" borderId="11" xfId="56" applyNumberFormat="1" applyFont="1" applyFill="1" applyBorder="1"/>
    <xf numFmtId="1" fontId="0" fillId="0" borderId="11" xfId="0" applyNumberFormat="1" applyBorder="1"/>
    <xf numFmtId="10" fontId="27" fillId="0" borderId="17" xfId="92" applyNumberFormat="1" applyFont="1" applyFill="1" applyBorder="1"/>
    <xf numFmtId="0" fontId="28" fillId="0" borderId="12" xfId="72" applyBorder="1" applyAlignment="1" applyProtection="1"/>
    <xf numFmtId="3" fontId="44" fillId="0" borderId="11" xfId="0" applyNumberFormat="1" applyFont="1" applyBorder="1" applyProtection="1">
      <protection locked="0"/>
    </xf>
    <xf numFmtId="10" fontId="0" fillId="0" borderId="17" xfId="92" applyNumberFormat="1" applyFont="1" applyFill="1" applyBorder="1"/>
    <xf numFmtId="0" fontId="0" fillId="0" borderId="11" xfId="0" applyBorder="1" applyAlignment="1">
      <alignment wrapText="1"/>
    </xf>
    <xf numFmtId="9" fontId="0" fillId="0" borderId="41" xfId="0" applyNumberFormat="1" applyBorder="1" applyAlignment="1" applyProtection="1">
      <alignment horizontal="right"/>
      <protection locked="0"/>
    </xf>
    <xf numFmtId="3" fontId="0" fillId="0" borderId="41" xfId="0" applyNumberFormat="1" applyBorder="1" applyAlignment="1">
      <alignment horizontal="right"/>
    </xf>
    <xf numFmtId="3" fontId="0" fillId="0" borderId="32" xfId="0" applyNumberFormat="1" applyBorder="1" applyAlignment="1">
      <alignment horizontal="right"/>
    </xf>
    <xf numFmtId="3" fontId="44" fillId="0" borderId="32" xfId="0" applyNumberFormat="1" applyFont="1" applyBorder="1" applyAlignment="1">
      <alignment horizontal="right"/>
    </xf>
    <xf numFmtId="3" fontId="0" fillId="0" borderId="33" xfId="0" applyNumberFormat="1" applyBorder="1" applyAlignment="1">
      <alignment horizontal="right"/>
    </xf>
    <xf numFmtId="3" fontId="0" fillId="0" borderId="42" xfId="0" applyNumberFormat="1" applyBorder="1" applyAlignment="1">
      <alignment horizontal="right"/>
    </xf>
    <xf numFmtId="0" fontId="0" fillId="0" borderId="32" xfId="0" applyBorder="1"/>
    <xf numFmtId="1" fontId="0" fillId="0" borderId="32" xfId="0" applyNumberFormat="1" applyBorder="1"/>
    <xf numFmtId="3" fontId="44" fillId="0" borderId="11" xfId="0" applyNumberFormat="1" applyFont="1" applyBorder="1" applyAlignment="1">
      <alignment horizontal="right"/>
    </xf>
    <xf numFmtId="9" fontId="44" fillId="0" borderId="11" xfId="0" applyNumberFormat="1" applyFont="1" applyBorder="1" applyAlignment="1">
      <alignment horizontal="right"/>
    </xf>
    <xf numFmtId="3" fontId="44" fillId="0" borderId="0" xfId="0" applyNumberFormat="1" applyFont="1" applyAlignment="1">
      <alignment horizontal="right"/>
    </xf>
    <xf numFmtId="3" fontId="0" fillId="0" borderId="43" xfId="0" applyNumberFormat="1" applyBorder="1" applyAlignment="1">
      <alignment horizontal="right"/>
    </xf>
    <xf numFmtId="0" fontId="44" fillId="0" borderId="54" xfId="0" applyFont="1" applyBorder="1" applyAlignment="1">
      <alignment wrapText="1"/>
    </xf>
    <xf numFmtId="9" fontId="44" fillId="0" borderId="61" xfId="0" applyNumberFormat="1" applyFont="1" applyBorder="1" applyAlignment="1" applyProtection="1">
      <alignment horizontal="right"/>
      <protection locked="0"/>
    </xf>
    <xf numFmtId="0" fontId="44" fillId="0" borderId="10" xfId="0" applyFont="1" applyBorder="1" applyAlignment="1">
      <alignment horizontal="left"/>
    </xf>
    <xf numFmtId="9" fontId="0" fillId="0" borderId="43" xfId="0" applyNumberFormat="1" applyBorder="1" applyAlignment="1" applyProtection="1">
      <alignment horizontal="right"/>
      <protection locked="0"/>
    </xf>
    <xf numFmtId="0" fontId="44" fillId="0" borderId="10" xfId="0" applyFont="1" applyBorder="1" applyAlignment="1">
      <alignment wrapText="1"/>
    </xf>
    <xf numFmtId="0" fontId="0" fillId="24" borderId="62" xfId="0" applyFill="1" applyBorder="1" applyAlignment="1">
      <alignment horizontal="center"/>
    </xf>
    <xf numFmtId="0" fontId="0" fillId="24" borderId="63" xfId="0" applyFill="1" applyBorder="1" applyAlignment="1">
      <alignment horizontal="center"/>
    </xf>
    <xf numFmtId="1" fontId="0" fillId="39" borderId="17" xfId="0" applyNumberFormat="1" applyFill="1" applyBorder="1" applyProtection="1">
      <protection locked="0"/>
    </xf>
    <xf numFmtId="0" fontId="46" fillId="39" borderId="13" xfId="82" applyFont="1" applyFill="1" applyBorder="1" applyProtection="1">
      <protection locked="0"/>
    </xf>
    <xf numFmtId="0" fontId="46" fillId="0" borderId="18" xfId="82" applyFont="1" applyBorder="1"/>
    <xf numFmtId="0" fontId="0" fillId="39" borderId="12" xfId="0" applyFill="1" applyBorder="1"/>
    <xf numFmtId="0" fontId="0" fillId="39" borderId="40" xfId="0" applyFill="1" applyBorder="1"/>
    <xf numFmtId="164" fontId="46" fillId="39" borderId="11" xfId="82" applyNumberFormat="1" applyFont="1" applyFill="1" applyBorder="1" applyProtection="1">
      <protection locked="0"/>
    </xf>
    <xf numFmtId="164" fontId="46" fillId="24" borderId="11" xfId="82" applyNumberFormat="1" applyFont="1" applyFill="1" applyBorder="1" applyProtection="1">
      <protection locked="0"/>
    </xf>
    <xf numFmtId="0" fontId="0" fillId="39" borderId="11" xfId="0" applyFill="1" applyBorder="1" applyAlignment="1">
      <alignment horizontal="right"/>
    </xf>
    <xf numFmtId="168" fontId="46" fillId="39" borderId="11" xfId="82" applyNumberFormat="1" applyFont="1" applyFill="1" applyBorder="1" applyProtection="1">
      <protection locked="0"/>
    </xf>
    <xf numFmtId="165" fontId="46" fillId="24" borderId="11" xfId="82" applyNumberFormat="1" applyFont="1" applyFill="1" applyBorder="1" applyProtection="1">
      <protection locked="0"/>
    </xf>
    <xf numFmtId="0" fontId="0" fillId="39" borderId="11" xfId="0" applyFill="1" applyBorder="1" applyAlignment="1">
      <alignment horizontal="right" vertical="center"/>
    </xf>
    <xf numFmtId="174" fontId="46" fillId="24" borderId="11" xfId="82" applyNumberFormat="1" applyFont="1" applyFill="1" applyBorder="1" applyProtection="1">
      <protection locked="0"/>
    </xf>
    <xf numFmtId="174" fontId="46" fillId="39" borderId="11" xfId="82" applyNumberFormat="1" applyFont="1" applyFill="1" applyBorder="1" applyProtection="1">
      <protection locked="0"/>
    </xf>
    <xf numFmtId="165" fontId="46" fillId="0" borderId="17" xfId="82" applyNumberFormat="1" applyFont="1" applyBorder="1" applyProtection="1">
      <protection locked="0"/>
    </xf>
    <xf numFmtId="0" fontId="46" fillId="0" borderId="20" xfId="82" applyFont="1" applyBorder="1" applyAlignment="1" applyProtection="1">
      <alignment horizontal="center"/>
      <protection locked="0"/>
    </xf>
    <xf numFmtId="0" fontId="46" fillId="0" borderId="20" xfId="82" applyFont="1" applyBorder="1" applyAlignment="1" applyProtection="1">
      <alignment horizontal="right"/>
      <protection locked="0"/>
    </xf>
    <xf numFmtId="0" fontId="46" fillId="0" borderId="20" xfId="82" applyFont="1" applyBorder="1" applyProtection="1">
      <protection locked="0"/>
    </xf>
    <xf numFmtId="164" fontId="46" fillId="0" borderId="20" xfId="82" applyNumberFormat="1" applyFont="1" applyBorder="1" applyProtection="1">
      <protection locked="0"/>
    </xf>
    <xf numFmtId="9" fontId="46" fillId="0" borderId="20" xfId="82" applyNumberFormat="1" applyFont="1" applyBorder="1" applyProtection="1">
      <protection locked="0"/>
    </xf>
    <xf numFmtId="0" fontId="46" fillId="39" borderId="19" xfId="82" applyFont="1" applyFill="1" applyBorder="1" applyAlignment="1" applyProtection="1">
      <alignment horizontal="center"/>
      <protection locked="0"/>
    </xf>
    <xf numFmtId="0" fontId="0" fillId="39" borderId="19" xfId="0" applyFill="1" applyBorder="1" applyAlignment="1">
      <alignment horizontal="right" vertical="center"/>
    </xf>
    <xf numFmtId="166" fontId="46" fillId="39" borderId="19" xfId="56" applyNumberFormat="1" applyFont="1" applyFill="1" applyBorder="1" applyProtection="1">
      <protection locked="0"/>
    </xf>
    <xf numFmtId="0" fontId="46" fillId="39" borderId="19" xfId="82" applyFont="1" applyFill="1" applyBorder="1"/>
    <xf numFmtId="0" fontId="46" fillId="39" borderId="19" xfId="82" applyFont="1" applyFill="1" applyBorder="1" applyAlignment="1">
      <alignment horizontal="right"/>
    </xf>
    <xf numFmtId="168" fontId="46" fillId="39" borderId="19" xfId="82" applyNumberFormat="1" applyFont="1" applyFill="1" applyBorder="1" applyProtection="1">
      <protection locked="0"/>
    </xf>
    <xf numFmtId="164" fontId="46" fillId="39" borderId="19" xfId="82" applyNumberFormat="1" applyFont="1" applyFill="1" applyBorder="1" applyProtection="1">
      <protection locked="0"/>
    </xf>
    <xf numFmtId="0" fontId="46" fillId="24" borderId="19" xfId="82" applyFont="1" applyFill="1" applyBorder="1" applyProtection="1">
      <protection locked="0"/>
    </xf>
    <xf numFmtId="9" fontId="46" fillId="24" borderId="19" xfId="82" applyNumberFormat="1" applyFont="1" applyFill="1" applyBorder="1" applyProtection="1">
      <protection locked="0"/>
    </xf>
    <xf numFmtId="165" fontId="46" fillId="24" borderId="19" xfId="82" applyNumberFormat="1" applyFont="1" applyFill="1" applyBorder="1" applyProtection="1">
      <protection locked="0"/>
    </xf>
    <xf numFmtId="174" fontId="46" fillId="24" borderId="19" xfId="82" applyNumberFormat="1" applyFont="1" applyFill="1" applyBorder="1" applyProtection="1">
      <protection locked="0"/>
    </xf>
    <xf numFmtId="0" fontId="0" fillId="39" borderId="29" xfId="0" applyFill="1" applyBorder="1" applyAlignment="1">
      <alignment horizontal="right"/>
    </xf>
    <xf numFmtId="0" fontId="46" fillId="39" borderId="29" xfId="82" applyFont="1" applyFill="1" applyBorder="1"/>
    <xf numFmtId="0" fontId="46" fillId="39" borderId="29" xfId="82" applyFont="1" applyFill="1" applyBorder="1" applyAlignment="1">
      <alignment horizontal="right"/>
    </xf>
    <xf numFmtId="168" fontId="46" fillId="39" borderId="29" xfId="82" applyNumberFormat="1" applyFont="1" applyFill="1" applyBorder="1" applyProtection="1">
      <protection locked="0"/>
    </xf>
    <xf numFmtId="164" fontId="46" fillId="39" borderId="29"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9" xfId="82" applyNumberFormat="1" applyFont="1" applyFill="1" applyBorder="1" applyProtection="1">
      <protection locked="0"/>
    </xf>
    <xf numFmtId="0" fontId="0" fillId="39" borderId="29" xfId="0" applyFill="1" applyBorder="1" applyAlignment="1">
      <alignment horizontal="right" vertical="center"/>
    </xf>
    <xf numFmtId="174" fontId="46" fillId="39" borderId="29" xfId="82" applyNumberFormat="1" applyFont="1" applyFill="1" applyBorder="1" applyProtection="1">
      <protection locked="0"/>
    </xf>
    <xf numFmtId="0" fontId="0" fillId="39" borderId="23" xfId="0" applyFill="1" applyBorder="1" applyAlignment="1">
      <alignment horizontal="left" vertical="center"/>
    </xf>
    <xf numFmtId="0" fontId="0" fillId="39" borderId="23" xfId="0" applyFill="1" applyBorder="1" applyAlignment="1">
      <alignment horizontal="left"/>
    </xf>
    <xf numFmtId="0" fontId="0" fillId="39" borderId="29" xfId="0" applyFill="1" applyBorder="1" applyAlignment="1">
      <alignment horizontal="left"/>
    </xf>
    <xf numFmtId="0" fontId="0" fillId="39" borderId="29" xfId="0" applyFill="1" applyBorder="1" applyAlignment="1">
      <alignment horizontal="left" vertical="center"/>
    </xf>
    <xf numFmtId="0" fontId="48" fillId="24" borderId="19" xfId="82" applyFont="1" applyFill="1" applyBorder="1" applyAlignment="1">
      <alignment horizontal="center" wrapText="1"/>
    </xf>
    <xf numFmtId="0" fontId="48" fillId="24" borderId="19" xfId="82" applyFont="1" applyFill="1" applyBorder="1" applyAlignment="1">
      <alignment horizontal="center"/>
    </xf>
    <xf numFmtId="3" fontId="48" fillId="24" borderId="19" xfId="82" applyNumberFormat="1" applyFont="1" applyFill="1" applyBorder="1" applyAlignment="1">
      <alignment horizontal="center" wrapText="1"/>
    </xf>
    <xf numFmtId="0" fontId="48" fillId="0" borderId="64" xfId="82" applyFont="1" applyBorder="1"/>
    <xf numFmtId="0" fontId="46" fillId="0" borderId="65" xfId="82" applyFont="1" applyBorder="1"/>
    <xf numFmtId="0" fontId="46" fillId="0" borderId="66" xfId="82" applyFont="1" applyBorder="1"/>
    <xf numFmtId="0" fontId="48" fillId="39" borderId="11" xfId="82" applyFont="1" applyFill="1" applyBorder="1" applyProtection="1">
      <protection locked="0"/>
    </xf>
    <xf numFmtId="0" fontId="46" fillId="39" borderId="22" xfId="82" applyFont="1" applyFill="1" applyBorder="1" applyAlignment="1" applyProtection="1">
      <alignment horizontal="center"/>
      <protection locked="0"/>
    </xf>
    <xf numFmtId="0" fontId="46" fillId="39" borderId="19" xfId="82" applyFont="1" applyFill="1" applyBorder="1" applyAlignment="1" applyProtection="1">
      <alignment horizontal="right"/>
      <protection locked="0"/>
    </xf>
    <xf numFmtId="0" fontId="46" fillId="39" borderId="19" xfId="82" applyFont="1" applyFill="1" applyBorder="1" applyProtection="1">
      <protection locked="0"/>
    </xf>
    <xf numFmtId="164" fontId="46" fillId="39" borderId="23" xfId="82" applyNumberFormat="1" applyFont="1" applyFill="1" applyBorder="1" applyProtection="1">
      <protection locked="0"/>
    </xf>
    <xf numFmtId="9" fontId="46" fillId="39" borderId="19" xfId="82" applyNumberFormat="1" applyFont="1" applyFill="1" applyBorder="1" applyProtection="1">
      <protection locked="0"/>
    </xf>
    <xf numFmtId="165" fontId="46" fillId="0" borderId="66" xfId="82" applyNumberFormat="1" applyFont="1" applyBorder="1"/>
    <xf numFmtId="0" fontId="46" fillId="39" borderId="11" xfId="82" applyFont="1" applyFill="1" applyBorder="1" applyAlignment="1">
      <alignment wrapText="1"/>
    </xf>
    <xf numFmtId="1" fontId="46" fillId="39" borderId="11" xfId="82" applyNumberFormat="1" applyFont="1" applyFill="1" applyBorder="1" applyProtection="1">
      <protection locked="0"/>
    </xf>
    <xf numFmtId="1" fontId="46" fillId="0" borderId="20" xfId="82" applyNumberFormat="1" applyFont="1" applyBorder="1" applyProtection="1">
      <protection locked="0"/>
    </xf>
    <xf numFmtId="1" fontId="46" fillId="39" borderId="29" xfId="82" applyNumberFormat="1" applyFont="1" applyFill="1" applyBorder="1" applyProtection="1">
      <protection locked="0"/>
    </xf>
    <xf numFmtId="1" fontId="46" fillId="39" borderId="19" xfId="82" applyNumberFormat="1" applyFont="1" applyFill="1" applyBorder="1" applyProtection="1">
      <protection locked="0"/>
    </xf>
    <xf numFmtId="165" fontId="46" fillId="39" borderId="67" xfId="82" applyNumberFormat="1" applyFont="1" applyFill="1" applyBorder="1" applyProtection="1">
      <protection locked="0"/>
    </xf>
    <xf numFmtId="165" fontId="46" fillId="39" borderId="19" xfId="82" applyNumberFormat="1" applyFont="1" applyFill="1" applyBorder="1" applyProtection="1">
      <protection locked="0"/>
    </xf>
    <xf numFmtId="0" fontId="0" fillId="39" borderId="29" xfId="0" applyFill="1" applyBorder="1"/>
    <xf numFmtId="0" fontId="0" fillId="39" borderId="40" xfId="0" applyFill="1" applyBorder="1" applyAlignment="1">
      <alignment horizontal="left" vertical="center"/>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0" fontId="46" fillId="25" borderId="19" xfId="82" applyFont="1" applyFill="1" applyBorder="1" applyProtection="1">
      <protection locked="0"/>
    </xf>
    <xf numFmtId="0" fontId="46" fillId="0" borderId="54" xfId="82" applyFont="1" applyBorder="1"/>
    <xf numFmtId="0" fontId="0" fillId="39" borderId="33" xfId="0" applyFill="1" applyBorder="1" applyAlignment="1" applyProtection="1">
      <alignment horizontal="right"/>
      <protection locked="0"/>
    </xf>
    <xf numFmtId="0" fontId="48" fillId="0" borderId="11" xfId="82" applyFont="1" applyBorder="1" applyProtection="1">
      <protection locked="0"/>
    </xf>
    <xf numFmtId="0" fontId="46" fillId="0" borderId="13" xfId="82" applyFont="1" applyBorder="1"/>
    <xf numFmtId="0" fontId="59" fillId="0" borderId="0" xfId="82" applyFont="1"/>
    <xf numFmtId="0" fontId="48" fillId="0" borderId="54" xfId="82" applyFont="1" applyBorder="1" applyProtection="1">
      <protection locked="0"/>
    </xf>
    <xf numFmtId="0" fontId="48" fillId="0" borderId="13" xfId="82" applyFont="1" applyBorder="1" applyAlignment="1">
      <alignment wrapText="1"/>
    </xf>
    <xf numFmtId="0" fontId="46" fillId="0" borderId="54" xfId="82" applyFont="1" applyBorder="1" applyAlignment="1" applyProtection="1">
      <alignment horizontal="center"/>
      <protection locked="0"/>
    </xf>
    <xf numFmtId="166" fontId="46" fillId="0" borderId="54" xfId="56" applyNumberFormat="1" applyFont="1" applyFill="1" applyBorder="1" applyProtection="1">
      <protection locked="0"/>
    </xf>
    <xf numFmtId="0" fontId="46" fillId="0" borderId="54" xfId="82" applyFont="1" applyBorder="1" applyAlignment="1" applyProtection="1">
      <alignment horizontal="right"/>
      <protection locked="0"/>
    </xf>
    <xf numFmtId="1" fontId="46" fillId="0" borderId="54" xfId="82" applyNumberFormat="1" applyFont="1" applyBorder="1" applyProtection="1">
      <protection locked="0"/>
    </xf>
    <xf numFmtId="0" fontId="46" fillId="0" borderId="54" xfId="82" applyFont="1" applyBorder="1" applyProtection="1">
      <protection locked="0"/>
    </xf>
    <xf numFmtId="164" fontId="46" fillId="0" borderId="54" xfId="82" applyNumberFormat="1" applyFont="1" applyBorder="1" applyProtection="1">
      <protection locked="0"/>
    </xf>
    <xf numFmtId="9" fontId="46" fillId="0" borderId="54" xfId="82" applyNumberFormat="1" applyFont="1" applyBorder="1" applyProtection="1">
      <protection locked="0"/>
    </xf>
    <xf numFmtId="165" fontId="46" fillId="0" borderId="21" xfId="82" applyNumberFormat="1" applyFont="1" applyBorder="1" applyProtection="1">
      <protection locked="0"/>
    </xf>
    <xf numFmtId="0" fontId="0" fillId="39" borderId="19" xfId="0" applyFill="1" applyBorder="1" applyAlignment="1">
      <alignment horizontal="left" vertical="center"/>
    </xf>
    <xf numFmtId="0" fontId="6" fillId="0" borderId="0" xfId="82" applyFont="1" applyAlignment="1">
      <alignment horizontal="left" wrapText="1"/>
    </xf>
    <xf numFmtId="166" fontId="6" fillId="0" borderId="20" xfId="56" applyNumberFormat="1" applyFont="1" applyFill="1" applyBorder="1" applyAlignment="1"/>
    <xf numFmtId="166" fontId="46" fillId="0" borderId="54" xfId="56" applyNumberFormat="1" applyFont="1" applyFill="1" applyBorder="1" applyAlignment="1" applyProtection="1">
      <alignment horizontal="center"/>
      <protection locked="0"/>
    </xf>
    <xf numFmtId="166" fontId="58" fillId="0" borderId="54" xfId="56" applyNumberFormat="1" applyFont="1" applyFill="1" applyBorder="1"/>
    <xf numFmtId="166" fontId="58" fillId="0" borderId="21" xfId="56" applyNumberFormat="1" applyFont="1" applyFill="1" applyBorder="1"/>
    <xf numFmtId="165" fontId="58" fillId="0" borderId="12" xfId="82" applyNumberFormat="1" applyFont="1" applyBorder="1" applyAlignment="1">
      <alignment horizontal="right"/>
    </xf>
    <xf numFmtId="165" fontId="58" fillId="0" borderId="12" xfId="56" applyNumberFormat="1" applyFont="1" applyFill="1" applyBorder="1"/>
    <xf numFmtId="165" fontId="6" fillId="0" borderId="0" xfId="82" applyNumberFormat="1" applyFont="1"/>
    <xf numFmtId="165" fontId="58" fillId="0" borderId="11" xfId="56" applyNumberFormat="1" applyFont="1" applyFill="1" applyBorder="1"/>
    <xf numFmtId="165" fontId="58" fillId="0" borderId="15" xfId="56" applyNumberFormat="1" applyFont="1" applyFill="1" applyBorder="1"/>
    <xf numFmtId="166" fontId="80" fillId="0" borderId="0" xfId="56" applyNumberFormat="1" applyFont="1" applyFill="1" applyBorder="1" applyAlignment="1">
      <alignment horizontal="right"/>
    </xf>
    <xf numFmtId="164" fontId="80" fillId="0" borderId="0" xfId="56" applyNumberFormat="1" applyFont="1" applyFill="1" applyBorder="1"/>
    <xf numFmtId="0" fontId="80" fillId="0" borderId="54" xfId="82" applyFont="1" applyBorder="1" applyAlignment="1">
      <alignment horizontal="right"/>
    </xf>
    <xf numFmtId="0" fontId="80" fillId="0" borderId="10" xfId="82" applyFont="1" applyBorder="1" applyAlignment="1">
      <alignment horizontal="right"/>
    </xf>
    <xf numFmtId="0" fontId="6" fillId="24" borderId="11" xfId="82" applyFont="1" applyFill="1" applyBorder="1"/>
    <xf numFmtId="166" fontId="80" fillId="24" borderId="11" xfId="56" applyNumberFormat="1" applyFont="1" applyFill="1" applyBorder="1" applyAlignment="1">
      <alignment horizontal="right"/>
    </xf>
    <xf numFmtId="0" fontId="48" fillId="0" borderId="10" xfId="82" applyFont="1" applyBorder="1" applyAlignment="1">
      <alignment horizontal="left"/>
    </xf>
    <xf numFmtId="166" fontId="6" fillId="0" borderId="10" xfId="56" applyNumberFormat="1" applyFont="1" applyFill="1" applyBorder="1" applyAlignment="1"/>
    <xf numFmtId="0" fontId="80" fillId="0" borderId="0" xfId="82" applyFont="1" applyAlignment="1">
      <alignment horizontal="right"/>
    </xf>
    <xf numFmtId="166" fontId="6" fillId="0" borderId="54" xfId="56" applyNumberFormat="1" applyFont="1" applyFill="1" applyBorder="1" applyAlignment="1"/>
    <xf numFmtId="174" fontId="58" fillId="24" borderId="11" xfId="92" applyNumberFormat="1" applyFont="1" applyFill="1" applyBorder="1" applyAlignment="1">
      <alignment horizontal="right"/>
    </xf>
    <xf numFmtId="164" fontId="58" fillId="24" borderId="11" xfId="56" applyNumberFormat="1" applyFont="1" applyFill="1" applyBorder="1"/>
    <xf numFmtId="165" fontId="80" fillId="0" borderId="11" xfId="56" applyNumberFormat="1" applyFont="1" applyFill="1" applyBorder="1"/>
    <xf numFmtId="174" fontId="58" fillId="39" borderId="11" xfId="92" applyNumberFormat="1" applyFont="1" applyFill="1" applyBorder="1"/>
    <xf numFmtId="0" fontId="46" fillId="0" borderId="0" xfId="0" applyFont="1" applyAlignment="1">
      <alignment horizontal="left" wrapText="1"/>
    </xf>
    <xf numFmtId="165" fontId="27" fillId="0" borderId="10" xfId="0" applyNumberFormat="1" applyFont="1" applyBorder="1"/>
    <xf numFmtId="165" fontId="27" fillId="0" borderId="54" xfId="0" applyNumberFormat="1" applyFont="1" applyBorder="1" applyAlignment="1">
      <alignment wrapText="1"/>
    </xf>
    <xf numFmtId="0" fontId="39" fillId="0" borderId="20" xfId="0" applyFont="1" applyBorder="1"/>
    <xf numFmtId="0" fontId="39" fillId="0" borderId="17" xfId="0" applyFont="1" applyBorder="1"/>
    <xf numFmtId="166" fontId="46" fillId="39" borderId="11" xfId="56" applyNumberFormat="1" applyFont="1" applyFill="1" applyBorder="1" applyAlignment="1" applyProtection="1">
      <alignment horizontal="left" wrapText="1"/>
      <protection locked="0"/>
    </xf>
    <xf numFmtId="0" fontId="48" fillId="24" borderId="10" xfId="0" applyFont="1" applyFill="1" applyBorder="1" applyAlignment="1">
      <alignment horizontal="left" vertical="center" wrapText="1"/>
    </xf>
    <xf numFmtId="0" fontId="0" fillId="24" borderId="39" xfId="0" applyFill="1" applyBorder="1" applyProtection="1">
      <protection locked="0"/>
    </xf>
    <xf numFmtId="0" fontId="0" fillId="24" borderId="16" xfId="0" applyFill="1" applyBorder="1"/>
    <xf numFmtId="0" fontId="0" fillId="24" borderId="11" xfId="0" applyFill="1" applyBorder="1" applyProtection="1">
      <protection locked="0"/>
    </xf>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165" fontId="46" fillId="0" borderId="0" xfId="82" applyNumberFormat="1" applyFont="1" applyProtection="1">
      <protection locked="0"/>
    </xf>
    <xf numFmtId="166" fontId="58" fillId="0" borderId="0" xfId="56" applyNumberFormat="1" applyFont="1" applyFill="1" applyBorder="1"/>
    <xf numFmtId="165" fontId="80" fillId="0" borderId="0" xfId="56" applyNumberFormat="1" applyFont="1" applyFill="1" applyBorder="1"/>
    <xf numFmtId="0" fontId="46" fillId="0" borderId="0" xfId="82" applyFont="1" applyAlignment="1" applyProtection="1">
      <alignment horizontal="left" wrapText="1"/>
      <protection locked="0"/>
    </xf>
    <xf numFmtId="0" fontId="27" fillId="0" borderId="0" xfId="82" applyFont="1"/>
    <xf numFmtId="0" fontId="46" fillId="0" borderId="0" xfId="82" applyFont="1" applyAlignment="1">
      <alignment horizontal="left"/>
    </xf>
    <xf numFmtId="0" fontId="46" fillId="0" borderId="0" xfId="82" applyFont="1" applyAlignment="1">
      <alignment vertical="top"/>
    </xf>
    <xf numFmtId="0" fontId="58" fillId="0" borderId="0" xfId="82" applyFont="1" applyAlignment="1" applyProtection="1">
      <alignment horizontal="right"/>
      <protection locked="0"/>
    </xf>
    <xf numFmtId="0" fontId="6" fillId="0" borderId="10" xfId="82" applyFont="1" applyBorder="1"/>
    <xf numFmtId="0" fontId="46" fillId="0" borderId="54" xfId="82" applyFont="1" applyBorder="1" applyAlignment="1">
      <alignment horizontal="left"/>
    </xf>
    <xf numFmtId="0" fontId="46" fillId="0" borderId="54" xfId="82" applyFont="1" applyBorder="1" applyAlignment="1">
      <alignment vertical="top"/>
    </xf>
    <xf numFmtId="168" fontId="46" fillId="0" borderId="54" xfId="82" applyNumberFormat="1" applyFont="1" applyBorder="1" applyAlignment="1">
      <alignment horizontal="right"/>
    </xf>
    <xf numFmtId="165" fontId="46" fillId="0" borderId="54" xfId="82" applyNumberFormat="1" applyFont="1" applyBorder="1" applyProtection="1">
      <protection locked="0"/>
    </xf>
    <xf numFmtId="165" fontId="80" fillId="0" borderId="0" xfId="82" applyNumberFormat="1" applyFont="1" applyAlignment="1">
      <alignment horizontal="right"/>
    </xf>
    <xf numFmtId="0" fontId="46" fillId="0" borderId="11" xfId="82" applyFont="1" applyBorder="1" applyAlignment="1">
      <alignment horizontal="left"/>
    </xf>
    <xf numFmtId="0" fontId="27" fillId="0" borderId="11" xfId="82" applyFont="1" applyBorder="1"/>
    <xf numFmtId="0" fontId="46" fillId="0" borderId="12" xfId="82" applyFont="1" applyBorder="1" applyAlignment="1">
      <alignment horizontal="left"/>
    </xf>
    <xf numFmtId="0" fontId="6" fillId="0" borderId="20" xfId="82" applyFont="1" applyBorder="1"/>
    <xf numFmtId="168" fontId="46" fillId="0" borderId="12" xfId="82" applyNumberFormat="1" applyFont="1" applyBorder="1" applyAlignment="1">
      <alignment horizontal="right"/>
    </xf>
    <xf numFmtId="165" fontId="46" fillId="0" borderId="11" xfId="82" applyNumberFormat="1" applyFont="1" applyBorder="1" applyAlignment="1">
      <alignment horizontal="right"/>
    </xf>
    <xf numFmtId="0" fontId="46" fillId="0" borderId="12" xfId="82" applyFont="1" applyBorder="1" applyAlignment="1">
      <alignment vertical="top"/>
    </xf>
    <xf numFmtId="0" fontId="48" fillId="0" borderId="54" xfId="82" applyFont="1" applyBorder="1" applyAlignment="1">
      <alignment horizontal="left"/>
    </xf>
    <xf numFmtId="0" fontId="29" fillId="0" borderId="54" xfId="82" applyFont="1" applyBorder="1"/>
    <xf numFmtId="0" fontId="6" fillId="0" borderId="54" xfId="82" applyFont="1" applyBorder="1"/>
    <xf numFmtId="168" fontId="48" fillId="0" borderId="54" xfId="82" applyNumberFormat="1" applyFont="1" applyBorder="1" applyAlignment="1">
      <alignment horizontal="right"/>
    </xf>
    <xf numFmtId="0" fontId="6" fillId="0" borderId="17" xfId="82" applyFont="1" applyBorder="1"/>
    <xf numFmtId="168" fontId="46" fillId="0" borderId="11" xfId="82" applyNumberFormat="1" applyFont="1" applyBorder="1" applyAlignment="1">
      <alignment horizontal="right"/>
    </xf>
    <xf numFmtId="165" fontId="46" fillId="0" borderId="11" xfId="82" applyNumberFormat="1" applyFont="1" applyBorder="1" applyProtection="1">
      <protection locked="0"/>
    </xf>
    <xf numFmtId="0" fontId="48" fillId="0" borderId="10" xfId="82" applyFont="1" applyBorder="1" applyAlignment="1">
      <alignment horizontal="right"/>
    </xf>
    <xf numFmtId="0" fontId="46" fillId="0" borderId="11" xfId="82" applyFont="1" applyBorder="1" applyAlignment="1" applyProtection="1">
      <alignment horizontal="left" wrapText="1"/>
      <protection locked="0"/>
    </xf>
    <xf numFmtId="0" fontId="58" fillId="0" borderId="11" xfId="82" applyFont="1" applyBorder="1" applyAlignment="1" applyProtection="1">
      <alignment horizontal="right"/>
      <protection locked="0"/>
    </xf>
    <xf numFmtId="168" fontId="58" fillId="0" borderId="11" xfId="82" applyNumberFormat="1" applyFont="1" applyBorder="1" applyAlignment="1" applyProtection="1">
      <alignment horizontal="right"/>
      <protection locked="0"/>
    </xf>
    <xf numFmtId="0" fontId="0" fillId="0" borderId="54" xfId="0" applyBorder="1" applyAlignment="1">
      <alignment wrapText="1"/>
    </xf>
    <xf numFmtId="0" fontId="58" fillId="0" borderId="54" xfId="82" applyFont="1" applyBorder="1" applyProtection="1">
      <protection locked="0"/>
    </xf>
    <xf numFmtId="0" fontId="6" fillId="0" borderId="0" xfId="82" applyFont="1" applyAlignment="1">
      <alignment wrapText="1"/>
    </xf>
    <xf numFmtId="0" fontId="48" fillId="24" borderId="12" xfId="82" applyFont="1" applyFill="1" applyBorder="1" applyAlignment="1">
      <alignment horizontal="center" wrapText="1"/>
    </xf>
    <xf numFmtId="0" fontId="6" fillId="24" borderId="20" xfId="82" applyFont="1" applyFill="1" applyBorder="1" applyAlignment="1">
      <alignment wrapText="1"/>
    </xf>
    <xf numFmtId="166" fontId="6" fillId="24" borderId="20" xfId="56" applyNumberFormat="1" applyFont="1" applyFill="1" applyBorder="1" applyAlignment="1">
      <alignment wrapText="1"/>
    </xf>
    <xf numFmtId="166" fontId="6" fillId="0" borderId="0" xfId="56" applyNumberFormat="1" applyFont="1" applyFill="1" applyBorder="1" applyAlignment="1">
      <alignment wrapText="1"/>
    </xf>
    <xf numFmtId="0" fontId="6" fillId="24" borderId="0" xfId="82" applyFont="1" applyFill="1" applyAlignment="1">
      <alignment wrapText="1"/>
    </xf>
    <xf numFmtId="0" fontId="2" fillId="24" borderId="0" xfId="82" applyFill="1" applyAlignment="1">
      <alignment wrapText="1"/>
    </xf>
    <xf numFmtId="168" fontId="48" fillId="0" borderId="10" xfId="82" applyNumberFormat="1" applyFont="1" applyBorder="1" applyAlignment="1">
      <alignment horizontal="right"/>
    </xf>
    <xf numFmtId="165" fontId="0" fillId="0" borderId="17" xfId="0" applyNumberFormat="1" applyBorder="1"/>
    <xf numFmtId="165" fontId="0" fillId="24" borderId="11" xfId="0" applyNumberFormat="1" applyFill="1" applyBorder="1"/>
    <xf numFmtId="0" fontId="39" fillId="43" borderId="54" xfId="0" applyFont="1" applyFill="1" applyBorder="1"/>
    <xf numFmtId="0" fontId="62" fillId="0" borderId="0" xfId="0" applyFont="1"/>
    <xf numFmtId="165" fontId="27" fillId="0" borderId="20" xfId="0" applyNumberFormat="1" applyFont="1" applyBorder="1" applyAlignment="1">
      <alignment wrapText="1"/>
    </xf>
    <xf numFmtId="3" fontId="0" fillId="0" borderId="11" xfId="0" applyNumberFormat="1" applyBorder="1" applyAlignment="1">
      <alignment horizontal="right" wrapText="1"/>
    </xf>
    <xf numFmtId="3" fontId="0" fillId="0" borderId="0" xfId="0" applyNumberFormat="1" applyAlignment="1">
      <alignment horizontal="right" wrapText="1"/>
    </xf>
    <xf numFmtId="0" fontId="58" fillId="0" borderId="0" xfId="82" applyFont="1" applyProtection="1">
      <protection locked="0"/>
    </xf>
    <xf numFmtId="9" fontId="44" fillId="0" borderId="0" xfId="0" applyNumberFormat="1" applyFont="1" applyAlignment="1" applyProtection="1">
      <alignment horizontal="right"/>
      <protection locked="0"/>
    </xf>
    <xf numFmtId="166" fontId="6" fillId="24" borderId="15" xfId="56" applyNumberFormat="1" applyFont="1" applyFill="1" applyBorder="1" applyAlignment="1">
      <alignment wrapText="1"/>
    </xf>
    <xf numFmtId="166" fontId="6" fillId="24" borderId="16" xfId="56" applyNumberFormat="1" applyFont="1" applyFill="1" applyBorder="1"/>
    <xf numFmtId="166" fontId="6" fillId="24" borderId="16" xfId="56" applyNumberFormat="1" applyFont="1" applyFill="1" applyBorder="1" applyAlignment="1">
      <alignment horizontal="left"/>
    </xf>
    <xf numFmtId="166" fontId="6" fillId="24" borderId="19" xfId="56" applyNumberFormat="1" applyFont="1" applyFill="1" applyBorder="1"/>
    <xf numFmtId="166" fontId="6" fillId="24" borderId="16" xfId="56" applyNumberFormat="1" applyFont="1" applyFill="1" applyBorder="1" applyAlignment="1">
      <alignment horizontal="center"/>
    </xf>
    <xf numFmtId="166" fontId="6" fillId="24" borderId="15" xfId="56" applyNumberFormat="1" applyFont="1" applyFill="1" applyBorder="1"/>
    <xf numFmtId="0" fontId="40" fillId="37" borderId="12" xfId="0" applyFont="1" applyFill="1" applyBorder="1" applyAlignment="1">
      <alignment vertical="center"/>
    </xf>
    <xf numFmtId="0" fontId="40" fillId="37" borderId="20" xfId="0" applyFont="1" applyFill="1" applyBorder="1" applyAlignment="1">
      <alignment vertical="center"/>
    </xf>
    <xf numFmtId="0" fontId="40" fillId="37" borderId="17" xfId="0" applyFont="1" applyFill="1" applyBorder="1" applyAlignment="1">
      <alignment vertical="center"/>
    </xf>
    <xf numFmtId="0" fontId="48" fillId="24" borderId="23" xfId="82" applyFont="1" applyFill="1" applyBorder="1" applyAlignment="1">
      <alignment horizontal="center" wrapText="1"/>
    </xf>
    <xf numFmtId="166" fontId="46" fillId="39" borderId="12" xfId="56" applyNumberFormat="1" applyFont="1" applyFill="1" applyBorder="1" applyProtection="1">
      <protection locked="0"/>
    </xf>
    <xf numFmtId="166" fontId="46" fillId="39" borderId="40" xfId="56" applyNumberFormat="1" applyFont="1" applyFill="1" applyBorder="1" applyProtection="1">
      <protection locked="0"/>
    </xf>
    <xf numFmtId="166" fontId="46" fillId="39" borderId="23" xfId="56" applyNumberFormat="1" applyFont="1" applyFill="1" applyBorder="1" applyProtection="1">
      <protection locked="0"/>
    </xf>
    <xf numFmtId="0" fontId="48" fillId="24" borderId="52" xfId="82" applyFont="1" applyFill="1" applyBorder="1" applyAlignment="1">
      <alignment horizontal="center"/>
    </xf>
    <xf numFmtId="166" fontId="46" fillId="39" borderId="24" xfId="56" applyNumberFormat="1" applyFont="1" applyFill="1" applyBorder="1" applyProtection="1">
      <protection locked="0"/>
    </xf>
    <xf numFmtId="166" fontId="46" fillId="0" borderId="68" xfId="56" applyNumberFormat="1" applyFont="1" applyFill="1" applyBorder="1" applyProtection="1">
      <protection locked="0"/>
    </xf>
    <xf numFmtId="0" fontId="0" fillId="39" borderId="24" xfId="0" applyFill="1" applyBorder="1" applyAlignment="1">
      <alignment horizontal="right"/>
    </xf>
    <xf numFmtId="0" fontId="0" fillId="39" borderId="28" xfId="0" applyFill="1" applyBorder="1" applyAlignment="1">
      <alignment horizontal="right"/>
    </xf>
    <xf numFmtId="0" fontId="0" fillId="39" borderId="52" xfId="0" applyFill="1" applyBorder="1" applyAlignment="1">
      <alignment horizontal="right" vertical="center"/>
    </xf>
    <xf numFmtId="0" fontId="0" fillId="39" borderId="28" xfId="0" applyFill="1" applyBorder="1" applyAlignment="1">
      <alignment horizontal="right" vertical="center"/>
    </xf>
    <xf numFmtId="0" fontId="46" fillId="39" borderId="52" xfId="82" applyFont="1" applyFill="1" applyBorder="1" applyAlignment="1">
      <alignment horizontal="right"/>
    </xf>
    <xf numFmtId="0" fontId="46" fillId="39" borderId="24" xfId="82" applyFont="1" applyFill="1" applyBorder="1" applyAlignment="1">
      <alignment horizontal="right"/>
    </xf>
    <xf numFmtId="166" fontId="46" fillId="39" borderId="69" xfId="56" applyNumberFormat="1" applyFont="1" applyFill="1" applyBorder="1" applyProtection="1">
      <protection locked="0"/>
    </xf>
    <xf numFmtId="166" fontId="46" fillId="39" borderId="52" xfId="56" applyNumberFormat="1" applyFont="1" applyFill="1" applyBorder="1" applyProtection="1">
      <protection locked="0"/>
    </xf>
    <xf numFmtId="166" fontId="46" fillId="39" borderId="28" xfId="56" applyNumberFormat="1" applyFont="1" applyFill="1" applyBorder="1" applyProtection="1">
      <protection locked="0"/>
    </xf>
    <xf numFmtId="166" fontId="46" fillId="0" borderId="70" xfId="56" applyNumberFormat="1" applyFont="1" applyFill="1" applyBorder="1" applyProtection="1">
      <protection locked="0"/>
    </xf>
    <xf numFmtId="166" fontId="46" fillId="0" borderId="71" xfId="56" applyNumberFormat="1" applyFont="1" applyFill="1" applyBorder="1" applyProtection="1">
      <protection locked="0"/>
    </xf>
    <xf numFmtId="0" fontId="0" fillId="39" borderId="24" xfId="0" applyFill="1" applyBorder="1" applyAlignment="1">
      <alignment horizontal="right" vertical="center"/>
    </xf>
    <xf numFmtId="166" fontId="46" fillId="25" borderId="52" xfId="56" applyNumberFormat="1" applyFont="1" applyFill="1" applyBorder="1" applyProtection="1">
      <protection locked="0"/>
    </xf>
    <xf numFmtId="168" fontId="46" fillId="39" borderId="11" xfId="82" applyNumberFormat="1" applyFont="1" applyFill="1" applyBorder="1"/>
    <xf numFmtId="168" fontId="46" fillId="39" borderId="29" xfId="82" applyNumberFormat="1" applyFont="1" applyFill="1" applyBorder="1"/>
    <xf numFmtId="168" fontId="46" fillId="39" borderId="19" xfId="82" applyNumberFormat="1" applyFont="1" applyFill="1" applyBorder="1"/>
    <xf numFmtId="175" fontId="46" fillId="39" borderId="11" xfId="82" applyNumberFormat="1" applyFont="1" applyFill="1" applyBorder="1" applyProtection="1">
      <protection locked="0"/>
    </xf>
    <xf numFmtId="0" fontId="46" fillId="0" borderId="70" xfId="82" applyFont="1" applyBorder="1"/>
    <xf numFmtId="3" fontId="46" fillId="0" borderId="70" xfId="82" applyNumberFormat="1" applyFont="1" applyBorder="1"/>
    <xf numFmtId="165" fontId="48" fillId="0" borderId="70" xfId="82" applyNumberFormat="1" applyFont="1" applyBorder="1"/>
    <xf numFmtId="0" fontId="81" fillId="0" borderId="0" xfId="0" applyFont="1" applyAlignment="1">
      <alignment vertical="center"/>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0" xfId="0" applyAlignment="1">
      <alignment horizontal="left" wrapText="1"/>
    </xf>
    <xf numFmtId="0" fontId="46" fillId="0" borderId="0" xfId="0" applyFont="1" applyAlignment="1">
      <alignment horizontal="left"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0" fillId="0" borderId="20" xfId="0" applyBorder="1" applyAlignment="1">
      <alignment horizontal="left" wrapText="1"/>
    </xf>
    <xf numFmtId="0" fontId="0" fillId="0" borderId="12" xfId="0" applyBorder="1" applyAlignment="1">
      <alignment horizontal="left" wrapText="1"/>
    </xf>
    <xf numFmtId="0" fontId="0" fillId="0" borderId="17" xfId="0" applyBorder="1" applyAlignment="1">
      <alignment horizontal="left" wrapText="1"/>
    </xf>
    <xf numFmtId="0" fontId="0" fillId="0" borderId="12" xfId="0" applyBorder="1" applyAlignment="1">
      <alignment wrapText="1"/>
    </xf>
    <xf numFmtId="0" fontId="0" fillId="0" borderId="20" xfId="0" applyBorder="1" applyAlignment="1">
      <alignment wrapText="1"/>
    </xf>
    <xf numFmtId="0" fontId="0" fillId="0" borderId="17" xfId="0" applyBorder="1" applyAlignment="1">
      <alignment wrapText="1"/>
    </xf>
    <xf numFmtId="0" fontId="28" fillId="0" borderId="12" xfId="72" applyFill="1" applyBorder="1" applyAlignment="1" applyProtection="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lungcanceraudit.org.uk/reports-publications/nlca-state-of-the-nation-2024/" TargetMode="External"/><Relationship Id="rId13" Type="http://schemas.openxmlformats.org/officeDocument/2006/relationships/hyperlink" Target="https://www.gov.uk/government/publications/drugs-and-pharmaceutical-electronic-market-information-emit" TargetMode="External"/><Relationship Id="rId18" Type="http://schemas.openxmlformats.org/officeDocument/2006/relationships/hyperlink" Target="https://www.gov.uk/government/publications/drugs-and-pharmaceutical-electronic-market-information-emit" TargetMode="External"/><Relationship Id="rId26"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21"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medicines.org.uk/emc" TargetMode="External"/><Relationship Id="rId12" Type="http://schemas.openxmlformats.org/officeDocument/2006/relationships/hyperlink" Target="https://bnf.nice.org.uk/" TargetMode="External"/><Relationship Id="rId17" Type="http://schemas.openxmlformats.org/officeDocument/2006/relationships/hyperlink" Target="https://www.gov.uk/government/publications/drugs-and-pharmaceutical-electronic-market-information-emit" TargetMode="External"/><Relationship Id="rId25"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6" Type="http://schemas.openxmlformats.org/officeDocument/2006/relationships/hyperlink" Target="https://www.gov.uk/government/publications/drugs-and-pharmaceutical-electronic-market-information-emit" TargetMode="External"/><Relationship Id="rId20"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lungcanceraudit.org.uk/reports-publications/nlca-state-of-the-nation-2024/" TargetMode="External"/><Relationship Id="rId11" Type="http://schemas.openxmlformats.org/officeDocument/2006/relationships/hyperlink" Target="https://bnf.nice.org.uk/" TargetMode="External"/><Relationship Id="rId24" Type="http://schemas.openxmlformats.org/officeDocument/2006/relationships/printerSettings" Target="../printerSettings/printerSettings4.bin"/><Relationship Id="rId5" Type="http://schemas.openxmlformats.org/officeDocument/2006/relationships/hyperlink" Target="https://pmc.ncbi.nlm.nih.gov/articles/PMC2812484/" TargetMode="External"/><Relationship Id="rId15" Type="http://schemas.openxmlformats.org/officeDocument/2006/relationships/hyperlink" Target="https://www.gov.uk/government/publications/drugs-and-pharmaceutical-electronic-market-information-emit" TargetMode="External"/><Relationship Id="rId23" Type="http://schemas.openxmlformats.org/officeDocument/2006/relationships/hyperlink" Target="https://www.nejm.org/doi/full/10.1056/NEJMoa2302983" TargetMode="External"/><Relationship Id="rId10" Type="http://schemas.openxmlformats.org/officeDocument/2006/relationships/hyperlink" Target="https://bnf.nice.org.uk/" TargetMode="External"/><Relationship Id="rId19"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hyperlink" Target="https://bnf.nice.org.uk/" TargetMode="External"/><Relationship Id="rId14" Type="http://schemas.openxmlformats.org/officeDocument/2006/relationships/hyperlink" Target="https://www.gov.uk/government/publications/drugs-and-pharmaceutical-electronic-market-information-emit" TargetMode="External"/><Relationship Id="rId22" Type="http://schemas.openxmlformats.org/officeDocument/2006/relationships/hyperlink" Target="https://www.gov.uk/government/publications/drugs-and-pharmaceutical-electronic-market-information-emi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J1" zoomScale="40" zoomScaleNormal="40" workbookViewId="0">
      <selection activeCell="D21" sqref="D21"/>
    </sheetView>
  </sheetViews>
  <sheetFormatPr defaultColWidth="9.1406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23" width="10.85546875" style="11" customWidth="1"/>
    <col min="24" max="42" width="10.85546875" style="11" hidden="1" customWidth="1"/>
    <col min="43" max="50" width="10.85546875" style="12" hidden="1" customWidth="1"/>
    <col min="51" max="100" width="10.85546875" style="1" hidden="1" customWidth="1"/>
    <col min="101" max="106" width="10.85546875" style="1" customWidth="1"/>
    <col min="107" max="190" width="10.85546875" style="10" hidden="1" customWidth="1"/>
    <col min="191" max="193" width="10.85546875" style="10" customWidth="1"/>
    <col min="194" max="194" width="10.42578125" style="10" customWidth="1"/>
    <col min="195" max="16384" width="9.140625" style="10"/>
  </cols>
  <sheetData>
    <row r="1" spans="2:106" ht="15" x14ac:dyDescent="0.25">
      <c r="C1" s="741" t="s">
        <v>35</v>
      </c>
    </row>
    <row r="2" spans="2:106" ht="15" x14ac:dyDescent="0.25">
      <c r="B2" s="9" t="s">
        <v>34</v>
      </c>
    </row>
    <row r="3" spans="2:106" x14ac:dyDescent="0.2">
      <c r="B3" s="91" t="s">
        <v>36</v>
      </c>
      <c r="C3" s="472"/>
      <c r="D3" s="473"/>
      <c r="E3" s="473"/>
      <c r="F3" s="473"/>
      <c r="G3" s="92"/>
    </row>
    <row r="4" spans="2:106" ht="15" x14ac:dyDescent="0.25">
      <c r="B4" s="93"/>
      <c r="C4" s="94"/>
      <c r="D4" s="7"/>
      <c r="E4" s="7"/>
      <c r="F4" s="7"/>
      <c r="G4" s="95"/>
      <c r="L4" s="9" t="s">
        <v>37</v>
      </c>
      <c r="M4" s="9" t="s">
        <v>37</v>
      </c>
      <c r="N4" s="9" t="s">
        <v>38</v>
      </c>
      <c r="O4" s="9" t="s">
        <v>38</v>
      </c>
      <c r="P4" s="9" t="s">
        <v>39</v>
      </c>
      <c r="R4" s="165" t="s">
        <v>40</v>
      </c>
      <c r="S4" s="165" t="s">
        <v>41</v>
      </c>
      <c r="T4" s="165" t="s">
        <v>42</v>
      </c>
      <c r="V4" s="165" t="s">
        <v>43</v>
      </c>
    </row>
    <row r="5" spans="2:106" ht="28.5" x14ac:dyDescent="0.2">
      <c r="B5" s="96" t="s">
        <v>44</v>
      </c>
      <c r="C5" s="94"/>
      <c r="D5" s="7"/>
      <c r="E5" s="7"/>
      <c r="F5" s="7"/>
      <c r="G5" s="95"/>
      <c r="L5" s="15" t="s">
        <v>45</v>
      </c>
      <c r="M5" s="15" t="s">
        <v>46</v>
      </c>
      <c r="N5" s="15" t="s">
        <v>47</v>
      </c>
      <c r="O5" s="15" t="s">
        <v>48</v>
      </c>
      <c r="P5" s="18"/>
      <c r="Q5" s="16"/>
      <c r="R5" s="15" t="s">
        <v>48</v>
      </c>
      <c r="S5" s="136" t="s">
        <v>49</v>
      </c>
      <c r="V5" s="137">
        <v>4</v>
      </c>
    </row>
    <row r="6" spans="2:106" ht="15" x14ac:dyDescent="0.25">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7" t="s">
        <v>53</v>
      </c>
      <c r="S6" s="136" t="s">
        <v>54</v>
      </c>
      <c r="V6" s="137">
        <v>5</v>
      </c>
    </row>
    <row r="7" spans="2:106" x14ac:dyDescent="0.2">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7" t="s">
        <v>57</v>
      </c>
      <c r="S7" s="368"/>
      <c r="V7" s="137">
        <v>6</v>
      </c>
    </row>
    <row r="8" spans="2:106" ht="19.5" customHeight="1" x14ac:dyDescent="0.2">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2">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x14ac:dyDescent="0.2">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ht="15" x14ac:dyDescent="0.25">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x14ac:dyDescent="0.2">
      <c r="B12" s="14"/>
      <c r="D12" s="197" t="s">
        <v>71</v>
      </c>
      <c r="E12" s="197"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5.95" customHeight="1" x14ac:dyDescent="0.2">
      <c r="B13" s="198" t="s">
        <v>75</v>
      </c>
      <c r="C13" s="198" t="s">
        <v>76</v>
      </c>
      <c r="D13" s="25" t="s">
        <v>77</v>
      </c>
      <c r="E13" s="25" t="s">
        <v>78</v>
      </c>
      <c r="F13" s="198"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77">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9"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x14ac:dyDescent="0.2">
      <c r="B15" s="199"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ht="15" x14ac:dyDescent="0.25">
      <c r="B16" s="200" t="s">
        <v>86</v>
      </c>
      <c r="C16" s="201">
        <f>IF(C15&gt;0,C14,C15)</f>
        <v>57106398</v>
      </c>
      <c r="D16" s="201">
        <f>IF(D15&gt;0,D14,D15)</f>
        <v>21895402</v>
      </c>
      <c r="E16" s="201">
        <f>IF(E15&gt;0,E14,E15)</f>
        <v>23324090</v>
      </c>
      <c r="F16" s="201">
        <f>SUM(F15)</f>
        <v>45219492</v>
      </c>
      <c r="L16" s="21"/>
      <c r="M16" s="21"/>
      <c r="P16" s="366">
        <f>COUNTIF(P6:P14, TRUE)</f>
        <v>9</v>
      </c>
    </row>
    <row r="17" spans="1:194" ht="15" x14ac:dyDescent="0.25">
      <c r="Q17" s="22"/>
      <c r="R17" s="22"/>
    </row>
    <row r="18" spans="1:194" ht="45.6" customHeight="1" x14ac:dyDescent="0.2">
      <c r="B18" s="89"/>
      <c r="C18" s="141"/>
      <c r="D18" s="25" t="s">
        <v>71</v>
      </c>
      <c r="E18" s="25" t="s">
        <v>71</v>
      </c>
      <c r="F18" s="89"/>
      <c r="I18" s="89"/>
      <c r="J18" s="89"/>
      <c r="K18" s="23"/>
      <c r="N18" s="23"/>
    </row>
    <row r="19" spans="1:194" ht="23.1" customHeight="1" x14ac:dyDescent="0.25">
      <c r="D19" s="202">
        <v>2</v>
      </c>
      <c r="E19" s="202">
        <v>3</v>
      </c>
      <c r="F19" s="202">
        <v>4</v>
      </c>
      <c r="G19" s="202">
        <v>5</v>
      </c>
      <c r="H19" s="202">
        <v>6</v>
      </c>
      <c r="K19" s="23"/>
    </row>
    <row r="20" spans="1:194" s="1" customFormat="1" ht="48" customHeight="1" x14ac:dyDescent="0.25">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74"/>
      <c r="BN20" s="474"/>
      <c r="BO20" s="474"/>
      <c r="BP20" s="474"/>
      <c r="BQ20" s="474"/>
      <c r="BR20" s="474"/>
      <c r="BS20" s="474"/>
      <c r="BT20" s="474"/>
      <c r="BU20" s="474"/>
      <c r="BV20" s="474"/>
      <c r="BW20" s="474"/>
      <c r="BX20" s="474"/>
      <c r="BY20" s="474"/>
      <c r="BZ20" s="474"/>
      <c r="CA20" s="474"/>
      <c r="CB20" s="474"/>
      <c r="CC20" s="474"/>
      <c r="CD20" s="474"/>
      <c r="CE20" s="474"/>
      <c r="CF20" s="474"/>
      <c r="CG20" s="474"/>
      <c r="CH20" s="474"/>
      <c r="CI20" s="474"/>
      <c r="CJ20" s="474"/>
      <c r="CK20" s="474"/>
      <c r="CL20" s="474"/>
      <c r="CM20" s="474"/>
      <c r="CN20" s="474"/>
      <c r="CO20" s="474"/>
      <c r="CP20" s="474"/>
      <c r="CQ20" s="474"/>
      <c r="CR20" s="474"/>
      <c r="CS20" s="474"/>
      <c r="CT20" s="474"/>
      <c r="CU20" s="474"/>
      <c r="CV20" s="474"/>
      <c r="CW20" s="474"/>
      <c r="CX20" s="474"/>
      <c r="CY20" s="124"/>
      <c r="CZ20" s="475" t="s">
        <v>93</v>
      </c>
      <c r="DA20" s="475"/>
      <c r="DB20" s="475"/>
      <c r="DC20" s="475"/>
      <c r="DD20" s="475"/>
      <c r="DE20" s="475"/>
      <c r="DF20" s="475"/>
      <c r="DG20" s="475"/>
      <c r="DH20" s="475"/>
      <c r="DI20" s="475"/>
      <c r="DJ20" s="475"/>
      <c r="DK20" s="475"/>
      <c r="DL20" s="475"/>
      <c r="DM20" s="475"/>
      <c r="DN20" s="475"/>
      <c r="DO20" s="475"/>
      <c r="DP20" s="475"/>
      <c r="DQ20" s="475"/>
      <c r="DR20" s="475"/>
      <c r="DS20" s="475"/>
      <c r="DT20" s="475"/>
      <c r="DU20" s="475"/>
      <c r="DV20" s="475"/>
      <c r="DW20" s="475"/>
      <c r="DX20" s="475"/>
      <c r="DY20" s="475"/>
      <c r="DZ20" s="475"/>
      <c r="EA20" s="475"/>
      <c r="EB20" s="475"/>
      <c r="EC20" s="475"/>
      <c r="ED20" s="475"/>
      <c r="EE20" s="475"/>
      <c r="EF20" s="475"/>
      <c r="EG20" s="475"/>
      <c r="EH20" s="475"/>
      <c r="EI20" s="475"/>
      <c r="EJ20" s="475"/>
      <c r="EK20" s="475"/>
      <c r="EL20" s="475"/>
      <c r="EM20" s="475"/>
      <c r="EN20" s="475"/>
      <c r="EO20" s="475"/>
      <c r="EP20" s="475"/>
      <c r="EQ20" s="475"/>
      <c r="ER20" s="475"/>
      <c r="ES20" s="475"/>
      <c r="ET20" s="475"/>
      <c r="EU20" s="475"/>
      <c r="EV20" s="475"/>
      <c r="EW20" s="475"/>
      <c r="EX20" s="475"/>
      <c r="EY20" s="475"/>
      <c r="EZ20" s="475"/>
      <c r="FA20" s="475"/>
      <c r="FB20" s="475"/>
      <c r="FC20" s="475"/>
      <c r="FD20" s="475"/>
      <c r="FE20" s="475"/>
      <c r="FF20" s="475"/>
      <c r="FG20" s="475"/>
      <c r="FH20" s="475"/>
      <c r="FI20" s="475"/>
      <c r="FJ20" s="475"/>
      <c r="FK20" s="475"/>
      <c r="FL20" s="475"/>
      <c r="FM20" s="475"/>
      <c r="FN20" s="475"/>
      <c r="FO20" s="475"/>
      <c r="FP20" s="475"/>
      <c r="FQ20" s="475"/>
      <c r="FR20" s="475"/>
      <c r="FS20" s="475"/>
      <c r="FT20" s="475"/>
      <c r="FU20" s="475"/>
      <c r="FV20" s="475"/>
      <c r="FW20" s="475"/>
      <c r="FX20" s="475"/>
      <c r="FY20" s="475"/>
      <c r="FZ20" s="475"/>
      <c r="GA20" s="475"/>
      <c r="GB20" s="475"/>
      <c r="GC20" s="475"/>
      <c r="GD20" s="475"/>
      <c r="GE20" s="475"/>
      <c r="GF20" s="475"/>
      <c r="GG20" s="475"/>
      <c r="GH20" s="475"/>
      <c r="GI20" s="475"/>
      <c r="GJ20" s="475"/>
      <c r="GK20" s="475"/>
      <c r="GL20" s="120"/>
    </row>
    <row r="21" spans="1:194" s="8" customFormat="1" ht="30" x14ac:dyDescent="0.25">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x14ac:dyDescent="0.2">
      <c r="A22" s="29"/>
      <c r="B22" s="71"/>
      <c r="C22" s="59"/>
      <c r="D22" s="77"/>
      <c r="E22" s="77"/>
      <c r="F22" s="476"/>
      <c r="G22" s="476"/>
      <c r="H22" s="77"/>
      <c r="I22" s="77"/>
      <c r="J22" s="77"/>
      <c r="K22" s="476"/>
      <c r="L22" s="77"/>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6"/>
      <c r="BZ22" s="476"/>
      <c r="CA22" s="476"/>
      <c r="CB22" s="476"/>
      <c r="CC22" s="476"/>
      <c r="CD22" s="476"/>
      <c r="CE22" s="476"/>
      <c r="CF22" s="476"/>
      <c r="CG22" s="476"/>
      <c r="CH22" s="476"/>
      <c r="CI22" s="476"/>
      <c r="CJ22" s="476"/>
      <c r="CK22" s="476"/>
      <c r="CL22" s="476"/>
      <c r="CM22" s="476"/>
      <c r="CN22" s="476"/>
      <c r="CO22" s="476"/>
      <c r="CP22" s="476"/>
      <c r="CQ22" s="476"/>
      <c r="CR22" s="476"/>
      <c r="CS22" s="476"/>
      <c r="CT22" s="476"/>
      <c r="CU22" s="476"/>
      <c r="CV22" s="476"/>
      <c r="CW22" s="476"/>
      <c r="CX22" s="476"/>
      <c r="CY22" s="77"/>
      <c r="CZ22" s="476"/>
      <c r="DA22" s="476"/>
      <c r="DB22" s="476"/>
      <c r="DC22" s="476"/>
      <c r="DD22" s="476"/>
      <c r="DE22" s="476"/>
      <c r="DF22" s="476"/>
      <c r="DG22" s="476"/>
      <c r="DH22" s="476"/>
      <c r="DI22" s="476"/>
      <c r="DJ22" s="476"/>
      <c r="DK22" s="476"/>
      <c r="DL22" s="476"/>
      <c r="DM22" s="476"/>
      <c r="DN22" s="476"/>
      <c r="DO22" s="476"/>
      <c r="DP22" s="476"/>
      <c r="DQ22" s="476"/>
      <c r="DR22" s="476"/>
      <c r="DS22" s="476"/>
      <c r="DT22" s="476"/>
      <c r="DU22" s="476"/>
      <c r="DV22" s="476"/>
      <c r="DW22" s="476"/>
      <c r="DX22" s="476"/>
      <c r="DY22" s="476"/>
      <c r="DZ22" s="476"/>
      <c r="EA22" s="476"/>
      <c r="EB22" s="476"/>
      <c r="EC22" s="476"/>
      <c r="ED22" s="476"/>
      <c r="EE22" s="476"/>
      <c r="EF22" s="476"/>
      <c r="EG22" s="476"/>
      <c r="EH22" s="476"/>
      <c r="EI22" s="476"/>
      <c r="EJ22" s="476"/>
      <c r="EK22" s="476"/>
      <c r="EL22" s="476"/>
      <c r="EM22" s="476"/>
      <c r="EN22" s="476"/>
      <c r="EO22" s="476"/>
      <c r="EP22" s="476"/>
      <c r="EQ22" s="476"/>
      <c r="ER22" s="476"/>
      <c r="ES22" s="476"/>
      <c r="ET22" s="476"/>
      <c r="EU22" s="476"/>
      <c r="EV22" s="476"/>
      <c r="EW22" s="476"/>
      <c r="EX22" s="476"/>
      <c r="EY22" s="476"/>
      <c r="EZ22" s="476"/>
      <c r="FA22" s="476"/>
      <c r="FB22" s="476"/>
      <c r="FC22" s="476"/>
      <c r="FD22" s="476"/>
      <c r="FE22" s="476"/>
      <c r="FF22" s="476"/>
      <c r="FG22" s="476"/>
      <c r="FH22" s="476"/>
      <c r="FI22" s="476"/>
      <c r="FJ22" s="476"/>
      <c r="FK22" s="476"/>
      <c r="FL22" s="476"/>
      <c r="FM22" s="476"/>
      <c r="FN22" s="476"/>
      <c r="FO22" s="476"/>
      <c r="FP22" s="476"/>
      <c r="FQ22" s="476"/>
      <c r="FR22" s="476"/>
      <c r="FS22" s="476"/>
      <c r="FT22" s="476"/>
      <c r="FU22" s="476"/>
      <c r="FV22" s="476"/>
      <c r="FW22" s="476"/>
      <c r="FX22" s="476"/>
      <c r="FY22" s="476"/>
      <c r="FZ22" s="476"/>
      <c r="GA22" s="476"/>
      <c r="GB22" s="476"/>
      <c r="GC22" s="476"/>
      <c r="GD22" s="476"/>
      <c r="GE22" s="476"/>
      <c r="GF22" s="476"/>
      <c r="GG22" s="476"/>
      <c r="GH22" s="476"/>
      <c r="GI22" s="476"/>
      <c r="GJ22" s="476"/>
      <c r="GK22" s="476"/>
      <c r="GL22" s="77"/>
    </row>
    <row r="23" spans="1:194" s="69" customFormat="1" ht="21.75" customHeight="1" x14ac:dyDescent="0.25">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x14ac:dyDescent="0.25">
      <c r="A25" s="73" t="s">
        <v>55</v>
      </c>
      <c r="B25" s="517" t="s">
        <v>96</v>
      </c>
      <c r="C25" s="74" t="s">
        <v>97</v>
      </c>
      <c r="D25" s="76">
        <f t="shared" ref="D25:E27" si="3">I25</f>
        <v>21895402</v>
      </c>
      <c r="E25" s="76">
        <f t="shared" si="3"/>
        <v>23324090</v>
      </c>
      <c r="F25" s="477">
        <f>G25+H25</f>
        <v>57106398</v>
      </c>
      <c r="G25" s="477">
        <f>SUM(M25:CY25)</f>
        <v>27983290</v>
      </c>
      <c r="H25" s="75">
        <f>SUM(CZ25:GL25)</f>
        <v>29123108</v>
      </c>
      <c r="I25" s="75">
        <f>SUM(AE25:CY25)</f>
        <v>21895402</v>
      </c>
      <c r="J25" s="75">
        <f>SUM(DR25:GL25)</f>
        <v>23324090</v>
      </c>
      <c r="K25" s="478">
        <f>SUM(M25:AD25)</f>
        <v>6087888</v>
      </c>
      <c r="L25" s="76">
        <f>SUM(CZ25:DQ25)</f>
        <v>5799018</v>
      </c>
      <c r="M25" s="477">
        <v>305120</v>
      </c>
      <c r="N25" s="477">
        <v>303019</v>
      </c>
      <c r="O25" s="477">
        <v>314737</v>
      </c>
      <c r="P25" s="477">
        <v>321299</v>
      </c>
      <c r="Q25" s="477">
        <v>325230</v>
      </c>
      <c r="R25" s="477">
        <v>333023</v>
      </c>
      <c r="S25" s="477">
        <v>343154</v>
      </c>
      <c r="T25" s="477">
        <v>339729</v>
      </c>
      <c r="U25" s="477">
        <v>341966</v>
      </c>
      <c r="V25" s="477">
        <v>351482</v>
      </c>
      <c r="W25" s="477">
        <v>360539</v>
      </c>
      <c r="X25" s="477">
        <v>361688</v>
      </c>
      <c r="Y25" s="477">
        <v>356777</v>
      </c>
      <c r="Z25" s="477">
        <v>354079</v>
      </c>
      <c r="AA25" s="477">
        <v>357199</v>
      </c>
      <c r="AB25" s="477">
        <v>344190</v>
      </c>
      <c r="AC25" s="477">
        <v>336612</v>
      </c>
      <c r="AD25" s="477">
        <v>338045</v>
      </c>
      <c r="AE25" s="477">
        <v>339142</v>
      </c>
      <c r="AF25" s="477">
        <v>339234</v>
      </c>
      <c r="AG25" s="477">
        <v>338398</v>
      </c>
      <c r="AH25" s="477">
        <v>338465</v>
      </c>
      <c r="AI25" s="477">
        <v>345338</v>
      </c>
      <c r="AJ25" s="477">
        <v>358287</v>
      </c>
      <c r="AK25" s="477">
        <v>360304</v>
      </c>
      <c r="AL25" s="477">
        <v>365799</v>
      </c>
      <c r="AM25" s="477">
        <v>360324</v>
      </c>
      <c r="AN25" s="477">
        <v>364086</v>
      </c>
      <c r="AO25" s="477">
        <v>372653</v>
      </c>
      <c r="AP25" s="477">
        <v>372807</v>
      </c>
      <c r="AQ25" s="477">
        <v>383710</v>
      </c>
      <c r="AR25" s="477">
        <v>389563</v>
      </c>
      <c r="AS25" s="477">
        <v>387640</v>
      </c>
      <c r="AT25" s="477">
        <v>384620</v>
      </c>
      <c r="AU25" s="477">
        <v>387905</v>
      </c>
      <c r="AV25" s="477">
        <v>378829</v>
      </c>
      <c r="AW25" s="477">
        <v>378199</v>
      </c>
      <c r="AX25" s="477">
        <v>377186</v>
      </c>
      <c r="AY25" s="477">
        <v>365502</v>
      </c>
      <c r="AZ25" s="477">
        <v>366111</v>
      </c>
      <c r="BA25" s="477">
        <v>365728</v>
      </c>
      <c r="BB25" s="477">
        <v>369097</v>
      </c>
      <c r="BC25" s="477">
        <v>371802</v>
      </c>
      <c r="BD25" s="477">
        <v>357560</v>
      </c>
      <c r="BE25" s="477">
        <v>334069</v>
      </c>
      <c r="BF25" s="477">
        <v>328458</v>
      </c>
      <c r="BG25" s="477">
        <v>335746</v>
      </c>
      <c r="BH25" s="477">
        <v>342585</v>
      </c>
      <c r="BI25" s="477">
        <v>346685</v>
      </c>
      <c r="BJ25" s="477">
        <v>360442</v>
      </c>
      <c r="BK25" s="477">
        <v>373390</v>
      </c>
      <c r="BL25" s="477">
        <v>385375</v>
      </c>
      <c r="BM25" s="477">
        <v>375807</v>
      </c>
      <c r="BN25" s="477">
        <v>383988</v>
      </c>
      <c r="BO25" s="477">
        <v>382566</v>
      </c>
      <c r="BP25" s="477">
        <v>385629</v>
      </c>
      <c r="BQ25" s="477">
        <v>381742</v>
      </c>
      <c r="BR25" s="477">
        <v>381998</v>
      </c>
      <c r="BS25" s="477">
        <v>376164</v>
      </c>
      <c r="BT25" s="477">
        <v>367036</v>
      </c>
      <c r="BU25" s="477">
        <v>357672</v>
      </c>
      <c r="BV25" s="477">
        <v>344928</v>
      </c>
      <c r="BW25" s="477">
        <v>329857</v>
      </c>
      <c r="BX25" s="477">
        <v>319451</v>
      </c>
      <c r="BY25" s="477">
        <v>309724</v>
      </c>
      <c r="BZ25" s="477">
        <v>294558</v>
      </c>
      <c r="CA25" s="477">
        <v>282293</v>
      </c>
      <c r="CB25" s="477">
        <v>268536</v>
      </c>
      <c r="CC25" s="477">
        <v>266443</v>
      </c>
      <c r="CD25" s="477">
        <v>260410</v>
      </c>
      <c r="CE25" s="477">
        <v>249450</v>
      </c>
      <c r="CF25" s="477">
        <v>249080</v>
      </c>
      <c r="CG25" s="477">
        <v>249070</v>
      </c>
      <c r="CH25" s="477">
        <v>252982</v>
      </c>
      <c r="CI25" s="477">
        <v>263625</v>
      </c>
      <c r="CJ25" s="477">
        <v>283090</v>
      </c>
      <c r="CK25" s="477">
        <v>211587</v>
      </c>
      <c r="CL25" s="477">
        <v>200401</v>
      </c>
      <c r="CM25" s="477">
        <v>195036</v>
      </c>
      <c r="CN25" s="477">
        <v>174093</v>
      </c>
      <c r="CO25" s="477">
        <v>149572</v>
      </c>
      <c r="CP25" s="477">
        <v>127665</v>
      </c>
      <c r="CQ25" s="477">
        <v>127183</v>
      </c>
      <c r="CR25" s="477">
        <v>120061</v>
      </c>
      <c r="CS25" s="477">
        <v>109873</v>
      </c>
      <c r="CT25" s="477">
        <v>97456</v>
      </c>
      <c r="CU25" s="477">
        <v>84705</v>
      </c>
      <c r="CV25" s="477">
        <v>73428</v>
      </c>
      <c r="CW25" s="477">
        <v>60864</v>
      </c>
      <c r="CX25" s="477">
        <v>51376</v>
      </c>
      <c r="CY25" s="477">
        <v>170964</v>
      </c>
      <c r="CZ25" s="477">
        <v>291186</v>
      </c>
      <c r="DA25" s="477">
        <v>289546</v>
      </c>
      <c r="DB25" s="477">
        <v>300800</v>
      </c>
      <c r="DC25" s="477">
        <v>305906</v>
      </c>
      <c r="DD25" s="477">
        <v>310539</v>
      </c>
      <c r="DE25" s="477">
        <v>318263</v>
      </c>
      <c r="DF25" s="477">
        <v>326932</v>
      </c>
      <c r="DG25" s="477">
        <v>324633</v>
      </c>
      <c r="DH25" s="477">
        <v>326780</v>
      </c>
      <c r="DI25" s="477">
        <v>334543</v>
      </c>
      <c r="DJ25" s="477">
        <v>344341</v>
      </c>
      <c r="DK25" s="477">
        <v>343967</v>
      </c>
      <c r="DL25" s="477">
        <v>339949</v>
      </c>
      <c r="DM25" s="477">
        <v>337345</v>
      </c>
      <c r="DN25" s="477">
        <v>340474</v>
      </c>
      <c r="DO25" s="477">
        <v>326885</v>
      </c>
      <c r="DP25" s="477">
        <v>319023</v>
      </c>
      <c r="DQ25" s="477">
        <v>317906</v>
      </c>
      <c r="DR25" s="477">
        <v>318297</v>
      </c>
      <c r="DS25" s="477">
        <v>319325</v>
      </c>
      <c r="DT25" s="477">
        <v>325075</v>
      </c>
      <c r="DU25" s="477">
        <v>327194</v>
      </c>
      <c r="DV25" s="477">
        <v>333614</v>
      </c>
      <c r="DW25" s="477">
        <v>350669</v>
      </c>
      <c r="DX25" s="477">
        <v>358581</v>
      </c>
      <c r="DY25" s="477">
        <v>367839</v>
      </c>
      <c r="DZ25" s="477">
        <v>363988</v>
      </c>
      <c r="EA25" s="477">
        <v>374022</v>
      </c>
      <c r="EB25" s="477">
        <v>387522</v>
      </c>
      <c r="EC25" s="477">
        <v>390671</v>
      </c>
      <c r="ED25" s="477">
        <v>404331</v>
      </c>
      <c r="EE25" s="477">
        <v>410921</v>
      </c>
      <c r="EF25" s="477">
        <v>413176</v>
      </c>
      <c r="EG25" s="477">
        <v>411450</v>
      </c>
      <c r="EH25" s="477">
        <v>417983</v>
      </c>
      <c r="EI25" s="477">
        <v>409203</v>
      </c>
      <c r="EJ25" s="477">
        <v>404000</v>
      </c>
      <c r="EK25" s="477">
        <v>401928</v>
      </c>
      <c r="EL25" s="477">
        <v>389436</v>
      </c>
      <c r="EM25" s="477">
        <v>389518</v>
      </c>
      <c r="EN25" s="477">
        <v>386124</v>
      </c>
      <c r="EO25" s="477">
        <v>390735</v>
      </c>
      <c r="EP25" s="477">
        <v>390956</v>
      </c>
      <c r="EQ25" s="477">
        <v>373536</v>
      </c>
      <c r="ER25" s="477">
        <v>346385</v>
      </c>
      <c r="ES25" s="477">
        <v>339293</v>
      </c>
      <c r="ET25" s="477">
        <v>345871</v>
      </c>
      <c r="EU25" s="477">
        <v>353016</v>
      </c>
      <c r="EV25" s="477">
        <v>356906</v>
      </c>
      <c r="EW25" s="477">
        <v>370244</v>
      </c>
      <c r="EX25" s="477">
        <v>384214</v>
      </c>
      <c r="EY25" s="477">
        <v>399644</v>
      </c>
      <c r="EZ25" s="477">
        <v>389031</v>
      </c>
      <c r="FA25" s="477">
        <v>397139</v>
      </c>
      <c r="FB25" s="477">
        <v>395547</v>
      </c>
      <c r="FC25" s="477">
        <v>396676</v>
      </c>
      <c r="FD25" s="477">
        <v>396578</v>
      </c>
      <c r="FE25" s="477">
        <v>396708</v>
      </c>
      <c r="FF25" s="477">
        <v>390539</v>
      </c>
      <c r="FG25" s="477">
        <v>380695</v>
      </c>
      <c r="FH25" s="477">
        <v>371143</v>
      </c>
      <c r="FI25" s="477">
        <v>355407</v>
      </c>
      <c r="FJ25" s="477">
        <v>340408</v>
      </c>
      <c r="FK25" s="477">
        <v>331322</v>
      </c>
      <c r="FL25" s="477">
        <v>321164</v>
      </c>
      <c r="FM25" s="477">
        <v>308551</v>
      </c>
      <c r="FN25" s="477">
        <v>295719</v>
      </c>
      <c r="FO25" s="477">
        <v>284931</v>
      </c>
      <c r="FP25" s="477">
        <v>285437</v>
      </c>
      <c r="FQ25" s="477">
        <v>278929</v>
      </c>
      <c r="FR25" s="477">
        <v>271460</v>
      </c>
      <c r="FS25" s="477">
        <v>271487</v>
      </c>
      <c r="FT25" s="477">
        <v>275610</v>
      </c>
      <c r="FU25" s="477">
        <v>280129</v>
      </c>
      <c r="FV25" s="477">
        <v>294843</v>
      </c>
      <c r="FW25" s="477">
        <v>316380</v>
      </c>
      <c r="FX25" s="477">
        <v>240292</v>
      </c>
      <c r="FY25" s="477">
        <v>230370</v>
      </c>
      <c r="FZ25" s="477">
        <v>225985</v>
      </c>
      <c r="GA25" s="477">
        <v>206546</v>
      </c>
      <c r="GB25" s="477">
        <v>181398</v>
      </c>
      <c r="GC25" s="477">
        <v>159103</v>
      </c>
      <c r="GD25" s="477">
        <v>161482</v>
      </c>
      <c r="GE25" s="477">
        <v>155577</v>
      </c>
      <c r="GF25" s="477">
        <v>145759</v>
      </c>
      <c r="GG25" s="477">
        <v>132931</v>
      </c>
      <c r="GH25" s="477">
        <v>120255</v>
      </c>
      <c r="GI25" s="477">
        <v>107758</v>
      </c>
      <c r="GJ25" s="477">
        <v>93505</v>
      </c>
      <c r="GK25" s="477">
        <v>82264</v>
      </c>
      <c r="GL25" s="477">
        <v>349365</v>
      </c>
    </row>
    <row r="26" spans="1:194" s="8" customFormat="1" ht="15" x14ac:dyDescent="0.25">
      <c r="A26" s="31" t="s">
        <v>55</v>
      </c>
      <c r="B26" s="518"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x14ac:dyDescent="0.25">
      <c r="A27" s="37" t="s">
        <v>55</v>
      </c>
      <c r="B27" s="519"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
      <c r="A28" s="43"/>
      <c r="B28" s="520"/>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82" t="s">
        <v>82</v>
      </c>
      <c r="B29" s="521" t="s">
        <v>102</v>
      </c>
      <c r="C29" s="71" t="str">
        <f t="shared" ref="C29:C92" si="4">CONCATENATE(A29," - ",B29)</f>
        <v xml:space="preserve">England – CCGs - Barnsley </v>
      </c>
      <c r="D29" s="60">
        <f>I29</f>
        <v>95316</v>
      </c>
      <c r="E29" s="60">
        <f>J29</f>
        <v>100485</v>
      </c>
      <c r="F29" s="479">
        <f>G29+H29</f>
        <v>246482</v>
      </c>
      <c r="G29" s="479">
        <f>SUM(M29:CY29)</f>
        <v>121223</v>
      </c>
      <c r="H29" s="61">
        <f>SUM(CZ29:GL29)</f>
        <v>125259</v>
      </c>
      <c r="I29" s="61">
        <f>SUM(AE29:CY29)</f>
        <v>95316</v>
      </c>
      <c r="J29" s="61">
        <f>SUM(DR29:GL29)</f>
        <v>100485</v>
      </c>
      <c r="K29" s="480">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
      <c r="A30" s="86" t="s">
        <v>82</v>
      </c>
      <c r="B30" s="521"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
      <c r="A31" s="86" t="s">
        <v>82</v>
      </c>
      <c r="B31" s="521"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
      <c r="A32" s="86" t="s">
        <v>82</v>
      </c>
      <c r="B32" s="521"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
      <c r="A33" s="86" t="s">
        <v>82</v>
      </c>
      <c r="B33" s="521"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
      <c r="A34" s="86" t="s">
        <v>82</v>
      </c>
      <c r="B34" s="521"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
      <c r="A35" s="86" t="s">
        <v>82</v>
      </c>
      <c r="B35" s="521"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
      <c r="A36" s="86" t="s">
        <v>82</v>
      </c>
      <c r="B36" s="521"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
      <c r="A37" s="86" t="s">
        <v>82</v>
      </c>
      <c r="B37" s="521"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
      <c r="A38" s="86" t="s">
        <v>82</v>
      </c>
      <c r="B38" s="521"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
      <c r="A39" s="86" t="s">
        <v>82</v>
      </c>
      <c r="B39" s="521"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
      <c r="A40" s="86" t="s">
        <v>82</v>
      </c>
      <c r="B40" s="521"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
      <c r="A41" s="86" t="s">
        <v>82</v>
      </c>
      <c r="B41" s="521"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
      <c r="A42" s="86" t="s">
        <v>82</v>
      </c>
      <c r="B42" s="521"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
      <c r="A43" s="86" t="s">
        <v>82</v>
      </c>
      <c r="B43" s="521"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
      <c r="A44" s="86" t="s">
        <v>82</v>
      </c>
      <c r="B44" s="521"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
      <c r="A45" s="86" t="s">
        <v>82</v>
      </c>
      <c r="B45" s="521"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
      <c r="A46" s="86" t="s">
        <v>82</v>
      </c>
      <c r="B46" s="521"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
      <c r="A47" s="86" t="s">
        <v>82</v>
      </c>
      <c r="B47" s="521"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
      <c r="A48" s="86" t="s">
        <v>82</v>
      </c>
      <c r="B48" s="521"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
      <c r="A49" s="86" t="s">
        <v>82</v>
      </c>
      <c r="B49" s="521"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
      <c r="A50" s="86" t="s">
        <v>82</v>
      </c>
      <c r="B50" s="521"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
      <c r="A51" s="86" t="s">
        <v>82</v>
      </c>
      <c r="B51" s="521"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
      <c r="A52" s="86" t="s">
        <v>82</v>
      </c>
      <c r="B52" s="521"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
      <c r="A53" s="86" t="s">
        <v>82</v>
      </c>
      <c r="B53" s="521"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
      <c r="A54" s="86" t="s">
        <v>82</v>
      </c>
      <c r="B54" s="521"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
      <c r="A55" s="86" t="s">
        <v>82</v>
      </c>
      <c r="B55" s="521"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
      <c r="A56" s="86" t="s">
        <v>82</v>
      </c>
      <c r="B56" s="521"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
      <c r="A57" s="86" t="s">
        <v>82</v>
      </c>
      <c r="B57" s="521"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
      <c r="A58" s="86" t="s">
        <v>82</v>
      </c>
      <c r="B58" s="521"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
      <c r="A59" s="86" t="s">
        <v>82</v>
      </c>
      <c r="B59" s="521"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
      <c r="A60" s="86" t="s">
        <v>82</v>
      </c>
      <c r="B60" s="521"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
      <c r="A61" s="86" t="s">
        <v>82</v>
      </c>
      <c r="B61" s="521"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
      <c r="A62" s="86" t="s">
        <v>82</v>
      </c>
      <c r="B62" s="521"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
      <c r="A63" s="86" t="s">
        <v>82</v>
      </c>
      <c r="B63" s="521"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
      <c r="A64" s="86" t="s">
        <v>82</v>
      </c>
      <c r="B64" s="521"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
      <c r="A65" s="86" t="s">
        <v>82</v>
      </c>
      <c r="B65" s="521"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
      <c r="A66" s="86" t="s">
        <v>82</v>
      </c>
      <c r="B66" s="521"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
      <c r="A67" s="86" t="s">
        <v>82</v>
      </c>
      <c r="B67" s="521"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
      <c r="A68" s="86" t="s">
        <v>82</v>
      </c>
      <c r="B68" s="521"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
      <c r="A69" s="86" t="s">
        <v>82</v>
      </c>
      <c r="B69" s="521"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
      <c r="A70" s="86" t="s">
        <v>82</v>
      </c>
      <c r="B70" s="521"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
      <c r="A71" s="86" t="s">
        <v>82</v>
      </c>
      <c r="B71" s="521"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
      <c r="A72" s="86" t="s">
        <v>82</v>
      </c>
      <c r="B72" s="521"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
      <c r="A73" s="86" t="s">
        <v>82</v>
      </c>
      <c r="B73" s="521"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
      <c r="A74" s="86" t="s">
        <v>82</v>
      </c>
      <c r="B74" s="521"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
      <c r="A75" s="86" t="s">
        <v>82</v>
      </c>
      <c r="B75" s="521"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
      <c r="A76" s="86" t="s">
        <v>82</v>
      </c>
      <c r="B76" s="521"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
      <c r="A77" s="86" t="s">
        <v>82</v>
      </c>
      <c r="B77" s="521"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
      <c r="A78" s="86" t="s">
        <v>82</v>
      </c>
      <c r="B78" s="521"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
      <c r="A79" s="86" t="s">
        <v>82</v>
      </c>
      <c r="B79" s="521"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
      <c r="A80" s="86" t="s">
        <v>82</v>
      </c>
      <c r="B80" s="521"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
      <c r="A81" s="86" t="s">
        <v>82</v>
      </c>
      <c r="B81" s="521"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
      <c r="A82" s="86" t="s">
        <v>82</v>
      </c>
      <c r="B82" s="521"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
      <c r="A83" s="86" t="s">
        <v>82</v>
      </c>
      <c r="B83" s="521"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
      <c r="A84" s="86" t="s">
        <v>82</v>
      </c>
      <c r="B84" s="521"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
      <c r="A85" s="86" t="s">
        <v>82</v>
      </c>
      <c r="B85" s="521"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
      <c r="A86" s="86" t="s">
        <v>82</v>
      </c>
      <c r="B86" s="521"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
      <c r="A87" s="86" t="s">
        <v>82</v>
      </c>
      <c r="B87" s="521"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
      <c r="A88" s="86" t="s">
        <v>82</v>
      </c>
      <c r="B88" s="521"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
      <c r="A89" s="86" t="s">
        <v>82</v>
      </c>
      <c r="B89" s="521"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
      <c r="A90" s="86" t="s">
        <v>82</v>
      </c>
      <c r="B90" s="521"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
      <c r="A91" s="86" t="s">
        <v>82</v>
      </c>
      <c r="B91" s="521"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
      <c r="A92" s="86" t="s">
        <v>82</v>
      </c>
      <c r="B92" s="521"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
      <c r="A93" s="86" t="s">
        <v>82</v>
      </c>
      <c r="B93" s="521"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
      <c r="A94" s="86" t="s">
        <v>82</v>
      </c>
      <c r="B94" s="521"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
      <c r="A95" s="86" t="s">
        <v>82</v>
      </c>
      <c r="B95" s="521"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
      <c r="A96" s="86" t="s">
        <v>82</v>
      </c>
      <c r="B96" s="521"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
      <c r="A97" s="86" t="s">
        <v>82</v>
      </c>
      <c r="B97" s="521"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
      <c r="A98" s="86" t="s">
        <v>82</v>
      </c>
      <c r="B98" s="521"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
      <c r="A99" s="86" t="s">
        <v>82</v>
      </c>
      <c r="B99" s="521"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
      <c r="A100" s="86" t="s">
        <v>82</v>
      </c>
      <c r="B100" s="521"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
      <c r="A101" s="86" t="s">
        <v>82</v>
      </c>
      <c r="B101" s="521"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
      <c r="A102" s="86" t="s">
        <v>82</v>
      </c>
      <c r="B102" s="521"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
      <c r="A103" s="86" t="s">
        <v>82</v>
      </c>
      <c r="B103" s="521"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
      <c r="A104" s="86" t="s">
        <v>82</v>
      </c>
      <c r="B104" s="521"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
      <c r="A105" s="86" t="s">
        <v>82</v>
      </c>
      <c r="B105" s="521"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
      <c r="A106" s="86" t="s">
        <v>82</v>
      </c>
      <c r="B106" s="521"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
      <c r="A107" s="86" t="s">
        <v>82</v>
      </c>
      <c r="B107" s="521"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
      <c r="A108" s="86" t="s">
        <v>82</v>
      </c>
      <c r="B108" s="521"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
      <c r="A109" s="86" t="s">
        <v>82</v>
      </c>
      <c r="B109" s="521"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
      <c r="A110" s="86" t="s">
        <v>82</v>
      </c>
      <c r="B110" s="521"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
      <c r="A111" s="86" t="s">
        <v>82</v>
      </c>
      <c r="B111" s="521"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
      <c r="A112" s="86" t="s">
        <v>82</v>
      </c>
      <c r="B112" s="521"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
      <c r="A113" s="86" t="s">
        <v>82</v>
      </c>
      <c r="B113" s="521"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
      <c r="A114" s="86" t="s">
        <v>82</v>
      </c>
      <c r="B114" s="521"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
      <c r="A115" s="86" t="s">
        <v>82</v>
      </c>
      <c r="B115" s="521"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
      <c r="A116" s="86" t="s">
        <v>82</v>
      </c>
      <c r="B116" s="521"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
      <c r="A117" s="86" t="s">
        <v>82</v>
      </c>
      <c r="B117" s="521"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
      <c r="A118" s="86" t="s">
        <v>82</v>
      </c>
      <c r="B118" s="521"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
      <c r="A119" s="86" t="s">
        <v>82</v>
      </c>
      <c r="B119" s="521"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
      <c r="A120" s="86" t="s">
        <v>82</v>
      </c>
      <c r="B120" s="521"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
      <c r="A121" s="86" t="s">
        <v>82</v>
      </c>
      <c r="B121" s="521"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
      <c r="A122" s="86" t="s">
        <v>82</v>
      </c>
      <c r="B122" s="521"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
      <c r="A123" s="86" t="s">
        <v>82</v>
      </c>
      <c r="B123" s="521"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
      <c r="A124" s="86" t="s">
        <v>82</v>
      </c>
      <c r="B124" s="521"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
      <c r="A125" s="86" t="s">
        <v>82</v>
      </c>
      <c r="B125" s="521"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
      <c r="A126" s="86" t="s">
        <v>82</v>
      </c>
      <c r="B126" s="521"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
      <c r="A127" s="86" t="s">
        <v>82</v>
      </c>
      <c r="B127" s="521"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
      <c r="A128" s="86" t="s">
        <v>82</v>
      </c>
      <c r="B128" s="521"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
      <c r="A129" s="86" t="s">
        <v>82</v>
      </c>
      <c r="B129" s="521"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
      <c r="A130" s="86" t="s">
        <v>82</v>
      </c>
      <c r="B130" s="521"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
      <c r="A131" s="86" t="s">
        <v>82</v>
      </c>
      <c r="B131" s="521"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
      <c r="A132" s="86" t="s">
        <v>82</v>
      </c>
      <c r="B132" s="521"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
      <c r="A133" s="86" t="s">
        <v>82</v>
      </c>
      <c r="B133" s="521"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
      <c r="A134" s="86" t="s">
        <v>82</v>
      </c>
      <c r="B134" s="521"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x14ac:dyDescent="0.25">
      <c r="A135" s="111"/>
      <c r="B135" s="522"/>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
      <c r="A136" s="53" t="s">
        <v>61</v>
      </c>
      <c r="B136" s="523"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
      <c r="A137" s="53" t="s">
        <v>61</v>
      </c>
      <c r="B137" s="524"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
      <c r="A138" s="53" t="s">
        <v>61</v>
      </c>
      <c r="B138" s="524"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
      <c r="A139" s="53" t="s">
        <v>61</v>
      </c>
      <c r="B139" s="524"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
      <c r="A140" s="53" t="s">
        <v>61</v>
      </c>
      <c r="B140" s="524"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
      <c r="A141" s="53" t="s">
        <v>61</v>
      </c>
      <c r="B141" s="524"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
      <c r="A142" s="54" t="s">
        <v>61</v>
      </c>
      <c r="B142" s="525"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x14ac:dyDescent="0.25">
      <c r="A143" s="115"/>
      <c r="B143" s="526"/>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
      <c r="A144" s="58" t="s">
        <v>64</v>
      </c>
      <c r="B144" s="523" t="s">
        <v>215</v>
      </c>
      <c r="C144" s="71" t="str">
        <f>CONCATENATE(A144," - ",B144)</f>
        <v>NI – Health and Social Care Trusts - Belfast Health and Social Care Trust</v>
      </c>
      <c r="D144" s="60">
        <f t="shared" ref="D144:E148" si="33">I144</f>
        <v>138553.97738288154</v>
      </c>
      <c r="E144" s="60">
        <f t="shared" si="33"/>
        <v>149546.65719477332</v>
      </c>
      <c r="F144" s="479">
        <f>G144+H144</f>
        <v>364103.61922965694</v>
      </c>
      <c r="G144" s="479">
        <f>SUM(M144:CY144)</f>
        <v>177508.17393508262</v>
      </c>
      <c r="H144" s="61">
        <f>SUM(CZ144:GL144)</f>
        <v>186595.44529457431</v>
      </c>
      <c r="I144" s="61">
        <f>SUM(AE144:CY144)</f>
        <v>138553.97738288154</v>
      </c>
      <c r="J144" s="61">
        <f>SUM(DR144:GL144)</f>
        <v>149546.65719477332</v>
      </c>
      <c r="K144" s="480">
        <f>SUM(M144:AD144)</f>
        <v>38954.196552201036</v>
      </c>
      <c r="L144" s="60">
        <f>SUM(CZ144:DQ144)</f>
        <v>37048.788099800979</v>
      </c>
      <c r="M144" s="480">
        <v>2017.8952120383037</v>
      </c>
      <c r="N144" s="480">
        <v>2031.4154300095463</v>
      </c>
      <c r="O144" s="480">
        <v>2025.5722779004586</v>
      </c>
      <c r="P144" s="480">
        <v>2036.6363244919048</v>
      </c>
      <c r="Q144" s="480">
        <v>2174.8657606103957</v>
      </c>
      <c r="R144" s="480">
        <v>2139.1275684252282</v>
      </c>
      <c r="S144" s="480">
        <v>2269.8788621098379</v>
      </c>
      <c r="T144" s="480">
        <v>2199.8731034482757</v>
      </c>
      <c r="U144" s="480">
        <v>2214.1918960244648</v>
      </c>
      <c r="V144" s="480">
        <v>2323.0202012443356</v>
      </c>
      <c r="W144" s="480">
        <v>2319.2258355916892</v>
      </c>
      <c r="X144" s="480">
        <v>2302.9974595842955</v>
      </c>
      <c r="Y144" s="480">
        <v>2256.5049293083684</v>
      </c>
      <c r="Z144" s="480">
        <v>2212.0418107754977</v>
      </c>
      <c r="AA144" s="480">
        <v>2229.1199141767324</v>
      </c>
      <c r="AB144" s="480">
        <v>2134.8894582108355</v>
      </c>
      <c r="AC144" s="480">
        <v>2012.6591474539725</v>
      </c>
      <c r="AD144" s="480">
        <v>2054.2813607968933</v>
      </c>
      <c r="AE144" s="480">
        <v>2265.0450211864404</v>
      </c>
      <c r="AF144" s="480">
        <v>2804.7232134687529</v>
      </c>
      <c r="AG144" s="480">
        <v>2878.6458486407055</v>
      </c>
      <c r="AH144" s="480">
        <v>2648.2416475163518</v>
      </c>
      <c r="AI144" s="480">
        <v>2812.8031562871206</v>
      </c>
      <c r="AJ144" s="480">
        <v>2819.1729711141679</v>
      </c>
      <c r="AK144" s="480">
        <v>2731.7522704339053</v>
      </c>
      <c r="AL144" s="480">
        <v>2754.8174718956493</v>
      </c>
      <c r="AM144" s="480">
        <v>2792.2450211225105</v>
      </c>
      <c r="AN144" s="480">
        <v>2709.9772329246935</v>
      </c>
      <c r="AO144" s="480">
        <v>2693.0545391183132</v>
      </c>
      <c r="AP144" s="480">
        <v>2739.741847362131</v>
      </c>
      <c r="AQ144" s="480">
        <v>2738.9105892047796</v>
      </c>
      <c r="AR144" s="480">
        <v>2711.0666008067833</v>
      </c>
      <c r="AS144" s="480">
        <v>2782.8070289619263</v>
      </c>
      <c r="AT144" s="480">
        <v>2691.3420944220152</v>
      </c>
      <c r="AU144" s="480">
        <v>2575.2371291098634</v>
      </c>
      <c r="AV144" s="480">
        <v>2616.3572226656024</v>
      </c>
      <c r="AW144" s="480">
        <v>2585.9089460686691</v>
      </c>
      <c r="AX144" s="480">
        <v>2533.264568094025</v>
      </c>
      <c r="AY144" s="480">
        <v>2413.1614349775782</v>
      </c>
      <c r="AZ144" s="480">
        <v>2431.4496314496314</v>
      </c>
      <c r="BA144" s="480">
        <v>2293.8903732491299</v>
      </c>
      <c r="BB144" s="480">
        <v>2344.819097470061</v>
      </c>
      <c r="BC144" s="480">
        <v>2403.7633319021038</v>
      </c>
      <c r="BD144" s="480">
        <v>2239.8626248466794</v>
      </c>
      <c r="BE144" s="480">
        <v>2047.4737312365976</v>
      </c>
      <c r="BF144" s="480">
        <v>2052.8353243075835</v>
      </c>
      <c r="BG144" s="480">
        <v>1984.3233076189651</v>
      </c>
      <c r="BH144" s="480">
        <v>1967.3126347206103</v>
      </c>
      <c r="BI144" s="480">
        <v>1977.5348837209303</v>
      </c>
      <c r="BJ144" s="480">
        <v>2084.857469993683</v>
      </c>
      <c r="BK144" s="480">
        <v>2131.2999446158715</v>
      </c>
      <c r="BL144" s="480">
        <v>2143.6819436775263</v>
      </c>
      <c r="BM144" s="480">
        <v>2073.8563380281689</v>
      </c>
      <c r="BN144" s="480">
        <v>2300.7910402197972</v>
      </c>
      <c r="BO144" s="480">
        <v>2326.6164287385909</v>
      </c>
      <c r="BP144" s="480">
        <v>2307.9060786106033</v>
      </c>
      <c r="BQ144" s="480">
        <v>2344.6145362640732</v>
      </c>
      <c r="BR144" s="480">
        <v>2368.012116504854</v>
      </c>
      <c r="BS144" s="480">
        <v>2252.978437722139</v>
      </c>
      <c r="BT144" s="480">
        <v>2241.3179516972359</v>
      </c>
      <c r="BU144" s="480">
        <v>2297.6054466954502</v>
      </c>
      <c r="BV144" s="480">
        <v>2198.0522088353414</v>
      </c>
      <c r="BW144" s="480">
        <v>2021.5031326614003</v>
      </c>
      <c r="BX144" s="480">
        <v>2002.5265144540601</v>
      </c>
      <c r="BY144" s="480">
        <v>1890.3538506703198</v>
      </c>
      <c r="BZ144" s="480">
        <v>1822.7951142631994</v>
      </c>
      <c r="CA144" s="480">
        <v>1687.8206664564279</v>
      </c>
      <c r="CB144" s="480">
        <v>1588.8602704443015</v>
      </c>
      <c r="CC144" s="480">
        <v>1552.3684032476319</v>
      </c>
      <c r="CD144" s="480">
        <v>1527.1244533743056</v>
      </c>
      <c r="CE144" s="480">
        <v>1273.9034871433603</v>
      </c>
      <c r="CF144" s="480">
        <v>1290.2680573978055</v>
      </c>
      <c r="CG144" s="480">
        <v>1292.323121170439</v>
      </c>
      <c r="CH144" s="480">
        <v>1203.3575933400607</v>
      </c>
      <c r="CI144" s="480">
        <v>1137.5975561687032</v>
      </c>
      <c r="CJ144" s="480">
        <v>1181.2559576345984</v>
      </c>
      <c r="CK144" s="480">
        <v>1033.272138554217</v>
      </c>
      <c r="CL144" s="480">
        <v>966.99722735674675</v>
      </c>
      <c r="CM144" s="480">
        <v>986.02355350742448</v>
      </c>
      <c r="CN144" s="480">
        <v>974.00968523002427</v>
      </c>
      <c r="CO144" s="480">
        <v>796.9</v>
      </c>
      <c r="CP144" s="480">
        <v>696.19117288466236</v>
      </c>
      <c r="CQ144" s="480">
        <v>621.99595857539782</v>
      </c>
      <c r="CR144" s="480">
        <v>600.77992957746471</v>
      </c>
      <c r="CS144" s="480">
        <v>583.85111740635818</v>
      </c>
      <c r="CT144" s="480">
        <v>522.79582712369597</v>
      </c>
      <c r="CU144" s="480">
        <v>452.41860465116281</v>
      </c>
      <c r="CV144" s="480">
        <v>372.84571129707109</v>
      </c>
      <c r="CW144" s="480">
        <v>312.34061135371184</v>
      </c>
      <c r="CX144" s="480">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
      <c r="A145" s="58" t="s">
        <v>64</v>
      </c>
      <c r="B145" s="524"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
      <c r="A146" s="58" t="s">
        <v>64</v>
      </c>
      <c r="B146" s="524"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
      <c r="A147" s="58" t="s">
        <v>64</v>
      </c>
      <c r="B147" s="524"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
      <c r="A148" s="62" t="s">
        <v>64</v>
      </c>
      <c r="B148" s="525"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x14ac:dyDescent="0.25">
      <c r="A149" s="115"/>
      <c r="B149" s="526"/>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
      <c r="A150" s="72" t="s">
        <v>59</v>
      </c>
      <c r="B150" s="527" t="s">
        <v>220</v>
      </c>
      <c r="C150" s="71" t="str">
        <f>CONCATENATE(A150," - ",B150)</f>
        <v>NHSE regions - East of England</v>
      </c>
      <c r="D150" s="60">
        <f t="shared" ref="D150:E156" si="35">I150</f>
        <v>2447757</v>
      </c>
      <c r="E150" s="60">
        <f t="shared" si="35"/>
        <v>2602371</v>
      </c>
      <c r="F150" s="479">
        <f t="shared" ref="F150:F156" si="36">G150+H150</f>
        <v>6398497</v>
      </c>
      <c r="G150" s="479">
        <f t="shared" ref="G150:G156" si="37">SUM(M150:CY150)</f>
        <v>3138914</v>
      </c>
      <c r="H150" s="61">
        <f t="shared" ref="H150:H156" si="38">SUM(CZ150:GL150)</f>
        <v>3259583</v>
      </c>
      <c r="I150" s="61">
        <f t="shared" ref="I150:I156" si="39">SUM(AE150:CY150)</f>
        <v>2447757</v>
      </c>
      <c r="J150" s="61">
        <f t="shared" ref="J150:J156" si="40">SUM(DR150:GL150)</f>
        <v>2602371</v>
      </c>
      <c r="K150" s="480">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
      <c r="A151" s="63" t="s">
        <v>59</v>
      </c>
      <c r="B151" s="527"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
      <c r="A152" s="63" t="s">
        <v>59</v>
      </c>
      <c r="B152" s="527"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
      <c r="A153" s="63" t="s">
        <v>59</v>
      </c>
      <c r="B153" s="527"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
      <c r="A154" s="63" t="s">
        <v>59</v>
      </c>
      <c r="B154" s="527"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
      <c r="A155" s="63" t="s">
        <v>59</v>
      </c>
      <c r="B155" s="527"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
      <c r="A156" s="138" t="s">
        <v>59</v>
      </c>
      <c r="B156" s="527"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x14ac:dyDescent="0.25">
      <c r="A157" s="116"/>
      <c r="B157" s="528"/>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8"/>
      <c r="AL157" s="478"/>
      <c r="AM157" s="478"/>
      <c r="AN157" s="478"/>
      <c r="AO157" s="478"/>
      <c r="AP157" s="478"/>
      <c r="AQ157" s="478"/>
      <c r="AR157" s="478"/>
      <c r="AS157" s="478"/>
      <c r="AT157" s="478"/>
      <c r="AU157" s="478"/>
      <c r="AV157" s="478"/>
      <c r="AW157" s="478"/>
      <c r="AX157" s="478"/>
      <c r="AY157" s="478"/>
      <c r="AZ157" s="478"/>
      <c r="BA157" s="478"/>
      <c r="BB157" s="478"/>
      <c r="BC157" s="478"/>
      <c r="BD157" s="478"/>
      <c r="BE157" s="478"/>
      <c r="BF157" s="478"/>
      <c r="BG157" s="478"/>
      <c r="BH157" s="478"/>
      <c r="BI157" s="478"/>
      <c r="BJ157" s="478"/>
      <c r="BK157" s="478"/>
      <c r="BL157" s="478"/>
      <c r="BM157" s="478"/>
      <c r="BN157" s="478"/>
      <c r="BO157" s="478"/>
      <c r="BP157" s="478"/>
      <c r="BQ157" s="478"/>
      <c r="BR157" s="478"/>
      <c r="BS157" s="478"/>
      <c r="BT157" s="478"/>
      <c r="BU157" s="478"/>
      <c r="BV157" s="478"/>
      <c r="BW157" s="478"/>
      <c r="BX157" s="478"/>
      <c r="BY157" s="478"/>
      <c r="BZ157" s="478"/>
      <c r="CA157" s="478"/>
      <c r="CB157" s="478"/>
      <c r="CC157" s="478"/>
      <c r="CD157" s="478"/>
      <c r="CE157" s="478"/>
      <c r="CF157" s="478"/>
      <c r="CG157" s="478"/>
      <c r="CH157" s="478"/>
      <c r="CI157" s="478"/>
      <c r="CJ157" s="478"/>
      <c r="CK157" s="478"/>
      <c r="CL157" s="478"/>
      <c r="CM157" s="478"/>
      <c r="CN157" s="478"/>
      <c r="CO157" s="478"/>
      <c r="CP157" s="478"/>
      <c r="CQ157" s="478"/>
      <c r="CR157" s="478"/>
      <c r="CS157" s="478"/>
      <c r="CT157" s="478"/>
      <c r="CU157" s="478"/>
      <c r="CV157" s="478"/>
      <c r="CW157" s="478"/>
      <c r="CX157" s="478"/>
      <c r="CY157" s="76"/>
      <c r="CZ157" s="117"/>
      <c r="DA157" s="478"/>
      <c r="DB157" s="478"/>
      <c r="DC157" s="478"/>
      <c r="DD157" s="478"/>
      <c r="DE157" s="478"/>
      <c r="DF157" s="478"/>
      <c r="DG157" s="478"/>
      <c r="DH157" s="478"/>
      <c r="DI157" s="478"/>
      <c r="DJ157" s="478"/>
      <c r="DK157" s="478"/>
      <c r="DL157" s="478"/>
      <c r="DM157" s="478"/>
      <c r="DN157" s="478"/>
      <c r="DO157" s="478"/>
      <c r="DP157" s="478"/>
      <c r="DQ157" s="478"/>
      <c r="DR157" s="478"/>
      <c r="DS157" s="478"/>
      <c r="DT157" s="478"/>
      <c r="DU157" s="478"/>
      <c r="DV157" s="478"/>
      <c r="DW157" s="478"/>
      <c r="DX157" s="478"/>
      <c r="DY157" s="478"/>
      <c r="DZ157" s="478"/>
      <c r="EA157" s="478"/>
      <c r="EB157" s="478"/>
      <c r="EC157" s="478"/>
      <c r="ED157" s="478"/>
      <c r="EE157" s="478"/>
      <c r="EF157" s="478"/>
      <c r="EG157" s="478"/>
      <c r="EH157" s="478"/>
      <c r="EI157" s="478"/>
      <c r="EJ157" s="478"/>
      <c r="EK157" s="478"/>
      <c r="EL157" s="478"/>
      <c r="EM157" s="478"/>
      <c r="EN157" s="478"/>
      <c r="EO157" s="478"/>
      <c r="EP157" s="478"/>
      <c r="EQ157" s="478"/>
      <c r="ER157" s="478"/>
      <c r="ES157" s="478"/>
      <c r="ET157" s="478"/>
      <c r="EU157" s="478"/>
      <c r="EV157" s="478"/>
      <c r="EW157" s="478"/>
      <c r="EX157" s="478"/>
      <c r="EY157" s="478"/>
      <c r="EZ157" s="478"/>
      <c r="FA157" s="478"/>
      <c r="FB157" s="478"/>
      <c r="FC157" s="478"/>
      <c r="FD157" s="478"/>
      <c r="FE157" s="478"/>
      <c r="FF157" s="478"/>
      <c r="FG157" s="478"/>
      <c r="FH157" s="478"/>
      <c r="FI157" s="478"/>
      <c r="FJ157" s="478"/>
      <c r="FK157" s="478"/>
      <c r="FL157" s="478"/>
      <c r="FM157" s="478"/>
      <c r="FN157" s="478"/>
      <c r="FO157" s="478"/>
      <c r="FP157" s="478"/>
      <c r="FQ157" s="478"/>
      <c r="FR157" s="478"/>
      <c r="FS157" s="478"/>
      <c r="FT157" s="478"/>
      <c r="FU157" s="478"/>
      <c r="FV157" s="478"/>
      <c r="FW157" s="478"/>
      <c r="FX157" s="478"/>
      <c r="FY157" s="478"/>
      <c r="FZ157" s="478"/>
      <c r="GA157" s="478"/>
      <c r="GB157" s="478"/>
      <c r="GC157" s="478"/>
      <c r="GD157" s="478"/>
      <c r="GE157" s="478"/>
      <c r="GF157" s="478"/>
      <c r="GG157" s="478"/>
      <c r="GH157" s="478"/>
      <c r="GI157" s="478"/>
      <c r="GJ157" s="478"/>
      <c r="GK157" s="478"/>
      <c r="GL157" s="76"/>
    </row>
    <row r="158" spans="1:194" s="1" customFormat="1" x14ac:dyDescent="0.2">
      <c r="A158" s="106" t="s">
        <v>51</v>
      </c>
      <c r="B158" s="529" t="s">
        <v>227</v>
      </c>
      <c r="C158" s="481" t="str">
        <f t="shared" si="43"/>
        <v>England ICB - NHS Bath and North East Somerset, Swindon and Wiltshire Integrated Care Board</v>
      </c>
      <c r="D158" s="78">
        <f t="shared" ref="D158:E163" si="45">I158</f>
        <v>372192</v>
      </c>
      <c r="E158" s="78">
        <f t="shared" si="45"/>
        <v>388592</v>
      </c>
      <c r="F158" s="107">
        <f t="shared" ref="F158:F163" si="46">G158+H158</f>
        <v>953852</v>
      </c>
      <c r="G158" s="479">
        <f t="shared" ref="G158:G163" si="47">SUM(M158:CY158)</f>
        <v>470982</v>
      </c>
      <c r="H158" s="61">
        <f t="shared" ref="H158:H163" si="48">SUM(CZ158:GL158)</f>
        <v>482870</v>
      </c>
      <c r="I158" s="479">
        <f t="shared" ref="I158:I163" si="49">SUM(AE158:CY158)</f>
        <v>372192</v>
      </c>
      <c r="J158" s="102">
        <f t="shared" ref="J158:J163" si="50">SUM(DR158:GL158)</f>
        <v>388592</v>
      </c>
      <c r="K158" s="104">
        <f t="shared" ref="K158:K163" si="51">SUM(M158:AD158)</f>
        <v>98790</v>
      </c>
      <c r="L158" s="60">
        <f t="shared" ref="L158:L163" si="52">SUM(CZ158:DQ158)</f>
        <v>94278</v>
      </c>
      <c r="M158" s="104">
        <v>4647</v>
      </c>
      <c r="N158" s="480">
        <v>4706</v>
      </c>
      <c r="O158" s="480">
        <v>4907</v>
      </c>
      <c r="P158" s="480">
        <v>5108</v>
      </c>
      <c r="Q158" s="480">
        <v>5293</v>
      </c>
      <c r="R158" s="480">
        <v>5287</v>
      </c>
      <c r="S158" s="480">
        <v>5628</v>
      </c>
      <c r="T158" s="480">
        <v>5623</v>
      </c>
      <c r="U158" s="480">
        <v>5617</v>
      </c>
      <c r="V158" s="480">
        <v>5799</v>
      </c>
      <c r="W158" s="480">
        <v>6160</v>
      </c>
      <c r="X158" s="480">
        <v>6033</v>
      </c>
      <c r="Y158" s="480">
        <v>5955</v>
      </c>
      <c r="Z158" s="480">
        <v>5803</v>
      </c>
      <c r="AA158" s="480">
        <v>5710</v>
      </c>
      <c r="AB158" s="480">
        <v>5605</v>
      </c>
      <c r="AC158" s="480">
        <v>5496</v>
      </c>
      <c r="AD158" s="480">
        <v>5413</v>
      </c>
      <c r="AE158" s="480">
        <v>5967</v>
      </c>
      <c r="AF158" s="480">
        <v>6678</v>
      </c>
      <c r="AG158" s="480">
        <v>6216</v>
      </c>
      <c r="AH158" s="480">
        <v>5569</v>
      </c>
      <c r="AI158" s="480">
        <v>5932</v>
      </c>
      <c r="AJ158" s="480">
        <v>5961</v>
      </c>
      <c r="AK158" s="480">
        <v>5644</v>
      </c>
      <c r="AL158" s="480">
        <v>5569</v>
      </c>
      <c r="AM158" s="480">
        <v>5603</v>
      </c>
      <c r="AN158" s="480">
        <v>5436</v>
      </c>
      <c r="AO158" s="480">
        <v>5723</v>
      </c>
      <c r="AP158" s="480">
        <v>5509</v>
      </c>
      <c r="AQ158" s="480">
        <v>5906</v>
      </c>
      <c r="AR158" s="480">
        <v>5926</v>
      </c>
      <c r="AS158" s="480">
        <v>5999</v>
      </c>
      <c r="AT158" s="480">
        <v>5968</v>
      </c>
      <c r="AU158" s="480">
        <v>6124</v>
      </c>
      <c r="AV158" s="480">
        <v>6089</v>
      </c>
      <c r="AW158" s="480">
        <v>6037</v>
      </c>
      <c r="AX158" s="480">
        <v>5950</v>
      </c>
      <c r="AY158" s="480">
        <v>6029</v>
      </c>
      <c r="AZ158" s="480">
        <v>5880</v>
      </c>
      <c r="BA158" s="480">
        <v>5821</v>
      </c>
      <c r="BB158" s="480">
        <v>5960</v>
      </c>
      <c r="BC158" s="480">
        <v>6033</v>
      </c>
      <c r="BD158" s="480">
        <v>5922</v>
      </c>
      <c r="BE158" s="480">
        <v>5375</v>
      </c>
      <c r="BF158" s="480">
        <v>5274</v>
      </c>
      <c r="BG158" s="480">
        <v>5437</v>
      </c>
      <c r="BH158" s="480">
        <v>5820</v>
      </c>
      <c r="BI158" s="480">
        <v>5866</v>
      </c>
      <c r="BJ158" s="480">
        <v>6432</v>
      </c>
      <c r="BK158" s="480">
        <v>6631</v>
      </c>
      <c r="BL158" s="480">
        <v>6700</v>
      </c>
      <c r="BM158" s="480">
        <v>6536</v>
      </c>
      <c r="BN158" s="480">
        <v>6527</v>
      </c>
      <c r="BO158" s="480">
        <v>6586</v>
      </c>
      <c r="BP158" s="480">
        <v>6746</v>
      </c>
      <c r="BQ158" s="480">
        <v>6723</v>
      </c>
      <c r="BR158" s="480">
        <v>6887</v>
      </c>
      <c r="BS158" s="480">
        <v>6661</v>
      </c>
      <c r="BT158" s="480">
        <v>6550</v>
      </c>
      <c r="BU158" s="480">
        <v>6440</v>
      </c>
      <c r="BV158" s="480">
        <v>6192</v>
      </c>
      <c r="BW158" s="480">
        <v>5977</v>
      </c>
      <c r="BX158" s="480">
        <v>5691</v>
      </c>
      <c r="BY158" s="480">
        <v>5371</v>
      </c>
      <c r="BZ158" s="480">
        <v>5135</v>
      </c>
      <c r="CA158" s="480">
        <v>4863</v>
      </c>
      <c r="CB158" s="480">
        <v>4730</v>
      </c>
      <c r="CC158" s="480">
        <v>4797</v>
      </c>
      <c r="CD158" s="480">
        <v>4544</v>
      </c>
      <c r="CE158" s="480">
        <v>4485</v>
      </c>
      <c r="CF158" s="480">
        <v>4422</v>
      </c>
      <c r="CG158" s="480">
        <v>4421</v>
      </c>
      <c r="CH158" s="480">
        <v>4529</v>
      </c>
      <c r="CI158" s="480">
        <v>4861</v>
      </c>
      <c r="CJ158" s="480">
        <v>5197</v>
      </c>
      <c r="CK158" s="480">
        <v>3865</v>
      </c>
      <c r="CL158" s="480">
        <v>3773</v>
      </c>
      <c r="CM158" s="480">
        <v>3497</v>
      </c>
      <c r="CN158" s="480">
        <v>3141</v>
      </c>
      <c r="CO158" s="480">
        <v>2804</v>
      </c>
      <c r="CP158" s="480">
        <v>2380</v>
      </c>
      <c r="CQ158" s="480">
        <v>2335</v>
      </c>
      <c r="CR158" s="480">
        <v>2209</v>
      </c>
      <c r="CS158" s="480">
        <v>2008</v>
      </c>
      <c r="CT158" s="480">
        <v>1804</v>
      </c>
      <c r="CU158" s="480">
        <v>1625</v>
      </c>
      <c r="CV158" s="480">
        <v>1368</v>
      </c>
      <c r="CW158" s="480">
        <v>1144</v>
      </c>
      <c r="CX158" s="480">
        <v>1023</v>
      </c>
      <c r="CY158" s="60">
        <v>3359</v>
      </c>
      <c r="CZ158" s="104">
        <v>4395</v>
      </c>
      <c r="DA158" s="480">
        <v>4569</v>
      </c>
      <c r="DB158" s="480">
        <v>4724</v>
      </c>
      <c r="DC158" s="480">
        <v>4830</v>
      </c>
      <c r="DD158" s="480">
        <v>5033</v>
      </c>
      <c r="DE158" s="480">
        <v>5193</v>
      </c>
      <c r="DF158" s="480">
        <v>5362</v>
      </c>
      <c r="DG158" s="480">
        <v>5295</v>
      </c>
      <c r="DH158" s="480">
        <v>5344</v>
      </c>
      <c r="DI158" s="480">
        <v>5565</v>
      </c>
      <c r="DJ158" s="480">
        <v>5551</v>
      </c>
      <c r="DK158" s="480">
        <v>5719</v>
      </c>
      <c r="DL158" s="480">
        <v>5546</v>
      </c>
      <c r="DM158" s="480">
        <v>5549</v>
      </c>
      <c r="DN158" s="480">
        <v>5624</v>
      </c>
      <c r="DO158" s="480">
        <v>5574</v>
      </c>
      <c r="DP158" s="480">
        <v>5184</v>
      </c>
      <c r="DQ158" s="480">
        <v>5221</v>
      </c>
      <c r="DR158" s="480">
        <v>5415</v>
      </c>
      <c r="DS158" s="480">
        <v>5600</v>
      </c>
      <c r="DT158" s="480">
        <v>5189</v>
      </c>
      <c r="DU158" s="480">
        <v>4912</v>
      </c>
      <c r="DV158" s="480">
        <v>5426</v>
      </c>
      <c r="DW158" s="480">
        <v>5137</v>
      </c>
      <c r="DX158" s="480">
        <v>5128</v>
      </c>
      <c r="DY158" s="480">
        <v>5294</v>
      </c>
      <c r="DZ158" s="480">
        <v>5013</v>
      </c>
      <c r="EA158" s="480">
        <v>5302</v>
      </c>
      <c r="EB158" s="480">
        <v>5698</v>
      </c>
      <c r="EC158" s="480">
        <v>5815</v>
      </c>
      <c r="ED158" s="480">
        <v>5939</v>
      </c>
      <c r="EE158" s="480">
        <v>6272</v>
      </c>
      <c r="EF158" s="480">
        <v>6263</v>
      </c>
      <c r="EG158" s="480">
        <v>6313</v>
      </c>
      <c r="EH158" s="480">
        <v>6318</v>
      </c>
      <c r="EI158" s="480">
        <v>6535</v>
      </c>
      <c r="EJ158" s="480">
        <v>6131</v>
      </c>
      <c r="EK158" s="480">
        <v>6244</v>
      </c>
      <c r="EL158" s="480">
        <v>6165</v>
      </c>
      <c r="EM158" s="480">
        <v>5942</v>
      </c>
      <c r="EN158" s="480">
        <v>6211</v>
      </c>
      <c r="EO158" s="480">
        <v>6218</v>
      </c>
      <c r="EP158" s="480">
        <v>6104</v>
      </c>
      <c r="EQ158" s="480">
        <v>5799</v>
      </c>
      <c r="ER158" s="480">
        <v>5574</v>
      </c>
      <c r="ES158" s="480">
        <v>5586</v>
      </c>
      <c r="ET158" s="480">
        <v>5770</v>
      </c>
      <c r="EU158" s="480">
        <v>5831</v>
      </c>
      <c r="EV158" s="480">
        <v>6251</v>
      </c>
      <c r="EW158" s="480">
        <v>6563</v>
      </c>
      <c r="EX158" s="480">
        <v>6923</v>
      </c>
      <c r="EY158" s="480">
        <v>6736</v>
      </c>
      <c r="EZ158" s="480">
        <v>6661</v>
      </c>
      <c r="FA158" s="480">
        <v>6860</v>
      </c>
      <c r="FB158" s="480">
        <v>6795</v>
      </c>
      <c r="FC158" s="480">
        <v>7093</v>
      </c>
      <c r="FD158" s="480">
        <v>7056</v>
      </c>
      <c r="FE158" s="480">
        <v>6890</v>
      </c>
      <c r="FF158" s="480">
        <v>6926</v>
      </c>
      <c r="FG158" s="480">
        <v>6551</v>
      </c>
      <c r="FH158" s="480">
        <v>6513</v>
      </c>
      <c r="FI158" s="480">
        <v>6413</v>
      </c>
      <c r="FJ158" s="480">
        <v>5897</v>
      </c>
      <c r="FK158" s="480">
        <v>5838</v>
      </c>
      <c r="FL158" s="480">
        <v>5643</v>
      </c>
      <c r="FM158" s="480">
        <v>5384</v>
      </c>
      <c r="FN158" s="480">
        <v>5189</v>
      </c>
      <c r="FO158" s="480">
        <v>5034</v>
      </c>
      <c r="FP158" s="480">
        <v>5088</v>
      </c>
      <c r="FQ158" s="480">
        <v>5112</v>
      </c>
      <c r="FR158" s="480">
        <v>4845</v>
      </c>
      <c r="FS158" s="480">
        <v>4831</v>
      </c>
      <c r="FT158" s="480">
        <v>4917</v>
      </c>
      <c r="FU158" s="480">
        <v>5074</v>
      </c>
      <c r="FV158" s="480">
        <v>5409</v>
      </c>
      <c r="FW158" s="480">
        <v>5546</v>
      </c>
      <c r="FX158" s="480">
        <v>4375</v>
      </c>
      <c r="FY158" s="480">
        <v>4296</v>
      </c>
      <c r="FZ158" s="480">
        <v>4189</v>
      </c>
      <c r="GA158" s="480">
        <v>3718</v>
      </c>
      <c r="GB158" s="480">
        <v>3306</v>
      </c>
      <c r="GC158" s="480">
        <v>2846</v>
      </c>
      <c r="GD158" s="480">
        <v>2931</v>
      </c>
      <c r="GE158" s="480">
        <v>2828</v>
      </c>
      <c r="GF158" s="480">
        <v>2632</v>
      </c>
      <c r="GG158" s="480">
        <v>2327</v>
      </c>
      <c r="GH158" s="480">
        <v>2137</v>
      </c>
      <c r="GI158" s="480">
        <v>1982</v>
      </c>
      <c r="GJ158" s="480">
        <v>1693</v>
      </c>
      <c r="GK158" s="480">
        <v>1476</v>
      </c>
      <c r="GL158" s="60">
        <v>6674</v>
      </c>
    </row>
    <row r="159" spans="1:194" s="1" customFormat="1" x14ac:dyDescent="0.2">
      <c r="A159" s="108" t="s">
        <v>51</v>
      </c>
      <c r="B159" s="530"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
      <c r="A160" s="108" t="s">
        <v>51</v>
      </c>
      <c r="B160" s="530"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
      <c r="A161" s="108" t="s">
        <v>51</v>
      </c>
      <c r="B161" s="530"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
      <c r="A162" s="108" t="s">
        <v>51</v>
      </c>
      <c r="B162" s="530"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
      <c r="A163" s="108" t="s">
        <v>51</v>
      </c>
      <c r="B163" s="530"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
      <c r="A164" s="108" t="s">
        <v>51</v>
      </c>
      <c r="B164" s="530"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
      <c r="A165" s="108" t="s">
        <v>51</v>
      </c>
      <c r="B165" s="530"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
      <c r="A166" s="108" t="s">
        <v>51</v>
      </c>
      <c r="B166" s="530"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
      <c r="A167" s="108" t="s">
        <v>51</v>
      </c>
      <c r="B167" s="530"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
      <c r="A168" s="108" t="s">
        <v>51</v>
      </c>
      <c r="B168" s="530"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
      <c r="A169" s="108" t="s">
        <v>51</v>
      </c>
      <c r="B169" s="530"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
      <c r="A170" s="108" t="s">
        <v>51</v>
      </c>
      <c r="B170" s="530"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
      <c r="A171" s="108" t="s">
        <v>51</v>
      </c>
      <c r="B171" s="530"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
      <c r="A172" s="108" t="s">
        <v>51</v>
      </c>
      <c r="B172" s="530"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
      <c r="A173" s="108" t="s">
        <v>51</v>
      </c>
      <c r="B173" s="530"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
      <c r="A174" s="108" t="s">
        <v>51</v>
      </c>
      <c r="B174" s="530"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
      <c r="A175" s="108" t="s">
        <v>51</v>
      </c>
      <c r="B175" s="530"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
      <c r="A176" s="108" t="s">
        <v>51</v>
      </c>
      <c r="B176" s="530"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
      <c r="A177" s="108" t="s">
        <v>51</v>
      </c>
      <c r="B177" s="530"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
      <c r="A178" s="108" t="s">
        <v>51</v>
      </c>
      <c r="B178" s="530"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
      <c r="A179" s="108" t="s">
        <v>51</v>
      </c>
      <c r="B179" s="530"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
      <c r="A180" s="108" t="s">
        <v>51</v>
      </c>
      <c r="B180" s="530"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
      <c r="A181" s="108" t="s">
        <v>51</v>
      </c>
      <c r="B181" s="530"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
      <c r="A182" s="108" t="s">
        <v>51</v>
      </c>
      <c r="B182" s="530"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
      <c r="A183" s="108" t="s">
        <v>51</v>
      </c>
      <c r="B183" s="530"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
      <c r="A184" s="108" t="s">
        <v>51</v>
      </c>
      <c r="B184" s="530"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
      <c r="A185" s="108" t="s">
        <v>51</v>
      </c>
      <c r="B185" s="530"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
      <c r="A186" s="108" t="s">
        <v>51</v>
      </c>
      <c r="B186" s="530"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
      <c r="A187" s="108" t="s">
        <v>51</v>
      </c>
      <c r="B187" s="530"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
      <c r="A188" s="108" t="s">
        <v>51</v>
      </c>
      <c r="B188" s="530"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
      <c r="A189" s="108" t="s">
        <v>51</v>
      </c>
      <c r="B189" s="530"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
      <c r="A190" s="108" t="s">
        <v>51</v>
      </c>
      <c r="B190" s="530"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
      <c r="A191" s="108" t="s">
        <v>51</v>
      </c>
      <c r="B191" s="530"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
      <c r="A192" s="108" t="s">
        <v>51</v>
      </c>
      <c r="B192" s="530"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
      <c r="A193" s="108" t="s">
        <v>51</v>
      </c>
      <c r="B193" s="530"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
      <c r="A194" s="108" t="s">
        <v>51</v>
      </c>
      <c r="B194" s="530"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
      <c r="A195" s="108" t="s">
        <v>51</v>
      </c>
      <c r="B195" s="530"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
      <c r="A196" s="108" t="s">
        <v>51</v>
      </c>
      <c r="B196" s="530"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
      <c r="A197" s="108" t="s">
        <v>51</v>
      </c>
      <c r="B197" s="530"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
      <c r="A198" s="108" t="s">
        <v>51</v>
      </c>
      <c r="B198" s="530"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
      <c r="A199" s="108" t="s">
        <v>51</v>
      </c>
      <c r="B199" s="530"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x14ac:dyDescent="0.25">
      <c r="A200" s="111"/>
      <c r="B200" s="531"/>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
      <c r="A201" s="30" t="s">
        <v>80</v>
      </c>
      <c r="B201" s="1" t="s">
        <v>269</v>
      </c>
      <c r="C201" s="71" t="str">
        <f>CONCATENATE(A201," - ",B201)</f>
        <v>LA England - Adur</v>
      </c>
      <c r="D201" s="60">
        <f t="shared" ref="D201:D265" si="73">I201</f>
        <v>24443</v>
      </c>
      <c r="E201" s="60">
        <f t="shared" ref="E201:E265" si="74">J201</f>
        <v>27108</v>
      </c>
      <c r="F201" s="479">
        <f t="shared" ref="F201:F265" si="75">G201+H201</f>
        <v>64688</v>
      </c>
      <c r="G201" s="479">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16">
        <v>391</v>
      </c>
      <c r="N498" s="516">
        <v>334</v>
      </c>
      <c r="O498" s="516">
        <v>374</v>
      </c>
      <c r="P498" s="516">
        <v>393</v>
      </c>
      <c r="Q498" s="516">
        <v>365</v>
      </c>
      <c r="R498" s="516">
        <v>333</v>
      </c>
      <c r="S498" s="516">
        <v>365</v>
      </c>
      <c r="T498" s="516">
        <v>388</v>
      </c>
      <c r="U498" s="516">
        <v>394</v>
      </c>
      <c r="V498" s="516">
        <v>392</v>
      </c>
      <c r="W498" s="516">
        <v>375</v>
      </c>
      <c r="X498" s="516">
        <v>423</v>
      </c>
      <c r="Y498" s="516">
        <v>403</v>
      </c>
      <c r="Z498" s="516">
        <v>425</v>
      </c>
      <c r="AA498" s="516">
        <v>394</v>
      </c>
      <c r="AB498" s="516">
        <v>319</v>
      </c>
      <c r="AC498" s="516">
        <v>337</v>
      </c>
      <c r="AD498" s="516">
        <v>363</v>
      </c>
      <c r="AE498" s="516">
        <v>363</v>
      </c>
      <c r="AF498" s="516">
        <v>317</v>
      </c>
      <c r="AG498" s="516">
        <v>288</v>
      </c>
      <c r="AH498" s="516">
        <v>332</v>
      </c>
      <c r="AI498" s="516">
        <v>374</v>
      </c>
      <c r="AJ498" s="516">
        <v>338</v>
      </c>
      <c r="AK498" s="516">
        <v>389</v>
      </c>
      <c r="AL498" s="516">
        <v>412</v>
      </c>
      <c r="AM498" s="516">
        <v>367</v>
      </c>
      <c r="AN498" s="516">
        <v>361</v>
      </c>
      <c r="AO498" s="516">
        <v>441</v>
      </c>
      <c r="AP498" s="516">
        <v>438</v>
      </c>
      <c r="AQ498" s="516">
        <v>468</v>
      </c>
      <c r="AR498" s="516">
        <v>465</v>
      </c>
      <c r="AS498" s="516">
        <v>442</v>
      </c>
      <c r="AT498" s="516">
        <v>467</v>
      </c>
      <c r="AU498" s="516">
        <v>398</v>
      </c>
      <c r="AV498" s="516">
        <v>423</v>
      </c>
      <c r="AW498" s="516">
        <v>418</v>
      </c>
      <c r="AX498" s="516">
        <v>449</v>
      </c>
      <c r="AY498" s="516">
        <v>389</v>
      </c>
      <c r="AZ498" s="516">
        <v>409</v>
      </c>
      <c r="BA498" s="516">
        <v>365</v>
      </c>
      <c r="BB498" s="516">
        <v>396</v>
      </c>
      <c r="BC498" s="516">
        <v>373</v>
      </c>
      <c r="BD498" s="516">
        <v>369</v>
      </c>
      <c r="BE498" s="516">
        <v>348</v>
      </c>
      <c r="BF498" s="516">
        <v>299</v>
      </c>
      <c r="BG498" s="516">
        <v>345</v>
      </c>
      <c r="BH498" s="516">
        <v>417</v>
      </c>
      <c r="BI498" s="516">
        <v>386</v>
      </c>
      <c r="BJ498" s="516">
        <v>430</v>
      </c>
      <c r="BK498" s="516">
        <v>495</v>
      </c>
      <c r="BL498" s="516">
        <v>469</v>
      </c>
      <c r="BM498" s="516">
        <v>471</v>
      </c>
      <c r="BN498" s="516">
        <v>521</v>
      </c>
      <c r="BO498" s="516">
        <v>498</v>
      </c>
      <c r="BP498" s="516">
        <v>491</v>
      </c>
      <c r="BQ498" s="516">
        <v>525</v>
      </c>
      <c r="BR498" s="516">
        <v>529</v>
      </c>
      <c r="BS498" s="516">
        <v>512</v>
      </c>
      <c r="BT498" s="516">
        <v>493</v>
      </c>
      <c r="BU498" s="516">
        <v>503</v>
      </c>
      <c r="BV498" s="516">
        <v>432</v>
      </c>
      <c r="BW498" s="516">
        <v>445</v>
      </c>
      <c r="BX498" s="516">
        <v>434</v>
      </c>
      <c r="BY498" s="516">
        <v>364</v>
      </c>
      <c r="BZ498" s="516">
        <v>441</v>
      </c>
      <c r="CA498" s="516">
        <v>389</v>
      </c>
      <c r="CB498" s="516">
        <v>372</v>
      </c>
      <c r="CC498" s="516">
        <v>364</v>
      </c>
      <c r="CD498" s="516">
        <v>375</v>
      </c>
      <c r="CE498" s="516">
        <v>341</v>
      </c>
      <c r="CF498" s="516">
        <v>358</v>
      </c>
      <c r="CG498" s="516">
        <v>351</v>
      </c>
      <c r="CH498" s="516">
        <v>359</v>
      </c>
      <c r="CI498" s="516">
        <v>343</v>
      </c>
      <c r="CJ498" s="516">
        <v>401</v>
      </c>
      <c r="CK498" s="516">
        <v>297</v>
      </c>
      <c r="CL498" s="516">
        <v>262</v>
      </c>
      <c r="CM498" s="516">
        <v>235</v>
      </c>
      <c r="CN498" s="516">
        <v>261</v>
      </c>
      <c r="CO498" s="516">
        <v>210</v>
      </c>
      <c r="CP498" s="516">
        <v>179</v>
      </c>
      <c r="CQ498" s="516">
        <v>155</v>
      </c>
      <c r="CR498" s="516">
        <v>164</v>
      </c>
      <c r="CS498" s="516">
        <v>135</v>
      </c>
      <c r="CT498" s="516">
        <v>101</v>
      </c>
      <c r="CU498" s="516">
        <v>100</v>
      </c>
      <c r="CV498" s="516">
        <v>87</v>
      </c>
      <c r="CW498" s="516">
        <v>55</v>
      </c>
      <c r="CX498" s="516">
        <v>58</v>
      </c>
      <c r="CY498" s="516">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16">
        <v>731</v>
      </c>
      <c r="N499" s="516">
        <v>689</v>
      </c>
      <c r="O499" s="516">
        <v>714</v>
      </c>
      <c r="P499" s="516">
        <v>751</v>
      </c>
      <c r="Q499" s="516">
        <v>788</v>
      </c>
      <c r="R499" s="516">
        <v>823</v>
      </c>
      <c r="S499" s="516">
        <v>811</v>
      </c>
      <c r="T499" s="516">
        <v>852</v>
      </c>
      <c r="U499" s="516">
        <v>862</v>
      </c>
      <c r="V499" s="516">
        <v>879</v>
      </c>
      <c r="W499" s="516">
        <v>884</v>
      </c>
      <c r="X499" s="516">
        <v>978</v>
      </c>
      <c r="Y499" s="516">
        <v>895</v>
      </c>
      <c r="Z499" s="516">
        <v>924</v>
      </c>
      <c r="AA499" s="516">
        <v>890</v>
      </c>
      <c r="AB499" s="516">
        <v>868</v>
      </c>
      <c r="AC499" s="516">
        <v>836</v>
      </c>
      <c r="AD499" s="516">
        <v>905</v>
      </c>
      <c r="AE499" s="516">
        <v>777</v>
      </c>
      <c r="AF499" s="516">
        <v>641</v>
      </c>
      <c r="AG499" s="516">
        <v>674</v>
      </c>
      <c r="AH499" s="516">
        <v>686</v>
      </c>
      <c r="AI499" s="516">
        <v>727</v>
      </c>
      <c r="AJ499" s="516">
        <v>840</v>
      </c>
      <c r="AK499" s="516">
        <v>858</v>
      </c>
      <c r="AL499" s="516">
        <v>945</v>
      </c>
      <c r="AM499" s="516">
        <v>890</v>
      </c>
      <c r="AN499" s="516">
        <v>816</v>
      </c>
      <c r="AO499" s="516">
        <v>944</v>
      </c>
      <c r="AP499" s="516">
        <v>857</v>
      </c>
      <c r="AQ499" s="516">
        <v>968</v>
      </c>
      <c r="AR499" s="516">
        <v>910</v>
      </c>
      <c r="AS499" s="516">
        <v>982</v>
      </c>
      <c r="AT499" s="516">
        <v>986</v>
      </c>
      <c r="AU499" s="516">
        <v>996</v>
      </c>
      <c r="AV499" s="516">
        <v>984</v>
      </c>
      <c r="AW499" s="516">
        <v>944</v>
      </c>
      <c r="AX499" s="516">
        <v>937</v>
      </c>
      <c r="AY499" s="516">
        <v>874</v>
      </c>
      <c r="AZ499" s="516">
        <v>882</v>
      </c>
      <c r="BA499" s="516">
        <v>860</v>
      </c>
      <c r="BB499" s="516">
        <v>916</v>
      </c>
      <c r="BC499" s="516">
        <v>935</v>
      </c>
      <c r="BD499" s="516">
        <v>885</v>
      </c>
      <c r="BE499" s="516">
        <v>798</v>
      </c>
      <c r="BF499" s="516">
        <v>764</v>
      </c>
      <c r="BG499" s="516">
        <v>821</v>
      </c>
      <c r="BH499" s="516">
        <v>816</v>
      </c>
      <c r="BI499" s="516">
        <v>884</v>
      </c>
      <c r="BJ499" s="516">
        <v>901</v>
      </c>
      <c r="BK499" s="516">
        <v>1009</v>
      </c>
      <c r="BL499" s="516">
        <v>1091</v>
      </c>
      <c r="BM499" s="516">
        <v>977</v>
      </c>
      <c r="BN499" s="516">
        <v>1017</v>
      </c>
      <c r="BO499" s="516">
        <v>1078</v>
      </c>
      <c r="BP499" s="516">
        <v>1056</v>
      </c>
      <c r="BQ499" s="516">
        <v>1081</v>
      </c>
      <c r="BR499" s="516">
        <v>1062</v>
      </c>
      <c r="BS499" s="516">
        <v>1067</v>
      </c>
      <c r="BT499" s="516">
        <v>1000</v>
      </c>
      <c r="BU499" s="516">
        <v>1035</v>
      </c>
      <c r="BV499" s="516">
        <v>984</v>
      </c>
      <c r="BW499" s="516">
        <v>918</v>
      </c>
      <c r="BX499" s="516">
        <v>903</v>
      </c>
      <c r="BY499" s="516">
        <v>907</v>
      </c>
      <c r="BZ499" s="516">
        <v>835</v>
      </c>
      <c r="CA499" s="516">
        <v>831</v>
      </c>
      <c r="CB499" s="516">
        <v>766</v>
      </c>
      <c r="CC499" s="516">
        <v>742</v>
      </c>
      <c r="CD499" s="516">
        <v>776</v>
      </c>
      <c r="CE499" s="516">
        <v>736</v>
      </c>
      <c r="CF499" s="516">
        <v>767</v>
      </c>
      <c r="CG499" s="516">
        <v>726</v>
      </c>
      <c r="CH499" s="516">
        <v>780</v>
      </c>
      <c r="CI499" s="516">
        <v>754</v>
      </c>
      <c r="CJ499" s="516">
        <v>809</v>
      </c>
      <c r="CK499" s="516">
        <v>632</v>
      </c>
      <c r="CL499" s="516">
        <v>617</v>
      </c>
      <c r="CM499" s="516">
        <v>572</v>
      </c>
      <c r="CN499" s="516">
        <v>506</v>
      </c>
      <c r="CO499" s="516">
        <v>443</v>
      </c>
      <c r="CP499" s="516">
        <v>449</v>
      </c>
      <c r="CQ499" s="516">
        <v>367</v>
      </c>
      <c r="CR499" s="516">
        <v>336</v>
      </c>
      <c r="CS499" s="516">
        <v>314</v>
      </c>
      <c r="CT499" s="516">
        <v>257</v>
      </c>
      <c r="CU499" s="516">
        <v>226</v>
      </c>
      <c r="CV499" s="516">
        <v>223</v>
      </c>
      <c r="CW499" s="516">
        <v>154</v>
      </c>
      <c r="CX499" s="516">
        <v>144</v>
      </c>
      <c r="CY499" s="516">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16">
        <v>834</v>
      </c>
      <c r="N500" s="516">
        <v>824</v>
      </c>
      <c r="O500" s="516">
        <v>908</v>
      </c>
      <c r="P500" s="516">
        <v>935</v>
      </c>
      <c r="Q500" s="516">
        <v>1007</v>
      </c>
      <c r="R500" s="516">
        <v>996</v>
      </c>
      <c r="S500" s="516">
        <v>1029</v>
      </c>
      <c r="T500" s="516">
        <v>1072</v>
      </c>
      <c r="U500" s="516">
        <v>1068</v>
      </c>
      <c r="V500" s="516">
        <v>1056</v>
      </c>
      <c r="W500" s="516">
        <v>1069</v>
      </c>
      <c r="X500" s="516">
        <v>1095</v>
      </c>
      <c r="Y500" s="516">
        <v>1148</v>
      </c>
      <c r="Z500" s="516">
        <v>1126</v>
      </c>
      <c r="AA500" s="516">
        <v>1141</v>
      </c>
      <c r="AB500" s="516">
        <v>1053</v>
      </c>
      <c r="AC500" s="516">
        <v>1026</v>
      </c>
      <c r="AD500" s="516">
        <v>1028</v>
      </c>
      <c r="AE500" s="516">
        <v>1108</v>
      </c>
      <c r="AF500" s="516">
        <v>875</v>
      </c>
      <c r="AG500" s="516">
        <v>817</v>
      </c>
      <c r="AH500" s="516">
        <v>888</v>
      </c>
      <c r="AI500" s="516">
        <v>942</v>
      </c>
      <c r="AJ500" s="516">
        <v>891</v>
      </c>
      <c r="AK500" s="516">
        <v>901</v>
      </c>
      <c r="AL500" s="516">
        <v>1103</v>
      </c>
      <c r="AM500" s="516">
        <v>1005</v>
      </c>
      <c r="AN500" s="516">
        <v>987</v>
      </c>
      <c r="AO500" s="516">
        <v>1032</v>
      </c>
      <c r="AP500" s="516">
        <v>1030</v>
      </c>
      <c r="AQ500" s="516">
        <v>1074</v>
      </c>
      <c r="AR500" s="516">
        <v>1182</v>
      </c>
      <c r="AS500" s="516">
        <v>1115</v>
      </c>
      <c r="AT500" s="516">
        <v>1132</v>
      </c>
      <c r="AU500" s="516">
        <v>1167</v>
      </c>
      <c r="AV500" s="516">
        <v>1071</v>
      </c>
      <c r="AW500" s="516">
        <v>1140</v>
      </c>
      <c r="AX500" s="516">
        <v>1077</v>
      </c>
      <c r="AY500" s="516">
        <v>1079</v>
      </c>
      <c r="AZ500" s="516">
        <v>1060</v>
      </c>
      <c r="BA500" s="516">
        <v>1012</v>
      </c>
      <c r="BB500" s="516">
        <v>1070</v>
      </c>
      <c r="BC500" s="516">
        <v>1085</v>
      </c>
      <c r="BD500" s="516">
        <v>1002</v>
      </c>
      <c r="BE500" s="516">
        <v>958</v>
      </c>
      <c r="BF500" s="516">
        <v>997</v>
      </c>
      <c r="BG500" s="516">
        <v>992</v>
      </c>
      <c r="BH500" s="516">
        <v>988</v>
      </c>
      <c r="BI500" s="516">
        <v>1077</v>
      </c>
      <c r="BJ500" s="516">
        <v>1113</v>
      </c>
      <c r="BK500" s="516">
        <v>1157</v>
      </c>
      <c r="BL500" s="516">
        <v>1232</v>
      </c>
      <c r="BM500" s="516">
        <v>1129</v>
      </c>
      <c r="BN500" s="516">
        <v>1299</v>
      </c>
      <c r="BO500" s="516">
        <v>1259</v>
      </c>
      <c r="BP500" s="516">
        <v>1214</v>
      </c>
      <c r="BQ500" s="516">
        <v>1265</v>
      </c>
      <c r="BR500" s="516">
        <v>1277</v>
      </c>
      <c r="BS500" s="516">
        <v>1255</v>
      </c>
      <c r="BT500" s="516">
        <v>1273</v>
      </c>
      <c r="BU500" s="516">
        <v>1181</v>
      </c>
      <c r="BV500" s="516">
        <v>1146</v>
      </c>
      <c r="BW500" s="516">
        <v>1118</v>
      </c>
      <c r="BX500" s="516">
        <v>1064</v>
      </c>
      <c r="BY500" s="516">
        <v>1058</v>
      </c>
      <c r="BZ500" s="516">
        <v>1029</v>
      </c>
      <c r="CA500" s="516">
        <v>925</v>
      </c>
      <c r="CB500" s="516">
        <v>870</v>
      </c>
      <c r="CC500" s="516">
        <v>989</v>
      </c>
      <c r="CD500" s="516">
        <v>948</v>
      </c>
      <c r="CE500" s="516">
        <v>880</v>
      </c>
      <c r="CF500" s="516">
        <v>910</v>
      </c>
      <c r="CG500" s="516">
        <v>938</v>
      </c>
      <c r="CH500" s="516">
        <v>837</v>
      </c>
      <c r="CI500" s="516">
        <v>970</v>
      </c>
      <c r="CJ500" s="516">
        <v>989</v>
      </c>
      <c r="CK500" s="516">
        <v>740</v>
      </c>
      <c r="CL500" s="516">
        <v>691</v>
      </c>
      <c r="CM500" s="516">
        <v>645</v>
      </c>
      <c r="CN500" s="516">
        <v>570</v>
      </c>
      <c r="CO500" s="516">
        <v>578</v>
      </c>
      <c r="CP500" s="516">
        <v>442</v>
      </c>
      <c r="CQ500" s="516">
        <v>426</v>
      </c>
      <c r="CR500" s="516">
        <v>410</v>
      </c>
      <c r="CS500" s="516">
        <v>355</v>
      </c>
      <c r="CT500" s="516">
        <v>296</v>
      </c>
      <c r="CU500" s="516">
        <v>259</v>
      </c>
      <c r="CV500" s="516">
        <v>215</v>
      </c>
      <c r="CW500" s="516">
        <v>176</v>
      </c>
      <c r="CX500" s="516">
        <v>150</v>
      </c>
      <c r="CY500" s="516">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16">
        <v>1950</v>
      </c>
      <c r="N501" s="516">
        <v>1875</v>
      </c>
      <c r="O501" s="516">
        <v>1880</v>
      </c>
      <c r="P501" s="516">
        <v>1977</v>
      </c>
      <c r="Q501" s="516">
        <v>2035</v>
      </c>
      <c r="R501" s="516">
        <v>2099</v>
      </c>
      <c r="S501" s="516">
        <v>2234</v>
      </c>
      <c r="T501" s="516">
        <v>2194</v>
      </c>
      <c r="U501" s="516">
        <v>2213</v>
      </c>
      <c r="V501" s="516">
        <v>2181</v>
      </c>
      <c r="W501" s="516">
        <v>2303</v>
      </c>
      <c r="X501" s="516">
        <v>2380</v>
      </c>
      <c r="Y501" s="516">
        <v>2271</v>
      </c>
      <c r="Z501" s="516">
        <v>2188</v>
      </c>
      <c r="AA501" s="516">
        <v>2173</v>
      </c>
      <c r="AB501" s="516">
        <v>2117</v>
      </c>
      <c r="AC501" s="516">
        <v>2130</v>
      </c>
      <c r="AD501" s="516">
        <v>2130</v>
      </c>
      <c r="AE501" s="516">
        <v>2327</v>
      </c>
      <c r="AF501" s="516">
        <v>4164</v>
      </c>
      <c r="AG501" s="516">
        <v>4565</v>
      </c>
      <c r="AH501" s="516">
        <v>4249</v>
      </c>
      <c r="AI501" s="516">
        <v>3797</v>
      </c>
      <c r="AJ501" s="516">
        <v>3628</v>
      </c>
      <c r="AK501" s="516">
        <v>3513</v>
      </c>
      <c r="AL501" s="516">
        <v>3439</v>
      </c>
      <c r="AM501" s="516">
        <v>3420</v>
      </c>
      <c r="AN501" s="516">
        <v>3228</v>
      </c>
      <c r="AO501" s="516">
        <v>3077</v>
      </c>
      <c r="AP501" s="516">
        <v>2999</v>
      </c>
      <c r="AQ501" s="516">
        <v>2824</v>
      </c>
      <c r="AR501" s="516">
        <v>2846</v>
      </c>
      <c r="AS501" s="516">
        <v>2776</v>
      </c>
      <c r="AT501" s="516">
        <v>2588</v>
      </c>
      <c r="AU501" s="516">
        <v>2705</v>
      </c>
      <c r="AV501" s="516">
        <v>2608</v>
      </c>
      <c r="AW501" s="516">
        <v>2669</v>
      </c>
      <c r="AX501" s="516">
        <v>2467</v>
      </c>
      <c r="AY501" s="516">
        <v>2494</v>
      </c>
      <c r="AZ501" s="516">
        <v>2498</v>
      </c>
      <c r="BA501" s="516">
        <v>2343</v>
      </c>
      <c r="BB501" s="516">
        <v>2361</v>
      </c>
      <c r="BC501" s="516">
        <v>2324</v>
      </c>
      <c r="BD501" s="516">
        <v>2260</v>
      </c>
      <c r="BE501" s="516">
        <v>2022</v>
      </c>
      <c r="BF501" s="516">
        <v>2128</v>
      </c>
      <c r="BG501" s="516">
        <v>2019</v>
      </c>
      <c r="BH501" s="516">
        <v>2027</v>
      </c>
      <c r="BI501" s="516">
        <v>2070</v>
      </c>
      <c r="BJ501" s="516">
        <v>1928</v>
      </c>
      <c r="BK501" s="516">
        <v>1966</v>
      </c>
      <c r="BL501" s="516">
        <v>2100</v>
      </c>
      <c r="BM501" s="516">
        <v>2061</v>
      </c>
      <c r="BN501" s="516">
        <v>2078</v>
      </c>
      <c r="BO501" s="516">
        <v>1992</v>
      </c>
      <c r="BP501" s="516">
        <v>2070</v>
      </c>
      <c r="BQ501" s="516">
        <v>1888</v>
      </c>
      <c r="BR501" s="516">
        <v>2027</v>
      </c>
      <c r="BS501" s="516">
        <v>1976</v>
      </c>
      <c r="BT501" s="516">
        <v>1918</v>
      </c>
      <c r="BU501" s="516">
        <v>1994</v>
      </c>
      <c r="BV501" s="516">
        <v>1814</v>
      </c>
      <c r="BW501" s="516">
        <v>1830</v>
      </c>
      <c r="BX501" s="516">
        <v>1808</v>
      </c>
      <c r="BY501" s="516">
        <v>1654</v>
      </c>
      <c r="BZ501" s="516">
        <v>1666</v>
      </c>
      <c r="CA501" s="516">
        <v>1538</v>
      </c>
      <c r="CB501" s="516">
        <v>1449</v>
      </c>
      <c r="CC501" s="516">
        <v>1467</v>
      </c>
      <c r="CD501" s="516">
        <v>1364</v>
      </c>
      <c r="CE501" s="516">
        <v>1286</v>
      </c>
      <c r="CF501" s="516">
        <v>1359</v>
      </c>
      <c r="CG501" s="516">
        <v>1353</v>
      </c>
      <c r="CH501" s="516">
        <v>1306</v>
      </c>
      <c r="CI501" s="516">
        <v>1244</v>
      </c>
      <c r="CJ501" s="516">
        <v>1342</v>
      </c>
      <c r="CK501" s="516">
        <v>991</v>
      </c>
      <c r="CL501" s="516">
        <v>942</v>
      </c>
      <c r="CM501" s="516">
        <v>905</v>
      </c>
      <c r="CN501" s="516">
        <v>742</v>
      </c>
      <c r="CO501" s="516">
        <v>691</v>
      </c>
      <c r="CP501" s="516">
        <v>611</v>
      </c>
      <c r="CQ501" s="516">
        <v>589</v>
      </c>
      <c r="CR501" s="516">
        <v>538</v>
      </c>
      <c r="CS501" s="516">
        <v>490</v>
      </c>
      <c r="CT501" s="516">
        <v>446</v>
      </c>
      <c r="CU501" s="516">
        <v>394</v>
      </c>
      <c r="CV501" s="516">
        <v>368</v>
      </c>
      <c r="CW501" s="516">
        <v>281</v>
      </c>
      <c r="CX501" s="516">
        <v>249</v>
      </c>
      <c r="CY501" s="516">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16">
        <v>856</v>
      </c>
      <c r="N502" s="516">
        <v>866</v>
      </c>
      <c r="O502" s="516">
        <v>854</v>
      </c>
      <c r="P502" s="516">
        <v>934</v>
      </c>
      <c r="Q502" s="516">
        <v>976</v>
      </c>
      <c r="R502" s="516">
        <v>1016</v>
      </c>
      <c r="S502" s="516">
        <v>1068</v>
      </c>
      <c r="T502" s="516">
        <v>1057</v>
      </c>
      <c r="U502" s="516">
        <v>1032</v>
      </c>
      <c r="V502" s="516">
        <v>1077</v>
      </c>
      <c r="W502" s="516">
        <v>1158</v>
      </c>
      <c r="X502" s="516">
        <v>1168</v>
      </c>
      <c r="Y502" s="516">
        <v>1148</v>
      </c>
      <c r="Z502" s="516">
        <v>1099</v>
      </c>
      <c r="AA502" s="516">
        <v>1137</v>
      </c>
      <c r="AB502" s="516">
        <v>1146</v>
      </c>
      <c r="AC502" s="516">
        <v>1150</v>
      </c>
      <c r="AD502" s="516">
        <v>1098</v>
      </c>
      <c r="AE502" s="516">
        <v>1071</v>
      </c>
      <c r="AF502" s="516">
        <v>898</v>
      </c>
      <c r="AG502" s="516">
        <v>829</v>
      </c>
      <c r="AH502" s="516">
        <v>834</v>
      </c>
      <c r="AI502" s="516">
        <v>847</v>
      </c>
      <c r="AJ502" s="516">
        <v>907</v>
      </c>
      <c r="AK502" s="516">
        <v>957</v>
      </c>
      <c r="AL502" s="516">
        <v>1013</v>
      </c>
      <c r="AM502" s="516">
        <v>1000</v>
      </c>
      <c r="AN502" s="516">
        <v>923</v>
      </c>
      <c r="AO502" s="516">
        <v>977</v>
      </c>
      <c r="AP502" s="516">
        <v>975</v>
      </c>
      <c r="AQ502" s="516">
        <v>1005</v>
      </c>
      <c r="AR502" s="516">
        <v>1049</v>
      </c>
      <c r="AS502" s="516">
        <v>1077</v>
      </c>
      <c r="AT502" s="516">
        <v>1035</v>
      </c>
      <c r="AU502" s="516">
        <v>1116</v>
      </c>
      <c r="AV502" s="516">
        <v>1060</v>
      </c>
      <c r="AW502" s="516">
        <v>1050</v>
      </c>
      <c r="AX502" s="516">
        <v>991</v>
      </c>
      <c r="AY502" s="516">
        <v>1021</v>
      </c>
      <c r="AZ502" s="516">
        <v>1015</v>
      </c>
      <c r="BA502" s="516">
        <v>996</v>
      </c>
      <c r="BB502" s="516">
        <v>1033</v>
      </c>
      <c r="BC502" s="516">
        <v>1042</v>
      </c>
      <c r="BD502" s="516">
        <v>1003</v>
      </c>
      <c r="BE502" s="516">
        <v>929</v>
      </c>
      <c r="BF502" s="516">
        <v>918</v>
      </c>
      <c r="BG502" s="516">
        <v>1008</v>
      </c>
      <c r="BH502" s="516">
        <v>1037</v>
      </c>
      <c r="BI502" s="516">
        <v>1074</v>
      </c>
      <c r="BJ502" s="516">
        <v>1130</v>
      </c>
      <c r="BK502" s="516">
        <v>1203</v>
      </c>
      <c r="BL502" s="516">
        <v>1281</v>
      </c>
      <c r="BM502" s="516">
        <v>1243</v>
      </c>
      <c r="BN502" s="516">
        <v>1231</v>
      </c>
      <c r="BO502" s="516">
        <v>1260</v>
      </c>
      <c r="BP502" s="516">
        <v>1356</v>
      </c>
      <c r="BQ502" s="516">
        <v>1372</v>
      </c>
      <c r="BR502" s="516">
        <v>1413</v>
      </c>
      <c r="BS502" s="516">
        <v>1455</v>
      </c>
      <c r="BT502" s="516">
        <v>1317</v>
      </c>
      <c r="BU502" s="516">
        <v>1416</v>
      </c>
      <c r="BV502" s="516">
        <v>1373</v>
      </c>
      <c r="BW502" s="516">
        <v>1349</v>
      </c>
      <c r="BX502" s="516">
        <v>1279</v>
      </c>
      <c r="BY502" s="516">
        <v>1311</v>
      </c>
      <c r="BZ502" s="516">
        <v>1261</v>
      </c>
      <c r="CA502" s="516">
        <v>1172</v>
      </c>
      <c r="CB502" s="516">
        <v>1270</v>
      </c>
      <c r="CC502" s="516">
        <v>1212</v>
      </c>
      <c r="CD502" s="516">
        <v>1197</v>
      </c>
      <c r="CE502" s="516">
        <v>1164</v>
      </c>
      <c r="CF502" s="516">
        <v>1112</v>
      </c>
      <c r="CG502" s="516">
        <v>1141</v>
      </c>
      <c r="CH502" s="516">
        <v>1175</v>
      </c>
      <c r="CI502" s="516">
        <v>1186</v>
      </c>
      <c r="CJ502" s="516">
        <v>1175</v>
      </c>
      <c r="CK502" s="516">
        <v>999</v>
      </c>
      <c r="CL502" s="516">
        <v>920</v>
      </c>
      <c r="CM502" s="516">
        <v>863</v>
      </c>
      <c r="CN502" s="516">
        <v>789</v>
      </c>
      <c r="CO502" s="516">
        <v>736</v>
      </c>
      <c r="CP502" s="516">
        <v>619</v>
      </c>
      <c r="CQ502" s="516">
        <v>561</v>
      </c>
      <c r="CR502" s="516">
        <v>506</v>
      </c>
      <c r="CS502" s="516">
        <v>445</v>
      </c>
      <c r="CT502" s="516">
        <v>454</v>
      </c>
      <c r="CU502" s="516">
        <v>361</v>
      </c>
      <c r="CV502" s="516">
        <v>330</v>
      </c>
      <c r="CW502" s="516">
        <v>265</v>
      </c>
      <c r="CX502" s="516">
        <v>198</v>
      </c>
      <c r="CY502" s="516">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16">
        <v>276</v>
      </c>
      <c r="N503" s="516">
        <v>237</v>
      </c>
      <c r="O503" s="516">
        <v>271</v>
      </c>
      <c r="P503" s="516">
        <v>294</v>
      </c>
      <c r="Q503" s="516">
        <v>285</v>
      </c>
      <c r="R503" s="516">
        <v>312</v>
      </c>
      <c r="S503" s="516">
        <v>341</v>
      </c>
      <c r="T503" s="516">
        <v>317</v>
      </c>
      <c r="U503" s="516">
        <v>309</v>
      </c>
      <c r="V503" s="516">
        <v>360</v>
      </c>
      <c r="W503" s="516">
        <v>360</v>
      </c>
      <c r="X503" s="516">
        <v>370</v>
      </c>
      <c r="Y503" s="516">
        <v>368</v>
      </c>
      <c r="Z503" s="516">
        <v>326</v>
      </c>
      <c r="AA503" s="516">
        <v>334</v>
      </c>
      <c r="AB503" s="516">
        <v>346</v>
      </c>
      <c r="AC503" s="516">
        <v>355</v>
      </c>
      <c r="AD503" s="516">
        <v>378</v>
      </c>
      <c r="AE503" s="516">
        <v>435</v>
      </c>
      <c r="AF503" s="516">
        <v>855</v>
      </c>
      <c r="AG503" s="516">
        <v>809</v>
      </c>
      <c r="AH503" s="516">
        <v>767</v>
      </c>
      <c r="AI503" s="516">
        <v>615</v>
      </c>
      <c r="AJ503" s="516">
        <v>548</v>
      </c>
      <c r="AK503" s="516">
        <v>432</v>
      </c>
      <c r="AL503" s="516">
        <v>350</v>
      </c>
      <c r="AM503" s="516">
        <v>336</v>
      </c>
      <c r="AN503" s="516">
        <v>361</v>
      </c>
      <c r="AO503" s="516">
        <v>363</v>
      </c>
      <c r="AP503" s="516">
        <v>307</v>
      </c>
      <c r="AQ503" s="516">
        <v>338</v>
      </c>
      <c r="AR503" s="516">
        <v>347</v>
      </c>
      <c r="AS503" s="516">
        <v>354</v>
      </c>
      <c r="AT503" s="516">
        <v>356</v>
      </c>
      <c r="AU503" s="516">
        <v>352</v>
      </c>
      <c r="AV503" s="516">
        <v>311</v>
      </c>
      <c r="AW503" s="516">
        <v>316</v>
      </c>
      <c r="AX503" s="516">
        <v>334</v>
      </c>
      <c r="AY503" s="516">
        <v>320</v>
      </c>
      <c r="AZ503" s="516">
        <v>335</v>
      </c>
      <c r="BA503" s="516">
        <v>353</v>
      </c>
      <c r="BB503" s="516">
        <v>347</v>
      </c>
      <c r="BC503" s="516">
        <v>316</v>
      </c>
      <c r="BD503" s="516">
        <v>308</v>
      </c>
      <c r="BE503" s="516">
        <v>280</v>
      </c>
      <c r="BF503" s="516">
        <v>309</v>
      </c>
      <c r="BG503" s="516">
        <v>342</v>
      </c>
      <c r="BH503" s="516">
        <v>348</v>
      </c>
      <c r="BI503" s="516">
        <v>356</v>
      </c>
      <c r="BJ503" s="516">
        <v>339</v>
      </c>
      <c r="BK503" s="516">
        <v>402</v>
      </c>
      <c r="BL503" s="516">
        <v>431</v>
      </c>
      <c r="BM503" s="516">
        <v>435</v>
      </c>
      <c r="BN503" s="516">
        <v>504</v>
      </c>
      <c r="BO503" s="516">
        <v>475</v>
      </c>
      <c r="BP503" s="516">
        <v>496</v>
      </c>
      <c r="BQ503" s="516">
        <v>511</v>
      </c>
      <c r="BR503" s="516">
        <v>501</v>
      </c>
      <c r="BS503" s="516">
        <v>541</v>
      </c>
      <c r="BT503" s="516">
        <v>553</v>
      </c>
      <c r="BU503" s="516">
        <v>538</v>
      </c>
      <c r="BV503" s="516">
        <v>517</v>
      </c>
      <c r="BW503" s="516">
        <v>495</v>
      </c>
      <c r="BX503" s="516">
        <v>529</v>
      </c>
      <c r="BY503" s="516">
        <v>518</v>
      </c>
      <c r="BZ503" s="516">
        <v>495</v>
      </c>
      <c r="CA503" s="516">
        <v>519</v>
      </c>
      <c r="CB503" s="516">
        <v>491</v>
      </c>
      <c r="CC503" s="516">
        <v>490</v>
      </c>
      <c r="CD503" s="516">
        <v>448</v>
      </c>
      <c r="CE503" s="516">
        <v>472</v>
      </c>
      <c r="CF503" s="516">
        <v>453</v>
      </c>
      <c r="CG503" s="516">
        <v>454</v>
      </c>
      <c r="CH503" s="516">
        <v>509</v>
      </c>
      <c r="CI503" s="516">
        <v>531</v>
      </c>
      <c r="CJ503" s="516">
        <v>500</v>
      </c>
      <c r="CK503" s="516">
        <v>376</v>
      </c>
      <c r="CL503" s="516">
        <v>376</v>
      </c>
      <c r="CM503" s="516">
        <v>354</v>
      </c>
      <c r="CN503" s="516">
        <v>347</v>
      </c>
      <c r="CO503" s="516">
        <v>289</v>
      </c>
      <c r="CP503" s="516">
        <v>213</v>
      </c>
      <c r="CQ503" s="516">
        <v>241</v>
      </c>
      <c r="CR503" s="516">
        <v>198</v>
      </c>
      <c r="CS503" s="516">
        <v>175</v>
      </c>
      <c r="CT503" s="516">
        <v>168</v>
      </c>
      <c r="CU503" s="516">
        <v>134</v>
      </c>
      <c r="CV503" s="516">
        <v>115</v>
      </c>
      <c r="CW503" s="516">
        <v>97</v>
      </c>
      <c r="CX503" s="516">
        <v>84</v>
      </c>
      <c r="CY503" s="516">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16">
        <v>483</v>
      </c>
      <c r="N504" s="516">
        <v>469</v>
      </c>
      <c r="O504" s="516">
        <v>522</v>
      </c>
      <c r="P504" s="516">
        <v>523</v>
      </c>
      <c r="Q504" s="516">
        <v>549</v>
      </c>
      <c r="R504" s="516">
        <v>540</v>
      </c>
      <c r="S504" s="516">
        <v>563</v>
      </c>
      <c r="T504" s="516">
        <v>620</v>
      </c>
      <c r="U504" s="516">
        <v>583</v>
      </c>
      <c r="V504" s="516">
        <v>622</v>
      </c>
      <c r="W504" s="516">
        <v>611</v>
      </c>
      <c r="X504" s="516">
        <v>686</v>
      </c>
      <c r="Y504" s="516">
        <v>621</v>
      </c>
      <c r="Z504" s="516">
        <v>634</v>
      </c>
      <c r="AA504" s="516">
        <v>601</v>
      </c>
      <c r="AB504" s="516">
        <v>642</v>
      </c>
      <c r="AC504" s="516">
        <v>627</v>
      </c>
      <c r="AD504" s="516">
        <v>641</v>
      </c>
      <c r="AE504" s="516">
        <v>613</v>
      </c>
      <c r="AF504" s="516">
        <v>404</v>
      </c>
      <c r="AG504" s="516">
        <v>422</v>
      </c>
      <c r="AH504" s="516">
        <v>441</v>
      </c>
      <c r="AI504" s="516">
        <v>543</v>
      </c>
      <c r="AJ504" s="516">
        <v>525</v>
      </c>
      <c r="AK504" s="516">
        <v>583</v>
      </c>
      <c r="AL504" s="516">
        <v>572</v>
      </c>
      <c r="AM504" s="516">
        <v>471</v>
      </c>
      <c r="AN504" s="516">
        <v>561</v>
      </c>
      <c r="AO504" s="516">
        <v>538</v>
      </c>
      <c r="AP504" s="516">
        <v>526</v>
      </c>
      <c r="AQ504" s="516">
        <v>576</v>
      </c>
      <c r="AR504" s="516">
        <v>623</v>
      </c>
      <c r="AS504" s="516">
        <v>576</v>
      </c>
      <c r="AT504" s="516">
        <v>615</v>
      </c>
      <c r="AU504" s="516">
        <v>597</v>
      </c>
      <c r="AV504" s="516">
        <v>594</v>
      </c>
      <c r="AW504" s="516">
        <v>552</v>
      </c>
      <c r="AX504" s="516">
        <v>589</v>
      </c>
      <c r="AY504" s="516">
        <v>559</v>
      </c>
      <c r="AZ504" s="516">
        <v>543</v>
      </c>
      <c r="BA504" s="516">
        <v>551</v>
      </c>
      <c r="BB504" s="516">
        <v>596</v>
      </c>
      <c r="BC504" s="516">
        <v>626</v>
      </c>
      <c r="BD504" s="516">
        <v>555</v>
      </c>
      <c r="BE504" s="516">
        <v>470</v>
      </c>
      <c r="BF504" s="516">
        <v>555</v>
      </c>
      <c r="BG504" s="516">
        <v>559</v>
      </c>
      <c r="BH504" s="516">
        <v>569</v>
      </c>
      <c r="BI504" s="516">
        <v>603</v>
      </c>
      <c r="BJ504" s="516">
        <v>679</v>
      </c>
      <c r="BK504" s="516">
        <v>788</v>
      </c>
      <c r="BL504" s="516">
        <v>775</v>
      </c>
      <c r="BM504" s="516">
        <v>750</v>
      </c>
      <c r="BN504" s="516">
        <v>805</v>
      </c>
      <c r="BO504" s="516">
        <v>775</v>
      </c>
      <c r="BP504" s="516">
        <v>819</v>
      </c>
      <c r="BQ504" s="516">
        <v>862</v>
      </c>
      <c r="BR504" s="516">
        <v>890</v>
      </c>
      <c r="BS504" s="516">
        <v>870</v>
      </c>
      <c r="BT504" s="516">
        <v>881</v>
      </c>
      <c r="BU504" s="516">
        <v>879</v>
      </c>
      <c r="BV504" s="516">
        <v>894</v>
      </c>
      <c r="BW504" s="516">
        <v>876</v>
      </c>
      <c r="BX504" s="516">
        <v>830</v>
      </c>
      <c r="BY504" s="516">
        <v>792</v>
      </c>
      <c r="BZ504" s="516">
        <v>785</v>
      </c>
      <c r="CA504" s="516">
        <v>740</v>
      </c>
      <c r="CB504" s="516">
        <v>717</v>
      </c>
      <c r="CC504" s="516">
        <v>789</v>
      </c>
      <c r="CD504" s="516">
        <v>744</v>
      </c>
      <c r="CE504" s="516">
        <v>734</v>
      </c>
      <c r="CF504" s="516">
        <v>780</v>
      </c>
      <c r="CG504" s="516">
        <v>723</v>
      </c>
      <c r="CH504" s="516">
        <v>809</v>
      </c>
      <c r="CI504" s="516">
        <v>853</v>
      </c>
      <c r="CJ504" s="516">
        <v>851</v>
      </c>
      <c r="CK504" s="516">
        <v>673</v>
      </c>
      <c r="CL504" s="516">
        <v>628</v>
      </c>
      <c r="CM504" s="516">
        <v>602</v>
      </c>
      <c r="CN504" s="516">
        <v>548</v>
      </c>
      <c r="CO504" s="516">
        <v>479</v>
      </c>
      <c r="CP504" s="516">
        <v>400</v>
      </c>
      <c r="CQ504" s="516">
        <v>367</v>
      </c>
      <c r="CR504" s="516">
        <v>373</v>
      </c>
      <c r="CS504" s="516">
        <v>296</v>
      </c>
      <c r="CT504" s="516">
        <v>289</v>
      </c>
      <c r="CU504" s="516">
        <v>267</v>
      </c>
      <c r="CV504" s="516">
        <v>251</v>
      </c>
      <c r="CW504" s="516">
        <v>195</v>
      </c>
      <c r="CX504" s="516">
        <v>194</v>
      </c>
      <c r="CY504" s="516">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16">
        <v>457</v>
      </c>
      <c r="N505" s="516">
        <v>493</v>
      </c>
      <c r="O505" s="516">
        <v>520</v>
      </c>
      <c r="P505" s="516">
        <v>480</v>
      </c>
      <c r="Q505" s="516">
        <v>486</v>
      </c>
      <c r="R505" s="516">
        <v>551</v>
      </c>
      <c r="S505" s="516">
        <v>523</v>
      </c>
      <c r="T505" s="516">
        <v>558</v>
      </c>
      <c r="U505" s="516">
        <v>524</v>
      </c>
      <c r="V505" s="516">
        <v>561</v>
      </c>
      <c r="W505" s="516">
        <v>567</v>
      </c>
      <c r="X505" s="516">
        <v>592</v>
      </c>
      <c r="Y505" s="516">
        <v>615</v>
      </c>
      <c r="Z505" s="516">
        <v>593</v>
      </c>
      <c r="AA505" s="516">
        <v>609</v>
      </c>
      <c r="AB505" s="516">
        <v>587</v>
      </c>
      <c r="AC505" s="516">
        <v>587</v>
      </c>
      <c r="AD505" s="516">
        <v>627</v>
      </c>
      <c r="AE505" s="516">
        <v>551</v>
      </c>
      <c r="AF505" s="516">
        <v>439</v>
      </c>
      <c r="AG505" s="516">
        <v>422</v>
      </c>
      <c r="AH505" s="516">
        <v>434</v>
      </c>
      <c r="AI505" s="516">
        <v>423</v>
      </c>
      <c r="AJ505" s="516">
        <v>470</v>
      </c>
      <c r="AK505" s="516">
        <v>490</v>
      </c>
      <c r="AL505" s="516">
        <v>482</v>
      </c>
      <c r="AM505" s="516">
        <v>514</v>
      </c>
      <c r="AN505" s="516">
        <v>470</v>
      </c>
      <c r="AO505" s="516">
        <v>500</v>
      </c>
      <c r="AP505" s="516">
        <v>483</v>
      </c>
      <c r="AQ505" s="516">
        <v>507</v>
      </c>
      <c r="AR505" s="516">
        <v>516</v>
      </c>
      <c r="AS505" s="516">
        <v>511</v>
      </c>
      <c r="AT505" s="516">
        <v>471</v>
      </c>
      <c r="AU505" s="516">
        <v>530</v>
      </c>
      <c r="AV505" s="516">
        <v>513</v>
      </c>
      <c r="AW505" s="516">
        <v>510</v>
      </c>
      <c r="AX505" s="516">
        <v>477</v>
      </c>
      <c r="AY505" s="516">
        <v>509</v>
      </c>
      <c r="AZ505" s="516">
        <v>424</v>
      </c>
      <c r="BA505" s="516">
        <v>488</v>
      </c>
      <c r="BB505" s="516">
        <v>496</v>
      </c>
      <c r="BC505" s="516">
        <v>500</v>
      </c>
      <c r="BD505" s="516">
        <v>478</v>
      </c>
      <c r="BE505" s="516">
        <v>422</v>
      </c>
      <c r="BF505" s="516">
        <v>464</v>
      </c>
      <c r="BG505" s="516">
        <v>515</v>
      </c>
      <c r="BH505" s="516">
        <v>516</v>
      </c>
      <c r="BI505" s="516">
        <v>525</v>
      </c>
      <c r="BJ505" s="516">
        <v>532</v>
      </c>
      <c r="BK505" s="516">
        <v>646</v>
      </c>
      <c r="BL505" s="516">
        <v>654</v>
      </c>
      <c r="BM505" s="516">
        <v>645</v>
      </c>
      <c r="BN505" s="516">
        <v>662</v>
      </c>
      <c r="BO505" s="516">
        <v>643</v>
      </c>
      <c r="BP505" s="516">
        <v>715</v>
      </c>
      <c r="BQ505" s="516">
        <v>681</v>
      </c>
      <c r="BR505" s="516">
        <v>758</v>
      </c>
      <c r="BS505" s="516">
        <v>746</v>
      </c>
      <c r="BT505" s="516">
        <v>697</v>
      </c>
      <c r="BU505" s="516">
        <v>737</v>
      </c>
      <c r="BV505" s="516">
        <v>654</v>
      </c>
      <c r="BW505" s="516">
        <v>713</v>
      </c>
      <c r="BX505" s="516">
        <v>665</v>
      </c>
      <c r="BY505" s="516">
        <v>635</v>
      </c>
      <c r="BZ505" s="516">
        <v>637</v>
      </c>
      <c r="CA505" s="516">
        <v>603</v>
      </c>
      <c r="CB505" s="516">
        <v>603</v>
      </c>
      <c r="CC505" s="516">
        <v>596</v>
      </c>
      <c r="CD505" s="516">
        <v>599</v>
      </c>
      <c r="CE505" s="516">
        <v>543</v>
      </c>
      <c r="CF505" s="516">
        <v>547</v>
      </c>
      <c r="CG505" s="516">
        <v>614</v>
      </c>
      <c r="CH505" s="516">
        <v>653</v>
      </c>
      <c r="CI505" s="516">
        <v>674</v>
      </c>
      <c r="CJ505" s="516">
        <v>666</v>
      </c>
      <c r="CK505" s="516">
        <v>469</v>
      </c>
      <c r="CL505" s="516">
        <v>446</v>
      </c>
      <c r="CM505" s="516">
        <v>473</v>
      </c>
      <c r="CN505" s="516">
        <v>443</v>
      </c>
      <c r="CO505" s="516">
        <v>359</v>
      </c>
      <c r="CP505" s="516">
        <v>328</v>
      </c>
      <c r="CQ505" s="516">
        <v>290</v>
      </c>
      <c r="CR505" s="516">
        <v>259</v>
      </c>
      <c r="CS505" s="516">
        <v>236</v>
      </c>
      <c r="CT505" s="516">
        <v>224</v>
      </c>
      <c r="CU505" s="516">
        <v>181</v>
      </c>
      <c r="CV505" s="516">
        <v>162</v>
      </c>
      <c r="CW505" s="516">
        <v>127</v>
      </c>
      <c r="CX505" s="516">
        <v>108</v>
      </c>
      <c r="CY505" s="516">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16">
        <v>701</v>
      </c>
      <c r="N506" s="516">
        <v>780</v>
      </c>
      <c r="O506" s="516">
        <v>775</v>
      </c>
      <c r="P506" s="516">
        <v>770</v>
      </c>
      <c r="Q506" s="516">
        <v>817</v>
      </c>
      <c r="R506" s="516">
        <v>825</v>
      </c>
      <c r="S506" s="516">
        <v>849</v>
      </c>
      <c r="T506" s="516">
        <v>888</v>
      </c>
      <c r="U506" s="516">
        <v>904</v>
      </c>
      <c r="V506" s="516">
        <v>899</v>
      </c>
      <c r="W506" s="516">
        <v>971</v>
      </c>
      <c r="X506" s="516">
        <v>933</v>
      </c>
      <c r="Y506" s="516">
        <v>1008</v>
      </c>
      <c r="Z506" s="516">
        <v>933</v>
      </c>
      <c r="AA506" s="516">
        <v>1033</v>
      </c>
      <c r="AB506" s="516">
        <v>950</v>
      </c>
      <c r="AC506" s="516">
        <v>903</v>
      </c>
      <c r="AD506" s="516">
        <v>944</v>
      </c>
      <c r="AE506" s="516">
        <v>881</v>
      </c>
      <c r="AF506" s="516">
        <v>661</v>
      </c>
      <c r="AG506" s="516">
        <v>648</v>
      </c>
      <c r="AH506" s="516">
        <v>673</v>
      </c>
      <c r="AI506" s="516">
        <v>728</v>
      </c>
      <c r="AJ506" s="516">
        <v>844</v>
      </c>
      <c r="AK506" s="516">
        <v>853</v>
      </c>
      <c r="AL506" s="516">
        <v>829</v>
      </c>
      <c r="AM506" s="516">
        <v>799</v>
      </c>
      <c r="AN506" s="516">
        <v>822</v>
      </c>
      <c r="AO506" s="516">
        <v>837</v>
      </c>
      <c r="AP506" s="516">
        <v>879</v>
      </c>
      <c r="AQ506" s="516">
        <v>1004</v>
      </c>
      <c r="AR506" s="516">
        <v>928</v>
      </c>
      <c r="AS506" s="516">
        <v>919</v>
      </c>
      <c r="AT506" s="516">
        <v>961</v>
      </c>
      <c r="AU506" s="516">
        <v>970</v>
      </c>
      <c r="AV506" s="516">
        <v>947</v>
      </c>
      <c r="AW506" s="516">
        <v>978</v>
      </c>
      <c r="AX506" s="516">
        <v>903</v>
      </c>
      <c r="AY506" s="516">
        <v>860</v>
      </c>
      <c r="AZ506" s="516">
        <v>889</v>
      </c>
      <c r="BA506" s="516">
        <v>925</v>
      </c>
      <c r="BB506" s="516">
        <v>916</v>
      </c>
      <c r="BC506" s="516">
        <v>930</v>
      </c>
      <c r="BD506" s="516">
        <v>875</v>
      </c>
      <c r="BE506" s="516">
        <v>855</v>
      </c>
      <c r="BF506" s="516">
        <v>802</v>
      </c>
      <c r="BG506" s="516">
        <v>825</v>
      </c>
      <c r="BH506" s="516">
        <v>925</v>
      </c>
      <c r="BI506" s="516">
        <v>970</v>
      </c>
      <c r="BJ506" s="516">
        <v>989</v>
      </c>
      <c r="BK506" s="516">
        <v>1124</v>
      </c>
      <c r="BL506" s="516">
        <v>1159</v>
      </c>
      <c r="BM506" s="516">
        <v>1172</v>
      </c>
      <c r="BN506" s="516">
        <v>1222</v>
      </c>
      <c r="BO506" s="516">
        <v>1193</v>
      </c>
      <c r="BP506" s="516">
        <v>1115</v>
      </c>
      <c r="BQ506" s="516">
        <v>1116</v>
      </c>
      <c r="BR506" s="516">
        <v>1156</v>
      </c>
      <c r="BS506" s="516">
        <v>1196</v>
      </c>
      <c r="BT506" s="516">
        <v>1096</v>
      </c>
      <c r="BU506" s="516">
        <v>1149</v>
      </c>
      <c r="BV506" s="516">
        <v>1060</v>
      </c>
      <c r="BW506" s="516">
        <v>1024</v>
      </c>
      <c r="BX506" s="516">
        <v>1036</v>
      </c>
      <c r="BY506" s="516">
        <v>912</v>
      </c>
      <c r="BZ506" s="516">
        <v>883</v>
      </c>
      <c r="CA506" s="516">
        <v>867</v>
      </c>
      <c r="CB506" s="516">
        <v>793</v>
      </c>
      <c r="CC506" s="516">
        <v>812</v>
      </c>
      <c r="CD506" s="516">
        <v>850</v>
      </c>
      <c r="CE506" s="516">
        <v>761</v>
      </c>
      <c r="CF506" s="516">
        <v>877</v>
      </c>
      <c r="CG506" s="516">
        <v>832</v>
      </c>
      <c r="CH506" s="516">
        <v>891</v>
      </c>
      <c r="CI506" s="516">
        <v>922</v>
      </c>
      <c r="CJ506" s="516">
        <v>1006</v>
      </c>
      <c r="CK506" s="516">
        <v>637</v>
      </c>
      <c r="CL506" s="516">
        <v>646</v>
      </c>
      <c r="CM506" s="516">
        <v>660</v>
      </c>
      <c r="CN506" s="516">
        <v>553</v>
      </c>
      <c r="CO506" s="516">
        <v>481</v>
      </c>
      <c r="CP506" s="516">
        <v>430</v>
      </c>
      <c r="CQ506" s="516">
        <v>426</v>
      </c>
      <c r="CR506" s="516">
        <v>354</v>
      </c>
      <c r="CS506" s="516">
        <v>350</v>
      </c>
      <c r="CT506" s="516">
        <v>287</v>
      </c>
      <c r="CU506" s="516">
        <v>257</v>
      </c>
      <c r="CV506" s="516">
        <v>212</v>
      </c>
      <c r="CW506" s="516">
        <v>170</v>
      </c>
      <c r="CX506" s="516">
        <v>138</v>
      </c>
      <c r="CY506" s="516">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16">
        <v>554</v>
      </c>
      <c r="N507" s="516">
        <v>518</v>
      </c>
      <c r="O507" s="516">
        <v>550</v>
      </c>
      <c r="P507" s="516">
        <v>548</v>
      </c>
      <c r="Q507" s="516">
        <v>593</v>
      </c>
      <c r="R507" s="516">
        <v>563</v>
      </c>
      <c r="S507" s="516">
        <v>656</v>
      </c>
      <c r="T507" s="516">
        <v>596</v>
      </c>
      <c r="U507" s="516">
        <v>662</v>
      </c>
      <c r="V507" s="516">
        <v>660</v>
      </c>
      <c r="W507" s="516">
        <v>664</v>
      </c>
      <c r="X507" s="516">
        <v>666</v>
      </c>
      <c r="Y507" s="516">
        <v>714</v>
      </c>
      <c r="Z507" s="516">
        <v>665</v>
      </c>
      <c r="AA507" s="516">
        <v>674</v>
      </c>
      <c r="AB507" s="516">
        <v>671</v>
      </c>
      <c r="AC507" s="516">
        <v>653</v>
      </c>
      <c r="AD507" s="516">
        <v>618</v>
      </c>
      <c r="AE507" s="516">
        <v>660</v>
      </c>
      <c r="AF507" s="516">
        <v>869</v>
      </c>
      <c r="AG507" s="516">
        <v>893</v>
      </c>
      <c r="AH507" s="516">
        <v>930</v>
      </c>
      <c r="AI507" s="516">
        <v>871</v>
      </c>
      <c r="AJ507" s="516">
        <v>777</v>
      </c>
      <c r="AK507" s="516">
        <v>709</v>
      </c>
      <c r="AL507" s="516">
        <v>648</v>
      </c>
      <c r="AM507" s="516">
        <v>637</v>
      </c>
      <c r="AN507" s="516">
        <v>635</v>
      </c>
      <c r="AO507" s="516">
        <v>676</v>
      </c>
      <c r="AP507" s="516">
        <v>659</v>
      </c>
      <c r="AQ507" s="516">
        <v>661</v>
      </c>
      <c r="AR507" s="516">
        <v>643</v>
      </c>
      <c r="AS507" s="516">
        <v>663</v>
      </c>
      <c r="AT507" s="516">
        <v>677</v>
      </c>
      <c r="AU507" s="516">
        <v>680</v>
      </c>
      <c r="AV507" s="516">
        <v>704</v>
      </c>
      <c r="AW507" s="516">
        <v>572</v>
      </c>
      <c r="AX507" s="516">
        <v>595</v>
      </c>
      <c r="AY507" s="516">
        <v>582</v>
      </c>
      <c r="AZ507" s="516">
        <v>586</v>
      </c>
      <c r="BA507" s="516">
        <v>589</v>
      </c>
      <c r="BB507" s="516">
        <v>603</v>
      </c>
      <c r="BC507" s="516">
        <v>613</v>
      </c>
      <c r="BD507" s="516">
        <v>569</v>
      </c>
      <c r="BE507" s="516">
        <v>557</v>
      </c>
      <c r="BF507" s="516">
        <v>575</v>
      </c>
      <c r="BG507" s="516">
        <v>581</v>
      </c>
      <c r="BH507" s="516">
        <v>606</v>
      </c>
      <c r="BI507" s="516">
        <v>678</v>
      </c>
      <c r="BJ507" s="516">
        <v>722</v>
      </c>
      <c r="BK507" s="516">
        <v>767</v>
      </c>
      <c r="BL507" s="516">
        <v>811</v>
      </c>
      <c r="BM507" s="516">
        <v>804</v>
      </c>
      <c r="BN507" s="516">
        <v>775</v>
      </c>
      <c r="BO507" s="516">
        <v>801</v>
      </c>
      <c r="BP507" s="516">
        <v>799</v>
      </c>
      <c r="BQ507" s="516">
        <v>858</v>
      </c>
      <c r="BR507" s="516">
        <v>866</v>
      </c>
      <c r="BS507" s="516">
        <v>874</v>
      </c>
      <c r="BT507" s="516">
        <v>888</v>
      </c>
      <c r="BU507" s="516">
        <v>867</v>
      </c>
      <c r="BV507" s="516">
        <v>849</v>
      </c>
      <c r="BW507" s="516">
        <v>771</v>
      </c>
      <c r="BX507" s="516">
        <v>768</v>
      </c>
      <c r="BY507" s="516">
        <v>811</v>
      </c>
      <c r="BZ507" s="516">
        <v>756</v>
      </c>
      <c r="CA507" s="516">
        <v>711</v>
      </c>
      <c r="CB507" s="516">
        <v>727</v>
      </c>
      <c r="CC507" s="516">
        <v>675</v>
      </c>
      <c r="CD507" s="516">
        <v>709</v>
      </c>
      <c r="CE507" s="516">
        <v>650</v>
      </c>
      <c r="CF507" s="516">
        <v>649</v>
      </c>
      <c r="CG507" s="516">
        <v>649</v>
      </c>
      <c r="CH507" s="516">
        <v>729</v>
      </c>
      <c r="CI507" s="516">
        <v>764</v>
      </c>
      <c r="CJ507" s="516">
        <v>736</v>
      </c>
      <c r="CK507" s="516">
        <v>589</v>
      </c>
      <c r="CL507" s="516">
        <v>522</v>
      </c>
      <c r="CM507" s="516">
        <v>521</v>
      </c>
      <c r="CN507" s="516">
        <v>483</v>
      </c>
      <c r="CO507" s="516">
        <v>379</v>
      </c>
      <c r="CP507" s="516">
        <v>308</v>
      </c>
      <c r="CQ507" s="516">
        <v>331</v>
      </c>
      <c r="CR507" s="516">
        <v>327</v>
      </c>
      <c r="CS507" s="516">
        <v>274</v>
      </c>
      <c r="CT507" s="516">
        <v>248</v>
      </c>
      <c r="CU507" s="516">
        <v>221</v>
      </c>
      <c r="CV507" s="516">
        <v>181</v>
      </c>
      <c r="CW507" s="516">
        <v>162</v>
      </c>
      <c r="CX507" s="516">
        <v>135</v>
      </c>
      <c r="CY507" s="516">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16">
        <v>273</v>
      </c>
      <c r="N508" s="516">
        <v>322</v>
      </c>
      <c r="O508" s="516">
        <v>305</v>
      </c>
      <c r="P508" s="516">
        <v>320</v>
      </c>
      <c r="Q508" s="516">
        <v>334</v>
      </c>
      <c r="R508" s="516">
        <v>383</v>
      </c>
      <c r="S508" s="516">
        <v>383</v>
      </c>
      <c r="T508" s="516">
        <v>361</v>
      </c>
      <c r="U508" s="516">
        <v>383</v>
      </c>
      <c r="V508" s="516">
        <v>411</v>
      </c>
      <c r="W508" s="516">
        <v>394</v>
      </c>
      <c r="X508" s="516">
        <v>440</v>
      </c>
      <c r="Y508" s="516">
        <v>405</v>
      </c>
      <c r="Z508" s="516">
        <v>438</v>
      </c>
      <c r="AA508" s="516">
        <v>385</v>
      </c>
      <c r="AB508" s="516">
        <v>392</v>
      </c>
      <c r="AC508" s="516">
        <v>391</v>
      </c>
      <c r="AD508" s="516">
        <v>389</v>
      </c>
      <c r="AE508" s="516">
        <v>348</v>
      </c>
      <c r="AF508" s="516">
        <v>299</v>
      </c>
      <c r="AG508" s="516">
        <v>302</v>
      </c>
      <c r="AH508" s="516">
        <v>273</v>
      </c>
      <c r="AI508" s="516">
        <v>297</v>
      </c>
      <c r="AJ508" s="516">
        <v>367</v>
      </c>
      <c r="AK508" s="516">
        <v>299</v>
      </c>
      <c r="AL508" s="516">
        <v>316</v>
      </c>
      <c r="AM508" s="516">
        <v>341</v>
      </c>
      <c r="AN508" s="516">
        <v>319</v>
      </c>
      <c r="AO508" s="516">
        <v>363</v>
      </c>
      <c r="AP508" s="516">
        <v>338</v>
      </c>
      <c r="AQ508" s="516">
        <v>332</v>
      </c>
      <c r="AR508" s="516">
        <v>349</v>
      </c>
      <c r="AS508" s="516">
        <v>346</v>
      </c>
      <c r="AT508" s="516">
        <v>349</v>
      </c>
      <c r="AU508" s="516">
        <v>381</v>
      </c>
      <c r="AV508" s="516">
        <v>373</v>
      </c>
      <c r="AW508" s="516">
        <v>310</v>
      </c>
      <c r="AX508" s="516">
        <v>347</v>
      </c>
      <c r="AY508" s="516">
        <v>371</v>
      </c>
      <c r="AZ508" s="516">
        <v>328</v>
      </c>
      <c r="BA508" s="516">
        <v>331</v>
      </c>
      <c r="BB508" s="516">
        <v>346</v>
      </c>
      <c r="BC508" s="516">
        <v>345</v>
      </c>
      <c r="BD508" s="516">
        <v>373</v>
      </c>
      <c r="BE508" s="516">
        <v>321</v>
      </c>
      <c r="BF508" s="516">
        <v>306</v>
      </c>
      <c r="BG508" s="516">
        <v>326</v>
      </c>
      <c r="BH508" s="516">
        <v>357</v>
      </c>
      <c r="BI508" s="516">
        <v>373</v>
      </c>
      <c r="BJ508" s="516">
        <v>436</v>
      </c>
      <c r="BK508" s="516">
        <v>448</v>
      </c>
      <c r="BL508" s="516">
        <v>493</v>
      </c>
      <c r="BM508" s="516">
        <v>440</v>
      </c>
      <c r="BN508" s="516">
        <v>466</v>
      </c>
      <c r="BO508" s="516">
        <v>481</v>
      </c>
      <c r="BP508" s="516">
        <v>523</v>
      </c>
      <c r="BQ508" s="516">
        <v>490</v>
      </c>
      <c r="BR508" s="516">
        <v>546</v>
      </c>
      <c r="BS508" s="516">
        <v>515</v>
      </c>
      <c r="BT508" s="516">
        <v>563</v>
      </c>
      <c r="BU508" s="516">
        <v>503</v>
      </c>
      <c r="BV508" s="516">
        <v>511</v>
      </c>
      <c r="BW508" s="516">
        <v>539</v>
      </c>
      <c r="BX508" s="516">
        <v>521</v>
      </c>
      <c r="BY508" s="516">
        <v>482</v>
      </c>
      <c r="BZ508" s="516">
        <v>468</v>
      </c>
      <c r="CA508" s="516">
        <v>489</v>
      </c>
      <c r="CB508" s="516">
        <v>476</v>
      </c>
      <c r="CC508" s="516">
        <v>458</v>
      </c>
      <c r="CD508" s="516">
        <v>460</v>
      </c>
      <c r="CE508" s="516">
        <v>458</v>
      </c>
      <c r="CF508" s="516">
        <v>438</v>
      </c>
      <c r="CG508" s="516">
        <v>468</v>
      </c>
      <c r="CH508" s="516">
        <v>490</v>
      </c>
      <c r="CI508" s="516">
        <v>504</v>
      </c>
      <c r="CJ508" s="516">
        <v>484</v>
      </c>
      <c r="CK508" s="516">
        <v>343</v>
      </c>
      <c r="CL508" s="516">
        <v>365</v>
      </c>
      <c r="CM508" s="516">
        <v>374</v>
      </c>
      <c r="CN508" s="516">
        <v>344</v>
      </c>
      <c r="CO508" s="516">
        <v>273</v>
      </c>
      <c r="CP508" s="516">
        <v>244</v>
      </c>
      <c r="CQ508" s="516">
        <v>233</v>
      </c>
      <c r="CR508" s="516">
        <v>249</v>
      </c>
      <c r="CS508" s="516">
        <v>194</v>
      </c>
      <c r="CT508" s="516">
        <v>174</v>
      </c>
      <c r="CU508" s="516">
        <v>143</v>
      </c>
      <c r="CV508" s="516">
        <v>115</v>
      </c>
      <c r="CW508" s="516">
        <v>82</v>
      </c>
      <c r="CX508" s="516">
        <v>77</v>
      </c>
      <c r="CY508" s="516">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16">
        <v>322</v>
      </c>
      <c r="N509" s="516">
        <v>325</v>
      </c>
      <c r="O509" s="516">
        <v>329</v>
      </c>
      <c r="P509" s="516">
        <v>309</v>
      </c>
      <c r="Q509" s="516">
        <v>371</v>
      </c>
      <c r="R509" s="516">
        <v>402</v>
      </c>
      <c r="S509" s="516">
        <v>381</v>
      </c>
      <c r="T509" s="516">
        <v>384</v>
      </c>
      <c r="U509" s="516">
        <v>350</v>
      </c>
      <c r="V509" s="516">
        <v>355</v>
      </c>
      <c r="W509" s="516">
        <v>378</v>
      </c>
      <c r="X509" s="516">
        <v>405</v>
      </c>
      <c r="Y509" s="516">
        <v>360</v>
      </c>
      <c r="Z509" s="516">
        <v>363</v>
      </c>
      <c r="AA509" s="516">
        <v>375</v>
      </c>
      <c r="AB509" s="516">
        <v>379</v>
      </c>
      <c r="AC509" s="516">
        <v>337</v>
      </c>
      <c r="AD509" s="516">
        <v>307</v>
      </c>
      <c r="AE509" s="516">
        <v>319</v>
      </c>
      <c r="AF509" s="516">
        <v>333</v>
      </c>
      <c r="AG509" s="516">
        <v>297</v>
      </c>
      <c r="AH509" s="516">
        <v>289</v>
      </c>
      <c r="AI509" s="516">
        <v>333</v>
      </c>
      <c r="AJ509" s="516">
        <v>329</v>
      </c>
      <c r="AK509" s="516">
        <v>314</v>
      </c>
      <c r="AL509" s="516">
        <v>356</v>
      </c>
      <c r="AM509" s="516">
        <v>342</v>
      </c>
      <c r="AN509" s="516">
        <v>329</v>
      </c>
      <c r="AO509" s="516">
        <v>375</v>
      </c>
      <c r="AP509" s="516">
        <v>373</v>
      </c>
      <c r="AQ509" s="516">
        <v>362</v>
      </c>
      <c r="AR509" s="516">
        <v>382</v>
      </c>
      <c r="AS509" s="516">
        <v>390</v>
      </c>
      <c r="AT509" s="516">
        <v>371</v>
      </c>
      <c r="AU509" s="516">
        <v>386</v>
      </c>
      <c r="AV509" s="516">
        <v>397</v>
      </c>
      <c r="AW509" s="516">
        <v>396</v>
      </c>
      <c r="AX509" s="516">
        <v>417</v>
      </c>
      <c r="AY509" s="516">
        <v>405</v>
      </c>
      <c r="AZ509" s="516">
        <v>353</v>
      </c>
      <c r="BA509" s="516">
        <v>345</v>
      </c>
      <c r="BB509" s="516">
        <v>368</v>
      </c>
      <c r="BC509" s="516">
        <v>386</v>
      </c>
      <c r="BD509" s="516">
        <v>340</v>
      </c>
      <c r="BE509" s="516">
        <v>284</v>
      </c>
      <c r="BF509" s="516">
        <v>280</v>
      </c>
      <c r="BG509" s="516">
        <v>319</v>
      </c>
      <c r="BH509" s="516">
        <v>331</v>
      </c>
      <c r="BI509" s="516">
        <v>303</v>
      </c>
      <c r="BJ509" s="516">
        <v>340</v>
      </c>
      <c r="BK509" s="516">
        <v>362</v>
      </c>
      <c r="BL509" s="516">
        <v>394</v>
      </c>
      <c r="BM509" s="516">
        <v>378</v>
      </c>
      <c r="BN509" s="516">
        <v>423</v>
      </c>
      <c r="BO509" s="516">
        <v>387</v>
      </c>
      <c r="BP509" s="516">
        <v>385</v>
      </c>
      <c r="BQ509" s="516">
        <v>419</v>
      </c>
      <c r="BR509" s="516">
        <v>416</v>
      </c>
      <c r="BS509" s="516">
        <v>421</v>
      </c>
      <c r="BT509" s="516">
        <v>381</v>
      </c>
      <c r="BU509" s="516">
        <v>405</v>
      </c>
      <c r="BV509" s="516">
        <v>379</v>
      </c>
      <c r="BW509" s="516">
        <v>383</v>
      </c>
      <c r="BX509" s="516">
        <v>405</v>
      </c>
      <c r="BY509" s="516">
        <v>393</v>
      </c>
      <c r="BZ509" s="516">
        <v>324</v>
      </c>
      <c r="CA509" s="516">
        <v>306</v>
      </c>
      <c r="CB509" s="516">
        <v>295</v>
      </c>
      <c r="CC509" s="516">
        <v>323</v>
      </c>
      <c r="CD509" s="516">
        <v>301</v>
      </c>
      <c r="CE509" s="516">
        <v>295</v>
      </c>
      <c r="CF509" s="516">
        <v>300</v>
      </c>
      <c r="CG509" s="516">
        <v>276</v>
      </c>
      <c r="CH509" s="516">
        <v>314</v>
      </c>
      <c r="CI509" s="516">
        <v>295</v>
      </c>
      <c r="CJ509" s="516">
        <v>264</v>
      </c>
      <c r="CK509" s="516">
        <v>208</v>
      </c>
      <c r="CL509" s="516">
        <v>225</v>
      </c>
      <c r="CM509" s="516">
        <v>219</v>
      </c>
      <c r="CN509" s="516">
        <v>190</v>
      </c>
      <c r="CO509" s="516">
        <v>177</v>
      </c>
      <c r="CP509" s="516">
        <v>123</v>
      </c>
      <c r="CQ509" s="516">
        <v>131</v>
      </c>
      <c r="CR509" s="516">
        <v>119</v>
      </c>
      <c r="CS509" s="516">
        <v>109</v>
      </c>
      <c r="CT509" s="516">
        <v>95</v>
      </c>
      <c r="CU509" s="516">
        <v>84</v>
      </c>
      <c r="CV509" s="516">
        <v>76</v>
      </c>
      <c r="CW509" s="516">
        <v>50</v>
      </c>
      <c r="CX509" s="516">
        <v>44</v>
      </c>
      <c r="CY509" s="516">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16">
        <v>377</v>
      </c>
      <c r="N510" s="516">
        <v>383</v>
      </c>
      <c r="O510" s="516">
        <v>404</v>
      </c>
      <c r="P510" s="516">
        <v>394</v>
      </c>
      <c r="Q510" s="516">
        <v>447</v>
      </c>
      <c r="R510" s="516">
        <v>478</v>
      </c>
      <c r="S510" s="516">
        <v>490</v>
      </c>
      <c r="T510" s="516">
        <v>485</v>
      </c>
      <c r="U510" s="516">
        <v>489</v>
      </c>
      <c r="V510" s="516">
        <v>501</v>
      </c>
      <c r="W510" s="516">
        <v>531</v>
      </c>
      <c r="X510" s="516">
        <v>542</v>
      </c>
      <c r="Y510" s="516">
        <v>515</v>
      </c>
      <c r="Z510" s="516">
        <v>563</v>
      </c>
      <c r="AA510" s="516">
        <v>550</v>
      </c>
      <c r="AB510" s="516">
        <v>559</v>
      </c>
      <c r="AC510" s="516">
        <v>524</v>
      </c>
      <c r="AD510" s="516">
        <v>545</v>
      </c>
      <c r="AE510" s="516">
        <v>490</v>
      </c>
      <c r="AF510" s="516">
        <v>319</v>
      </c>
      <c r="AG510" s="516">
        <v>335</v>
      </c>
      <c r="AH510" s="516">
        <v>372</v>
      </c>
      <c r="AI510" s="516">
        <v>418</v>
      </c>
      <c r="AJ510" s="516">
        <v>441</v>
      </c>
      <c r="AK510" s="516">
        <v>398</v>
      </c>
      <c r="AL510" s="516">
        <v>495</v>
      </c>
      <c r="AM510" s="516">
        <v>449</v>
      </c>
      <c r="AN510" s="516">
        <v>462</v>
      </c>
      <c r="AO510" s="516">
        <v>457</v>
      </c>
      <c r="AP510" s="516">
        <v>442</v>
      </c>
      <c r="AQ510" s="516">
        <v>500</v>
      </c>
      <c r="AR510" s="516">
        <v>537</v>
      </c>
      <c r="AS510" s="516">
        <v>477</v>
      </c>
      <c r="AT510" s="516">
        <v>516</v>
      </c>
      <c r="AU510" s="516">
        <v>453</v>
      </c>
      <c r="AV510" s="516">
        <v>485</v>
      </c>
      <c r="AW510" s="516">
        <v>490</v>
      </c>
      <c r="AX510" s="516">
        <v>484</v>
      </c>
      <c r="AY510" s="516">
        <v>482</v>
      </c>
      <c r="AZ510" s="516">
        <v>486</v>
      </c>
      <c r="BA510" s="516">
        <v>499</v>
      </c>
      <c r="BB510" s="516">
        <v>471</v>
      </c>
      <c r="BC510" s="516">
        <v>509</v>
      </c>
      <c r="BD510" s="516">
        <v>520</v>
      </c>
      <c r="BE510" s="516">
        <v>463</v>
      </c>
      <c r="BF510" s="516">
        <v>519</v>
      </c>
      <c r="BG510" s="516">
        <v>496</v>
      </c>
      <c r="BH510" s="516">
        <v>549</v>
      </c>
      <c r="BI510" s="516">
        <v>538</v>
      </c>
      <c r="BJ510" s="516">
        <v>592</v>
      </c>
      <c r="BK510" s="516">
        <v>667</v>
      </c>
      <c r="BL510" s="516">
        <v>708</v>
      </c>
      <c r="BM510" s="516">
        <v>648</v>
      </c>
      <c r="BN510" s="516">
        <v>693</v>
      </c>
      <c r="BO510" s="516">
        <v>749</v>
      </c>
      <c r="BP510" s="516">
        <v>752</v>
      </c>
      <c r="BQ510" s="516">
        <v>784</v>
      </c>
      <c r="BR510" s="516">
        <v>766</v>
      </c>
      <c r="BS510" s="516">
        <v>756</v>
      </c>
      <c r="BT510" s="516">
        <v>782</v>
      </c>
      <c r="BU510" s="516">
        <v>721</v>
      </c>
      <c r="BV510" s="516">
        <v>717</v>
      </c>
      <c r="BW510" s="516">
        <v>665</v>
      </c>
      <c r="BX510" s="516">
        <v>635</v>
      </c>
      <c r="BY510" s="516">
        <v>685</v>
      </c>
      <c r="BZ510" s="516">
        <v>628</v>
      </c>
      <c r="CA510" s="516">
        <v>575</v>
      </c>
      <c r="CB510" s="516">
        <v>602</v>
      </c>
      <c r="CC510" s="516">
        <v>554</v>
      </c>
      <c r="CD510" s="516">
        <v>603</v>
      </c>
      <c r="CE510" s="516">
        <v>611</v>
      </c>
      <c r="CF510" s="516">
        <v>578</v>
      </c>
      <c r="CG510" s="516">
        <v>625</v>
      </c>
      <c r="CH510" s="516">
        <v>605</v>
      </c>
      <c r="CI510" s="516">
        <v>606</v>
      </c>
      <c r="CJ510" s="516">
        <v>658</v>
      </c>
      <c r="CK510" s="516">
        <v>487</v>
      </c>
      <c r="CL510" s="516">
        <v>470</v>
      </c>
      <c r="CM510" s="516">
        <v>490</v>
      </c>
      <c r="CN510" s="516">
        <v>437</v>
      </c>
      <c r="CO510" s="516">
        <v>368</v>
      </c>
      <c r="CP510" s="516">
        <v>310</v>
      </c>
      <c r="CQ510" s="516">
        <v>342</v>
      </c>
      <c r="CR510" s="516">
        <v>275</v>
      </c>
      <c r="CS510" s="516">
        <v>241</v>
      </c>
      <c r="CT510" s="516">
        <v>224</v>
      </c>
      <c r="CU510" s="516">
        <v>217</v>
      </c>
      <c r="CV510" s="516">
        <v>168</v>
      </c>
      <c r="CW510" s="516">
        <v>170</v>
      </c>
      <c r="CX510" s="516">
        <v>145</v>
      </c>
      <c r="CY510" s="516">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16">
        <v>636</v>
      </c>
      <c r="N511" s="516">
        <v>642</v>
      </c>
      <c r="O511" s="516">
        <v>647</v>
      </c>
      <c r="P511" s="516">
        <v>707</v>
      </c>
      <c r="Q511" s="516">
        <v>762</v>
      </c>
      <c r="R511" s="516">
        <v>761</v>
      </c>
      <c r="S511" s="516">
        <v>825</v>
      </c>
      <c r="T511" s="516">
        <v>811</v>
      </c>
      <c r="U511" s="516">
        <v>818</v>
      </c>
      <c r="V511" s="516">
        <v>783</v>
      </c>
      <c r="W511" s="516">
        <v>915</v>
      </c>
      <c r="X511" s="516">
        <v>922</v>
      </c>
      <c r="Y511" s="516">
        <v>869</v>
      </c>
      <c r="Z511" s="516">
        <v>864</v>
      </c>
      <c r="AA511" s="516">
        <v>873</v>
      </c>
      <c r="AB511" s="516">
        <v>854</v>
      </c>
      <c r="AC511" s="516">
        <v>858</v>
      </c>
      <c r="AD511" s="516">
        <v>823</v>
      </c>
      <c r="AE511" s="516">
        <v>958</v>
      </c>
      <c r="AF511" s="516">
        <v>1502</v>
      </c>
      <c r="AG511" s="516">
        <v>878</v>
      </c>
      <c r="AH511" s="516">
        <v>667</v>
      </c>
      <c r="AI511" s="516">
        <v>607</v>
      </c>
      <c r="AJ511" s="516">
        <v>701</v>
      </c>
      <c r="AK511" s="516">
        <v>688</v>
      </c>
      <c r="AL511" s="516">
        <v>776</v>
      </c>
      <c r="AM511" s="516">
        <v>789</v>
      </c>
      <c r="AN511" s="516">
        <v>806</v>
      </c>
      <c r="AO511" s="516">
        <v>797</v>
      </c>
      <c r="AP511" s="516">
        <v>829</v>
      </c>
      <c r="AQ511" s="516">
        <v>904</v>
      </c>
      <c r="AR511" s="516">
        <v>851</v>
      </c>
      <c r="AS511" s="516">
        <v>855</v>
      </c>
      <c r="AT511" s="516">
        <v>855</v>
      </c>
      <c r="AU511" s="516">
        <v>825</v>
      </c>
      <c r="AV511" s="516">
        <v>845</v>
      </c>
      <c r="AW511" s="516">
        <v>903</v>
      </c>
      <c r="AX511" s="516">
        <v>859</v>
      </c>
      <c r="AY511" s="516">
        <v>868</v>
      </c>
      <c r="AZ511" s="516">
        <v>830</v>
      </c>
      <c r="BA511" s="516">
        <v>830</v>
      </c>
      <c r="BB511" s="516">
        <v>850</v>
      </c>
      <c r="BC511" s="516">
        <v>826</v>
      </c>
      <c r="BD511" s="516">
        <v>853</v>
      </c>
      <c r="BE511" s="516">
        <v>809</v>
      </c>
      <c r="BF511" s="516">
        <v>756</v>
      </c>
      <c r="BG511" s="516">
        <v>746</v>
      </c>
      <c r="BH511" s="516">
        <v>825</v>
      </c>
      <c r="BI511" s="516">
        <v>777</v>
      </c>
      <c r="BJ511" s="516">
        <v>849</v>
      </c>
      <c r="BK511" s="516">
        <v>862</v>
      </c>
      <c r="BL511" s="516">
        <v>954</v>
      </c>
      <c r="BM511" s="516">
        <v>904</v>
      </c>
      <c r="BN511" s="516">
        <v>948</v>
      </c>
      <c r="BO511" s="516">
        <v>1003</v>
      </c>
      <c r="BP511" s="516">
        <v>945</v>
      </c>
      <c r="BQ511" s="516">
        <v>984</v>
      </c>
      <c r="BR511" s="516">
        <v>991</v>
      </c>
      <c r="BS511" s="516">
        <v>1043</v>
      </c>
      <c r="BT511" s="516">
        <v>992</v>
      </c>
      <c r="BU511" s="516">
        <v>975</v>
      </c>
      <c r="BV511" s="516">
        <v>943</v>
      </c>
      <c r="BW511" s="516">
        <v>960</v>
      </c>
      <c r="BX511" s="516">
        <v>888</v>
      </c>
      <c r="BY511" s="516">
        <v>1006</v>
      </c>
      <c r="BZ511" s="516">
        <v>870</v>
      </c>
      <c r="CA511" s="516">
        <v>796</v>
      </c>
      <c r="CB511" s="516">
        <v>802</v>
      </c>
      <c r="CC511" s="516">
        <v>793</v>
      </c>
      <c r="CD511" s="516">
        <v>815</v>
      </c>
      <c r="CE511" s="516">
        <v>772</v>
      </c>
      <c r="CF511" s="516">
        <v>725</v>
      </c>
      <c r="CG511" s="516">
        <v>778</v>
      </c>
      <c r="CH511" s="516">
        <v>746</v>
      </c>
      <c r="CI511" s="516">
        <v>847</v>
      </c>
      <c r="CJ511" s="516">
        <v>799</v>
      </c>
      <c r="CK511" s="516">
        <v>579</v>
      </c>
      <c r="CL511" s="516">
        <v>577</v>
      </c>
      <c r="CM511" s="516">
        <v>556</v>
      </c>
      <c r="CN511" s="516">
        <v>505</v>
      </c>
      <c r="CO511" s="516">
        <v>452</v>
      </c>
      <c r="CP511" s="516">
        <v>360</v>
      </c>
      <c r="CQ511" s="516">
        <v>384</v>
      </c>
      <c r="CR511" s="516">
        <v>318</v>
      </c>
      <c r="CS511" s="516">
        <v>294</v>
      </c>
      <c r="CT511" s="516">
        <v>260</v>
      </c>
      <c r="CU511" s="516">
        <v>226</v>
      </c>
      <c r="CV511" s="516">
        <v>183</v>
      </c>
      <c r="CW511" s="516">
        <v>177</v>
      </c>
      <c r="CX511" s="516">
        <v>127</v>
      </c>
      <c r="CY511" s="516">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16">
        <v>1002</v>
      </c>
      <c r="N512" s="516">
        <v>958</v>
      </c>
      <c r="O512" s="516">
        <v>993</v>
      </c>
      <c r="P512" s="516">
        <v>1033</v>
      </c>
      <c r="Q512" s="516">
        <v>1002</v>
      </c>
      <c r="R512" s="516">
        <v>1014</v>
      </c>
      <c r="S512" s="516">
        <v>1196</v>
      </c>
      <c r="T512" s="516">
        <v>1083</v>
      </c>
      <c r="U512" s="516">
        <v>1043</v>
      </c>
      <c r="V512" s="516">
        <v>1089</v>
      </c>
      <c r="W512" s="516">
        <v>1039</v>
      </c>
      <c r="X512" s="516">
        <v>1059</v>
      </c>
      <c r="Y512" s="516">
        <v>1048</v>
      </c>
      <c r="Z512" s="516">
        <v>1123</v>
      </c>
      <c r="AA512" s="516">
        <v>1128</v>
      </c>
      <c r="AB512" s="516">
        <v>945</v>
      </c>
      <c r="AC512" s="516">
        <v>940</v>
      </c>
      <c r="AD512" s="516">
        <v>952</v>
      </c>
      <c r="AE512" s="516">
        <v>969</v>
      </c>
      <c r="AF512" s="516">
        <v>782</v>
      </c>
      <c r="AG512" s="516">
        <v>699</v>
      </c>
      <c r="AH512" s="516">
        <v>774</v>
      </c>
      <c r="AI512" s="516">
        <v>881</v>
      </c>
      <c r="AJ512" s="516">
        <v>985</v>
      </c>
      <c r="AK512" s="516">
        <v>959</v>
      </c>
      <c r="AL512" s="516">
        <v>1027</v>
      </c>
      <c r="AM512" s="516">
        <v>1005</v>
      </c>
      <c r="AN512" s="516">
        <v>1020</v>
      </c>
      <c r="AO512" s="516">
        <v>1076</v>
      </c>
      <c r="AP512" s="516">
        <v>1245</v>
      </c>
      <c r="AQ512" s="516">
        <v>1220</v>
      </c>
      <c r="AR512" s="516">
        <v>1265</v>
      </c>
      <c r="AS512" s="516">
        <v>1169</v>
      </c>
      <c r="AT512" s="516">
        <v>1279</v>
      </c>
      <c r="AU512" s="516">
        <v>1332</v>
      </c>
      <c r="AV512" s="516">
        <v>1215</v>
      </c>
      <c r="AW512" s="516">
        <v>1185</v>
      </c>
      <c r="AX512" s="516">
        <v>1259</v>
      </c>
      <c r="AY512" s="516">
        <v>1143</v>
      </c>
      <c r="AZ512" s="516">
        <v>1017</v>
      </c>
      <c r="BA512" s="516">
        <v>1038</v>
      </c>
      <c r="BB512" s="516">
        <v>1044</v>
      </c>
      <c r="BC512" s="516">
        <v>1120</v>
      </c>
      <c r="BD512" s="516">
        <v>1055</v>
      </c>
      <c r="BE512" s="516">
        <v>942</v>
      </c>
      <c r="BF512" s="516">
        <v>907</v>
      </c>
      <c r="BG512" s="516">
        <v>917</v>
      </c>
      <c r="BH512" s="516">
        <v>953</v>
      </c>
      <c r="BI512" s="516">
        <v>944</v>
      </c>
      <c r="BJ512" s="516">
        <v>996</v>
      </c>
      <c r="BK512" s="516">
        <v>980</v>
      </c>
      <c r="BL512" s="516">
        <v>1095</v>
      </c>
      <c r="BM512" s="516">
        <v>1067</v>
      </c>
      <c r="BN512" s="516">
        <v>1100</v>
      </c>
      <c r="BO512" s="516">
        <v>948</v>
      </c>
      <c r="BP512" s="516">
        <v>1070</v>
      </c>
      <c r="BQ512" s="516">
        <v>1067</v>
      </c>
      <c r="BR512" s="516">
        <v>1053</v>
      </c>
      <c r="BS512" s="516">
        <v>1041</v>
      </c>
      <c r="BT512" s="516">
        <v>1021</v>
      </c>
      <c r="BU512" s="516">
        <v>935</v>
      </c>
      <c r="BV512" s="516">
        <v>982</v>
      </c>
      <c r="BW512" s="516">
        <v>893</v>
      </c>
      <c r="BX512" s="516">
        <v>964</v>
      </c>
      <c r="BY512" s="516">
        <v>829</v>
      </c>
      <c r="BZ512" s="516">
        <v>800</v>
      </c>
      <c r="CA512" s="516">
        <v>680</v>
      </c>
      <c r="CB512" s="516">
        <v>675</v>
      </c>
      <c r="CC512" s="516">
        <v>724</v>
      </c>
      <c r="CD512" s="516">
        <v>751</v>
      </c>
      <c r="CE512" s="516">
        <v>678</v>
      </c>
      <c r="CF512" s="516">
        <v>607</v>
      </c>
      <c r="CG512" s="516">
        <v>654</v>
      </c>
      <c r="CH512" s="516">
        <v>620</v>
      </c>
      <c r="CI512" s="516">
        <v>701</v>
      </c>
      <c r="CJ512" s="516">
        <v>753</v>
      </c>
      <c r="CK512" s="516">
        <v>517</v>
      </c>
      <c r="CL512" s="516">
        <v>519</v>
      </c>
      <c r="CM512" s="516">
        <v>492</v>
      </c>
      <c r="CN512" s="516">
        <v>470</v>
      </c>
      <c r="CO512" s="516">
        <v>374</v>
      </c>
      <c r="CP512" s="516">
        <v>319</v>
      </c>
      <c r="CQ512" s="516">
        <v>324</v>
      </c>
      <c r="CR512" s="516">
        <v>314</v>
      </c>
      <c r="CS512" s="516">
        <v>256</v>
      </c>
      <c r="CT512" s="516">
        <v>240</v>
      </c>
      <c r="CU512" s="516">
        <v>230</v>
      </c>
      <c r="CV512" s="516">
        <v>172</v>
      </c>
      <c r="CW512" s="516">
        <v>142</v>
      </c>
      <c r="CX512" s="516">
        <v>117</v>
      </c>
      <c r="CY512" s="516">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16">
        <v>547</v>
      </c>
      <c r="N513" s="516">
        <v>541</v>
      </c>
      <c r="O513" s="516">
        <v>560</v>
      </c>
      <c r="P513" s="516">
        <v>587</v>
      </c>
      <c r="Q513" s="516">
        <v>646</v>
      </c>
      <c r="R513" s="516">
        <v>630</v>
      </c>
      <c r="S513" s="516">
        <v>657</v>
      </c>
      <c r="T513" s="516">
        <v>695</v>
      </c>
      <c r="U513" s="516">
        <v>700</v>
      </c>
      <c r="V513" s="516">
        <v>693</v>
      </c>
      <c r="W513" s="516">
        <v>704</v>
      </c>
      <c r="X513" s="516">
        <v>745</v>
      </c>
      <c r="Y513" s="516">
        <v>723</v>
      </c>
      <c r="Z513" s="516">
        <v>691</v>
      </c>
      <c r="AA513" s="516">
        <v>785</v>
      </c>
      <c r="AB513" s="516">
        <v>690</v>
      </c>
      <c r="AC513" s="516">
        <v>779</v>
      </c>
      <c r="AD513" s="516">
        <v>726</v>
      </c>
      <c r="AE513" s="516">
        <v>659</v>
      </c>
      <c r="AF513" s="516">
        <v>545</v>
      </c>
      <c r="AG513" s="516">
        <v>505</v>
      </c>
      <c r="AH513" s="516">
        <v>573</v>
      </c>
      <c r="AI513" s="516">
        <v>608</v>
      </c>
      <c r="AJ513" s="516">
        <v>603</v>
      </c>
      <c r="AK513" s="516">
        <v>650</v>
      </c>
      <c r="AL513" s="516">
        <v>681</v>
      </c>
      <c r="AM513" s="516">
        <v>604</v>
      </c>
      <c r="AN513" s="516">
        <v>539</v>
      </c>
      <c r="AO513" s="516">
        <v>615</v>
      </c>
      <c r="AP513" s="516">
        <v>649</v>
      </c>
      <c r="AQ513" s="516">
        <v>715</v>
      </c>
      <c r="AR513" s="516">
        <v>687</v>
      </c>
      <c r="AS513" s="516">
        <v>631</v>
      </c>
      <c r="AT513" s="516">
        <v>601</v>
      </c>
      <c r="AU513" s="516">
        <v>686</v>
      </c>
      <c r="AV513" s="516">
        <v>659</v>
      </c>
      <c r="AW513" s="516">
        <v>623</v>
      </c>
      <c r="AX513" s="516">
        <v>623</v>
      </c>
      <c r="AY513" s="516">
        <v>614</v>
      </c>
      <c r="AZ513" s="516">
        <v>608</v>
      </c>
      <c r="BA513" s="516">
        <v>609</v>
      </c>
      <c r="BB513" s="516">
        <v>629</v>
      </c>
      <c r="BC513" s="516">
        <v>647</v>
      </c>
      <c r="BD513" s="516">
        <v>626</v>
      </c>
      <c r="BE513" s="516">
        <v>583</v>
      </c>
      <c r="BF513" s="516">
        <v>542</v>
      </c>
      <c r="BG513" s="516">
        <v>580</v>
      </c>
      <c r="BH513" s="516">
        <v>603</v>
      </c>
      <c r="BI513" s="516">
        <v>639</v>
      </c>
      <c r="BJ513" s="516">
        <v>703</v>
      </c>
      <c r="BK513" s="516">
        <v>754</v>
      </c>
      <c r="BL513" s="516">
        <v>757</v>
      </c>
      <c r="BM513" s="516">
        <v>818</v>
      </c>
      <c r="BN513" s="516">
        <v>808</v>
      </c>
      <c r="BO513" s="516">
        <v>855</v>
      </c>
      <c r="BP513" s="516">
        <v>905</v>
      </c>
      <c r="BQ513" s="516">
        <v>926</v>
      </c>
      <c r="BR513" s="516">
        <v>915</v>
      </c>
      <c r="BS513" s="516">
        <v>887</v>
      </c>
      <c r="BT513" s="516">
        <v>1009</v>
      </c>
      <c r="BU513" s="516">
        <v>967</v>
      </c>
      <c r="BV513" s="516">
        <v>914</v>
      </c>
      <c r="BW513" s="516">
        <v>904</v>
      </c>
      <c r="BX513" s="516">
        <v>952</v>
      </c>
      <c r="BY513" s="516">
        <v>893</v>
      </c>
      <c r="BZ513" s="516">
        <v>866</v>
      </c>
      <c r="CA513" s="516">
        <v>855</v>
      </c>
      <c r="CB513" s="516">
        <v>857</v>
      </c>
      <c r="CC513" s="516">
        <v>882</v>
      </c>
      <c r="CD513" s="516">
        <v>875</v>
      </c>
      <c r="CE513" s="516">
        <v>807</v>
      </c>
      <c r="CF513" s="516">
        <v>838</v>
      </c>
      <c r="CG513" s="516">
        <v>832</v>
      </c>
      <c r="CH513" s="516">
        <v>800</v>
      </c>
      <c r="CI513" s="516">
        <v>838</v>
      </c>
      <c r="CJ513" s="516">
        <v>882</v>
      </c>
      <c r="CK513" s="516">
        <v>614</v>
      </c>
      <c r="CL513" s="516">
        <v>659</v>
      </c>
      <c r="CM513" s="516">
        <v>627</v>
      </c>
      <c r="CN513" s="516">
        <v>545</v>
      </c>
      <c r="CO513" s="516">
        <v>490</v>
      </c>
      <c r="CP513" s="516">
        <v>469</v>
      </c>
      <c r="CQ513" s="516">
        <v>418</v>
      </c>
      <c r="CR513" s="516">
        <v>376</v>
      </c>
      <c r="CS513" s="516">
        <v>328</v>
      </c>
      <c r="CT513" s="516">
        <v>268</v>
      </c>
      <c r="CU513" s="516">
        <v>254</v>
      </c>
      <c r="CV513" s="516">
        <v>224</v>
      </c>
      <c r="CW513" s="516">
        <v>142</v>
      </c>
      <c r="CX513" s="516">
        <v>181</v>
      </c>
      <c r="CY513" s="516">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16">
        <v>542</v>
      </c>
      <c r="N514" s="516">
        <v>558</v>
      </c>
      <c r="O514" s="516">
        <v>557</v>
      </c>
      <c r="P514" s="516">
        <v>623</v>
      </c>
      <c r="Q514" s="516">
        <v>680</v>
      </c>
      <c r="R514" s="516">
        <v>640</v>
      </c>
      <c r="S514" s="516">
        <v>636</v>
      </c>
      <c r="T514" s="516">
        <v>702</v>
      </c>
      <c r="U514" s="516">
        <v>710</v>
      </c>
      <c r="V514" s="516">
        <v>708</v>
      </c>
      <c r="W514" s="516">
        <v>684</v>
      </c>
      <c r="X514" s="516">
        <v>699</v>
      </c>
      <c r="Y514" s="516">
        <v>687</v>
      </c>
      <c r="Z514" s="516">
        <v>724</v>
      </c>
      <c r="AA514" s="516">
        <v>813</v>
      </c>
      <c r="AB514" s="516">
        <v>726</v>
      </c>
      <c r="AC514" s="516">
        <v>720</v>
      </c>
      <c r="AD514" s="516">
        <v>759</v>
      </c>
      <c r="AE514" s="516">
        <v>677</v>
      </c>
      <c r="AF514" s="516">
        <v>546</v>
      </c>
      <c r="AG514" s="516">
        <v>497</v>
      </c>
      <c r="AH514" s="516">
        <v>540</v>
      </c>
      <c r="AI514" s="516">
        <v>576</v>
      </c>
      <c r="AJ514" s="516">
        <v>708</v>
      </c>
      <c r="AK514" s="516">
        <v>659</v>
      </c>
      <c r="AL514" s="516">
        <v>640</v>
      </c>
      <c r="AM514" s="516">
        <v>700</v>
      </c>
      <c r="AN514" s="516">
        <v>643</v>
      </c>
      <c r="AO514" s="516">
        <v>676</v>
      </c>
      <c r="AP514" s="516">
        <v>655</v>
      </c>
      <c r="AQ514" s="516">
        <v>689</v>
      </c>
      <c r="AR514" s="516">
        <v>681</v>
      </c>
      <c r="AS514" s="516">
        <v>678</v>
      </c>
      <c r="AT514" s="516">
        <v>691</v>
      </c>
      <c r="AU514" s="516">
        <v>706</v>
      </c>
      <c r="AV514" s="516">
        <v>621</v>
      </c>
      <c r="AW514" s="516">
        <v>641</v>
      </c>
      <c r="AX514" s="516">
        <v>683</v>
      </c>
      <c r="AY514" s="516">
        <v>629</v>
      </c>
      <c r="AZ514" s="516">
        <v>628</v>
      </c>
      <c r="BA514" s="516">
        <v>668</v>
      </c>
      <c r="BB514" s="516">
        <v>643</v>
      </c>
      <c r="BC514" s="516">
        <v>674</v>
      </c>
      <c r="BD514" s="516">
        <v>652</v>
      </c>
      <c r="BE514" s="516">
        <v>622</v>
      </c>
      <c r="BF514" s="516">
        <v>638</v>
      </c>
      <c r="BG514" s="516">
        <v>646</v>
      </c>
      <c r="BH514" s="516">
        <v>721</v>
      </c>
      <c r="BI514" s="516">
        <v>733</v>
      </c>
      <c r="BJ514" s="516">
        <v>732</v>
      </c>
      <c r="BK514" s="516">
        <v>904</v>
      </c>
      <c r="BL514" s="516">
        <v>916</v>
      </c>
      <c r="BM514" s="516">
        <v>874</v>
      </c>
      <c r="BN514" s="516">
        <v>967</v>
      </c>
      <c r="BO514" s="516">
        <v>918</v>
      </c>
      <c r="BP514" s="516">
        <v>1049</v>
      </c>
      <c r="BQ514" s="516">
        <v>1027</v>
      </c>
      <c r="BR514" s="516">
        <v>1085</v>
      </c>
      <c r="BS514" s="516">
        <v>1055</v>
      </c>
      <c r="BT514" s="516">
        <v>1079</v>
      </c>
      <c r="BU514" s="516">
        <v>1083</v>
      </c>
      <c r="BV514" s="516">
        <v>1072</v>
      </c>
      <c r="BW514" s="516">
        <v>1062</v>
      </c>
      <c r="BX514" s="516">
        <v>1068</v>
      </c>
      <c r="BY514" s="516">
        <v>970</v>
      </c>
      <c r="BZ514" s="516">
        <v>1004</v>
      </c>
      <c r="CA514" s="516">
        <v>1048</v>
      </c>
      <c r="CB514" s="516">
        <v>920</v>
      </c>
      <c r="CC514" s="516">
        <v>981</v>
      </c>
      <c r="CD514" s="516">
        <v>986</v>
      </c>
      <c r="CE514" s="516">
        <v>946</v>
      </c>
      <c r="CF514" s="516">
        <v>909</v>
      </c>
      <c r="CG514" s="516">
        <v>957</v>
      </c>
      <c r="CH514" s="516">
        <v>966</v>
      </c>
      <c r="CI514" s="516">
        <v>1053</v>
      </c>
      <c r="CJ514" s="516">
        <v>1016</v>
      </c>
      <c r="CK514" s="516">
        <v>762</v>
      </c>
      <c r="CL514" s="516">
        <v>697</v>
      </c>
      <c r="CM514" s="516">
        <v>815</v>
      </c>
      <c r="CN514" s="516">
        <v>676</v>
      </c>
      <c r="CO514" s="516">
        <v>565</v>
      </c>
      <c r="CP514" s="516">
        <v>480</v>
      </c>
      <c r="CQ514" s="516">
        <v>484</v>
      </c>
      <c r="CR514" s="516">
        <v>421</v>
      </c>
      <c r="CS514" s="516">
        <v>402</v>
      </c>
      <c r="CT514" s="516">
        <v>348</v>
      </c>
      <c r="CU514" s="516">
        <v>295</v>
      </c>
      <c r="CV514" s="516">
        <v>283</v>
      </c>
      <c r="CW514" s="516">
        <v>234</v>
      </c>
      <c r="CX514" s="516">
        <v>151</v>
      </c>
      <c r="CY514" s="516">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16">
        <v>1182</v>
      </c>
      <c r="N515" s="516">
        <v>1192</v>
      </c>
      <c r="O515" s="516">
        <v>1246</v>
      </c>
      <c r="P515" s="516">
        <v>1330</v>
      </c>
      <c r="Q515" s="516">
        <v>1390</v>
      </c>
      <c r="R515" s="516">
        <v>1335</v>
      </c>
      <c r="S515" s="516">
        <v>1349</v>
      </c>
      <c r="T515" s="516">
        <v>1424</v>
      </c>
      <c r="U515" s="516">
        <v>1454</v>
      </c>
      <c r="V515" s="516">
        <v>1448</v>
      </c>
      <c r="W515" s="516">
        <v>1470</v>
      </c>
      <c r="X515" s="516">
        <v>1500</v>
      </c>
      <c r="Y515" s="516">
        <v>1414</v>
      </c>
      <c r="Z515" s="516">
        <v>1599</v>
      </c>
      <c r="AA515" s="516">
        <v>1471</v>
      </c>
      <c r="AB515" s="516">
        <v>1487</v>
      </c>
      <c r="AC515" s="516">
        <v>1400</v>
      </c>
      <c r="AD515" s="516">
        <v>1425</v>
      </c>
      <c r="AE515" s="516">
        <v>1383</v>
      </c>
      <c r="AF515" s="516">
        <v>1430</v>
      </c>
      <c r="AG515" s="516">
        <v>1361</v>
      </c>
      <c r="AH515" s="516">
        <v>1470</v>
      </c>
      <c r="AI515" s="516">
        <v>1333</v>
      </c>
      <c r="AJ515" s="516">
        <v>1508</v>
      </c>
      <c r="AK515" s="516">
        <v>1349</v>
      </c>
      <c r="AL515" s="516">
        <v>1510</v>
      </c>
      <c r="AM515" s="516">
        <v>1397</v>
      </c>
      <c r="AN515" s="516">
        <v>1501</v>
      </c>
      <c r="AO515" s="516">
        <v>1440</v>
      </c>
      <c r="AP515" s="516">
        <v>1561</v>
      </c>
      <c r="AQ515" s="516">
        <v>1531</v>
      </c>
      <c r="AR515" s="516">
        <v>1507</v>
      </c>
      <c r="AS515" s="516">
        <v>1666</v>
      </c>
      <c r="AT515" s="516">
        <v>1646</v>
      </c>
      <c r="AU515" s="516">
        <v>1508</v>
      </c>
      <c r="AV515" s="516">
        <v>1576</v>
      </c>
      <c r="AW515" s="516">
        <v>1511</v>
      </c>
      <c r="AX515" s="516">
        <v>1573</v>
      </c>
      <c r="AY515" s="516">
        <v>1526</v>
      </c>
      <c r="AZ515" s="516">
        <v>1487</v>
      </c>
      <c r="BA515" s="516">
        <v>1448</v>
      </c>
      <c r="BB515" s="516">
        <v>1387</v>
      </c>
      <c r="BC515" s="516">
        <v>1473</v>
      </c>
      <c r="BD515" s="516">
        <v>1436</v>
      </c>
      <c r="BE515" s="516">
        <v>1292</v>
      </c>
      <c r="BF515" s="516">
        <v>1234</v>
      </c>
      <c r="BG515" s="516">
        <v>1228</v>
      </c>
      <c r="BH515" s="516">
        <v>1344</v>
      </c>
      <c r="BI515" s="516">
        <v>1265</v>
      </c>
      <c r="BJ515" s="516">
        <v>1525</v>
      </c>
      <c r="BK515" s="516">
        <v>1616</v>
      </c>
      <c r="BL515" s="516">
        <v>1695</v>
      </c>
      <c r="BM515" s="516">
        <v>1558</v>
      </c>
      <c r="BN515" s="516">
        <v>1611</v>
      </c>
      <c r="BO515" s="516">
        <v>1667</v>
      </c>
      <c r="BP515" s="516">
        <v>1659</v>
      </c>
      <c r="BQ515" s="516">
        <v>1692</v>
      </c>
      <c r="BR515" s="516">
        <v>1734</v>
      </c>
      <c r="BS515" s="516">
        <v>1649</v>
      </c>
      <c r="BT515" s="516">
        <v>1594</v>
      </c>
      <c r="BU515" s="516">
        <v>1607</v>
      </c>
      <c r="BV515" s="516">
        <v>1496</v>
      </c>
      <c r="BW515" s="516">
        <v>1364</v>
      </c>
      <c r="BX515" s="516">
        <v>1434</v>
      </c>
      <c r="BY515" s="516">
        <v>1372</v>
      </c>
      <c r="BZ515" s="516">
        <v>1354</v>
      </c>
      <c r="CA515" s="516">
        <v>1261</v>
      </c>
      <c r="CB515" s="516">
        <v>1184</v>
      </c>
      <c r="CC515" s="516">
        <v>1223</v>
      </c>
      <c r="CD515" s="516">
        <v>1163</v>
      </c>
      <c r="CE515" s="516">
        <v>1238</v>
      </c>
      <c r="CF515" s="516">
        <v>1171</v>
      </c>
      <c r="CG515" s="516">
        <v>1232</v>
      </c>
      <c r="CH515" s="516">
        <v>1244</v>
      </c>
      <c r="CI515" s="516">
        <v>1280</v>
      </c>
      <c r="CJ515" s="516">
        <v>1272</v>
      </c>
      <c r="CK515" s="516">
        <v>1071</v>
      </c>
      <c r="CL515" s="516">
        <v>988</v>
      </c>
      <c r="CM515" s="516">
        <v>843</v>
      </c>
      <c r="CN515" s="516">
        <v>708</v>
      </c>
      <c r="CO515" s="516">
        <v>680</v>
      </c>
      <c r="CP515" s="516">
        <v>591</v>
      </c>
      <c r="CQ515" s="516">
        <v>536</v>
      </c>
      <c r="CR515" s="516">
        <v>480</v>
      </c>
      <c r="CS515" s="516">
        <v>454</v>
      </c>
      <c r="CT515" s="516">
        <v>366</v>
      </c>
      <c r="CU515" s="516">
        <v>342</v>
      </c>
      <c r="CV515" s="516">
        <v>288</v>
      </c>
      <c r="CW515" s="516">
        <v>231</v>
      </c>
      <c r="CX515" s="516">
        <v>183</v>
      </c>
      <c r="CY515" s="516">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16">
        <v>1134</v>
      </c>
      <c r="N516" s="516">
        <v>1063</v>
      </c>
      <c r="O516" s="516">
        <v>1133</v>
      </c>
      <c r="P516" s="516">
        <v>1224</v>
      </c>
      <c r="Q516" s="516">
        <v>1266</v>
      </c>
      <c r="R516" s="516">
        <v>1252</v>
      </c>
      <c r="S516" s="516">
        <v>1374</v>
      </c>
      <c r="T516" s="516">
        <v>1363</v>
      </c>
      <c r="U516" s="516">
        <v>1342</v>
      </c>
      <c r="V516" s="516">
        <v>1419</v>
      </c>
      <c r="W516" s="516">
        <v>1459</v>
      </c>
      <c r="X516" s="516">
        <v>1510</v>
      </c>
      <c r="Y516" s="516">
        <v>1407</v>
      </c>
      <c r="Z516" s="516">
        <v>1464</v>
      </c>
      <c r="AA516" s="516">
        <v>1527</v>
      </c>
      <c r="AB516" s="516">
        <v>1392</v>
      </c>
      <c r="AC516" s="516">
        <v>1385</v>
      </c>
      <c r="AD516" s="516">
        <v>1426</v>
      </c>
      <c r="AE516" s="516">
        <v>1459</v>
      </c>
      <c r="AF516" s="516">
        <v>1896</v>
      </c>
      <c r="AG516" s="516">
        <v>2522</v>
      </c>
      <c r="AH516" s="516">
        <v>2615</v>
      </c>
      <c r="AI516" s="516">
        <v>2280</v>
      </c>
      <c r="AJ516" s="516">
        <v>1910</v>
      </c>
      <c r="AK516" s="516">
        <v>1501</v>
      </c>
      <c r="AL516" s="516">
        <v>1507</v>
      </c>
      <c r="AM516" s="516">
        <v>1486</v>
      </c>
      <c r="AN516" s="516">
        <v>1351</v>
      </c>
      <c r="AO516" s="516">
        <v>1422</v>
      </c>
      <c r="AP516" s="516">
        <v>1448</v>
      </c>
      <c r="AQ516" s="516">
        <v>1520</v>
      </c>
      <c r="AR516" s="516">
        <v>1551</v>
      </c>
      <c r="AS516" s="516">
        <v>1644</v>
      </c>
      <c r="AT516" s="516">
        <v>1442</v>
      </c>
      <c r="AU516" s="516">
        <v>1501</v>
      </c>
      <c r="AV516" s="516">
        <v>1514</v>
      </c>
      <c r="AW516" s="516">
        <v>1498</v>
      </c>
      <c r="AX516" s="516">
        <v>1597</v>
      </c>
      <c r="AY516" s="516">
        <v>1396</v>
      </c>
      <c r="AZ516" s="516">
        <v>1455</v>
      </c>
      <c r="BA516" s="516">
        <v>1397</v>
      </c>
      <c r="BB516" s="516">
        <v>1417</v>
      </c>
      <c r="BC516" s="516">
        <v>1584</v>
      </c>
      <c r="BD516" s="516">
        <v>1343</v>
      </c>
      <c r="BE516" s="516">
        <v>1273</v>
      </c>
      <c r="BF516" s="516">
        <v>1289</v>
      </c>
      <c r="BG516" s="516">
        <v>1339</v>
      </c>
      <c r="BH516" s="516">
        <v>1379</v>
      </c>
      <c r="BI516" s="516">
        <v>1335</v>
      </c>
      <c r="BJ516" s="516">
        <v>1336</v>
      </c>
      <c r="BK516" s="516">
        <v>1462</v>
      </c>
      <c r="BL516" s="516">
        <v>1510</v>
      </c>
      <c r="BM516" s="516">
        <v>1509</v>
      </c>
      <c r="BN516" s="516">
        <v>1691</v>
      </c>
      <c r="BO516" s="516">
        <v>1552</v>
      </c>
      <c r="BP516" s="516">
        <v>1528</v>
      </c>
      <c r="BQ516" s="516">
        <v>1522</v>
      </c>
      <c r="BR516" s="516">
        <v>1665</v>
      </c>
      <c r="BS516" s="516">
        <v>1640</v>
      </c>
      <c r="BT516" s="516">
        <v>1484</v>
      </c>
      <c r="BU516" s="516">
        <v>1519</v>
      </c>
      <c r="BV516" s="516">
        <v>1456</v>
      </c>
      <c r="BW516" s="516">
        <v>1447</v>
      </c>
      <c r="BX516" s="516">
        <v>1394</v>
      </c>
      <c r="BY516" s="516">
        <v>1349</v>
      </c>
      <c r="BZ516" s="516">
        <v>1273</v>
      </c>
      <c r="CA516" s="516">
        <v>1240</v>
      </c>
      <c r="CB516" s="516">
        <v>1189</v>
      </c>
      <c r="CC516" s="516">
        <v>1181</v>
      </c>
      <c r="CD516" s="516">
        <v>1218</v>
      </c>
      <c r="CE516" s="516">
        <v>1171</v>
      </c>
      <c r="CF516" s="516">
        <v>1093</v>
      </c>
      <c r="CG516" s="516">
        <v>1212</v>
      </c>
      <c r="CH516" s="516">
        <v>1187</v>
      </c>
      <c r="CI516" s="516">
        <v>1233</v>
      </c>
      <c r="CJ516" s="516">
        <v>1340</v>
      </c>
      <c r="CK516" s="516">
        <v>889</v>
      </c>
      <c r="CL516" s="516">
        <v>905</v>
      </c>
      <c r="CM516" s="516">
        <v>899</v>
      </c>
      <c r="CN516" s="516">
        <v>852</v>
      </c>
      <c r="CO516" s="516">
        <v>748</v>
      </c>
      <c r="CP516" s="516">
        <v>612</v>
      </c>
      <c r="CQ516" s="516">
        <v>591</v>
      </c>
      <c r="CR516" s="516">
        <v>524</v>
      </c>
      <c r="CS516" s="516">
        <v>525</v>
      </c>
      <c r="CT516" s="516">
        <v>455</v>
      </c>
      <c r="CU516" s="516">
        <v>393</v>
      </c>
      <c r="CV516" s="516">
        <v>348</v>
      </c>
      <c r="CW516" s="516">
        <v>276</v>
      </c>
      <c r="CX516" s="516">
        <v>244</v>
      </c>
      <c r="CY516" s="516">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16">
        <v>514</v>
      </c>
      <c r="N517" s="516">
        <v>466</v>
      </c>
      <c r="O517" s="516">
        <v>537</v>
      </c>
      <c r="P517" s="516">
        <v>540</v>
      </c>
      <c r="Q517" s="516">
        <v>516</v>
      </c>
      <c r="R517" s="516">
        <v>556</v>
      </c>
      <c r="S517" s="516">
        <v>581</v>
      </c>
      <c r="T517" s="516">
        <v>514</v>
      </c>
      <c r="U517" s="516">
        <v>551</v>
      </c>
      <c r="V517" s="516">
        <v>551</v>
      </c>
      <c r="W517" s="516">
        <v>588</v>
      </c>
      <c r="X517" s="516">
        <v>600</v>
      </c>
      <c r="Y517" s="516">
        <v>586</v>
      </c>
      <c r="Z517" s="516">
        <v>625</v>
      </c>
      <c r="AA517" s="516">
        <v>581</v>
      </c>
      <c r="AB517" s="516">
        <v>557</v>
      </c>
      <c r="AC517" s="516">
        <v>592</v>
      </c>
      <c r="AD517" s="516">
        <v>585</v>
      </c>
      <c r="AE517" s="516">
        <v>488</v>
      </c>
      <c r="AF517" s="516">
        <v>425</v>
      </c>
      <c r="AG517" s="516">
        <v>404</v>
      </c>
      <c r="AH517" s="516">
        <v>418</v>
      </c>
      <c r="AI517" s="516">
        <v>438</v>
      </c>
      <c r="AJ517" s="516">
        <v>462</v>
      </c>
      <c r="AK517" s="516">
        <v>507</v>
      </c>
      <c r="AL517" s="516">
        <v>598</v>
      </c>
      <c r="AM517" s="516">
        <v>533</v>
      </c>
      <c r="AN517" s="516">
        <v>576</v>
      </c>
      <c r="AO517" s="516">
        <v>555</v>
      </c>
      <c r="AP517" s="516">
        <v>540</v>
      </c>
      <c r="AQ517" s="516">
        <v>596</v>
      </c>
      <c r="AR517" s="516">
        <v>615</v>
      </c>
      <c r="AS517" s="516">
        <v>622</v>
      </c>
      <c r="AT517" s="516">
        <v>617</v>
      </c>
      <c r="AU517" s="516">
        <v>553</v>
      </c>
      <c r="AV517" s="516">
        <v>586</v>
      </c>
      <c r="AW517" s="516">
        <v>593</v>
      </c>
      <c r="AX517" s="516">
        <v>574</v>
      </c>
      <c r="AY517" s="516">
        <v>532</v>
      </c>
      <c r="AZ517" s="516">
        <v>548</v>
      </c>
      <c r="BA517" s="516">
        <v>555</v>
      </c>
      <c r="BB517" s="516">
        <v>493</v>
      </c>
      <c r="BC517" s="516">
        <v>523</v>
      </c>
      <c r="BD517" s="516">
        <v>539</v>
      </c>
      <c r="BE517" s="516">
        <v>428</v>
      </c>
      <c r="BF517" s="516">
        <v>504</v>
      </c>
      <c r="BG517" s="516">
        <v>432</v>
      </c>
      <c r="BH517" s="516">
        <v>497</v>
      </c>
      <c r="BI517" s="516">
        <v>493</v>
      </c>
      <c r="BJ517" s="516">
        <v>561</v>
      </c>
      <c r="BK517" s="516">
        <v>569</v>
      </c>
      <c r="BL517" s="516">
        <v>636</v>
      </c>
      <c r="BM517" s="516">
        <v>634</v>
      </c>
      <c r="BN517" s="516">
        <v>601</v>
      </c>
      <c r="BO517" s="516">
        <v>597</v>
      </c>
      <c r="BP517" s="516">
        <v>623</v>
      </c>
      <c r="BQ517" s="516">
        <v>631</v>
      </c>
      <c r="BR517" s="516">
        <v>707</v>
      </c>
      <c r="BS517" s="516">
        <v>646</v>
      </c>
      <c r="BT517" s="516">
        <v>672</v>
      </c>
      <c r="BU517" s="516">
        <v>661</v>
      </c>
      <c r="BV517" s="516">
        <v>655</v>
      </c>
      <c r="BW517" s="516">
        <v>574</v>
      </c>
      <c r="BX517" s="516">
        <v>580</v>
      </c>
      <c r="BY517" s="516">
        <v>594</v>
      </c>
      <c r="BZ517" s="516">
        <v>511</v>
      </c>
      <c r="CA517" s="516">
        <v>490</v>
      </c>
      <c r="CB517" s="516">
        <v>470</v>
      </c>
      <c r="CC517" s="516">
        <v>535</v>
      </c>
      <c r="CD517" s="516">
        <v>469</v>
      </c>
      <c r="CE517" s="516">
        <v>488</v>
      </c>
      <c r="CF517" s="516">
        <v>479</v>
      </c>
      <c r="CG517" s="516">
        <v>457</v>
      </c>
      <c r="CH517" s="516">
        <v>484</v>
      </c>
      <c r="CI517" s="516">
        <v>455</v>
      </c>
      <c r="CJ517" s="516">
        <v>541</v>
      </c>
      <c r="CK517" s="516">
        <v>404</v>
      </c>
      <c r="CL517" s="516">
        <v>398</v>
      </c>
      <c r="CM517" s="516">
        <v>348</v>
      </c>
      <c r="CN517" s="516">
        <v>298</v>
      </c>
      <c r="CO517" s="516">
        <v>266</v>
      </c>
      <c r="CP517" s="516">
        <v>246</v>
      </c>
      <c r="CQ517" s="516">
        <v>224</v>
      </c>
      <c r="CR517" s="516">
        <v>223</v>
      </c>
      <c r="CS517" s="516">
        <v>187</v>
      </c>
      <c r="CT517" s="516">
        <v>157</v>
      </c>
      <c r="CU517" s="516">
        <v>143</v>
      </c>
      <c r="CV517" s="516">
        <v>129</v>
      </c>
      <c r="CW517" s="516">
        <v>118</v>
      </c>
      <c r="CX517" s="516">
        <v>110</v>
      </c>
      <c r="CY517" s="516">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16">
        <v>642</v>
      </c>
      <c r="N518" s="516">
        <v>670</v>
      </c>
      <c r="O518" s="516">
        <v>666</v>
      </c>
      <c r="P518" s="516">
        <v>745</v>
      </c>
      <c r="Q518" s="516">
        <v>708</v>
      </c>
      <c r="R518" s="516">
        <v>814</v>
      </c>
      <c r="S518" s="516">
        <v>772</v>
      </c>
      <c r="T518" s="516">
        <v>756</v>
      </c>
      <c r="U518" s="516">
        <v>790</v>
      </c>
      <c r="V518" s="516">
        <v>869</v>
      </c>
      <c r="W518" s="516">
        <v>878</v>
      </c>
      <c r="X518" s="516">
        <v>861</v>
      </c>
      <c r="Y518" s="516">
        <v>888</v>
      </c>
      <c r="Z518" s="516">
        <v>889</v>
      </c>
      <c r="AA518" s="516">
        <v>863</v>
      </c>
      <c r="AB518" s="516">
        <v>841</v>
      </c>
      <c r="AC518" s="516">
        <v>775</v>
      </c>
      <c r="AD518" s="516">
        <v>759</v>
      </c>
      <c r="AE518" s="516">
        <v>728</v>
      </c>
      <c r="AF518" s="516">
        <v>587</v>
      </c>
      <c r="AG518" s="516">
        <v>503</v>
      </c>
      <c r="AH518" s="516">
        <v>620</v>
      </c>
      <c r="AI518" s="516">
        <v>676</v>
      </c>
      <c r="AJ518" s="516">
        <v>666</v>
      </c>
      <c r="AK518" s="516">
        <v>621</v>
      </c>
      <c r="AL518" s="516">
        <v>702</v>
      </c>
      <c r="AM518" s="516">
        <v>663</v>
      </c>
      <c r="AN518" s="516">
        <v>711</v>
      </c>
      <c r="AO518" s="516">
        <v>738</v>
      </c>
      <c r="AP518" s="516">
        <v>687</v>
      </c>
      <c r="AQ518" s="516">
        <v>701</v>
      </c>
      <c r="AR518" s="516">
        <v>728</v>
      </c>
      <c r="AS518" s="516">
        <v>706</v>
      </c>
      <c r="AT518" s="516">
        <v>774</v>
      </c>
      <c r="AU518" s="516">
        <v>806</v>
      </c>
      <c r="AV518" s="516">
        <v>800</v>
      </c>
      <c r="AW518" s="516">
        <v>846</v>
      </c>
      <c r="AX518" s="516">
        <v>741</v>
      </c>
      <c r="AY518" s="516">
        <v>762</v>
      </c>
      <c r="AZ518" s="516">
        <v>802</v>
      </c>
      <c r="BA518" s="516">
        <v>818</v>
      </c>
      <c r="BB518" s="516">
        <v>893</v>
      </c>
      <c r="BC518" s="516">
        <v>884</v>
      </c>
      <c r="BD518" s="516">
        <v>832</v>
      </c>
      <c r="BE518" s="516">
        <v>669</v>
      </c>
      <c r="BF518" s="516">
        <v>732</v>
      </c>
      <c r="BG518" s="516">
        <v>722</v>
      </c>
      <c r="BH518" s="516">
        <v>807</v>
      </c>
      <c r="BI518" s="516">
        <v>781</v>
      </c>
      <c r="BJ518" s="516">
        <v>815</v>
      </c>
      <c r="BK518" s="516">
        <v>842</v>
      </c>
      <c r="BL518" s="516">
        <v>880</v>
      </c>
      <c r="BM518" s="516">
        <v>853</v>
      </c>
      <c r="BN518" s="516">
        <v>916</v>
      </c>
      <c r="BO518" s="516">
        <v>871</v>
      </c>
      <c r="BP518" s="516">
        <v>920</v>
      </c>
      <c r="BQ518" s="516">
        <v>867</v>
      </c>
      <c r="BR518" s="516">
        <v>906</v>
      </c>
      <c r="BS518" s="516">
        <v>932</v>
      </c>
      <c r="BT518" s="516">
        <v>907</v>
      </c>
      <c r="BU518" s="516">
        <v>934</v>
      </c>
      <c r="BV518" s="516">
        <v>904</v>
      </c>
      <c r="BW518" s="516">
        <v>828</v>
      </c>
      <c r="BX518" s="516">
        <v>857</v>
      </c>
      <c r="BY518" s="516">
        <v>763</v>
      </c>
      <c r="BZ518" s="516">
        <v>786</v>
      </c>
      <c r="CA518" s="516">
        <v>761</v>
      </c>
      <c r="CB518" s="516">
        <v>745</v>
      </c>
      <c r="CC518" s="516">
        <v>753</v>
      </c>
      <c r="CD518" s="516">
        <v>754</v>
      </c>
      <c r="CE518" s="516">
        <v>696</v>
      </c>
      <c r="CF518" s="516">
        <v>706</v>
      </c>
      <c r="CG518" s="516">
        <v>707</v>
      </c>
      <c r="CH518" s="516">
        <v>714</v>
      </c>
      <c r="CI518" s="516">
        <v>737</v>
      </c>
      <c r="CJ518" s="516">
        <v>775</v>
      </c>
      <c r="CK518" s="516">
        <v>562</v>
      </c>
      <c r="CL518" s="516">
        <v>555</v>
      </c>
      <c r="CM518" s="516">
        <v>563</v>
      </c>
      <c r="CN518" s="516">
        <v>468</v>
      </c>
      <c r="CO518" s="516">
        <v>410</v>
      </c>
      <c r="CP518" s="516">
        <v>391</v>
      </c>
      <c r="CQ518" s="516">
        <v>349</v>
      </c>
      <c r="CR518" s="516">
        <v>336</v>
      </c>
      <c r="CS518" s="516">
        <v>307</v>
      </c>
      <c r="CT518" s="516">
        <v>239</v>
      </c>
      <c r="CU518" s="516">
        <v>231</v>
      </c>
      <c r="CV518" s="516">
        <v>180</v>
      </c>
      <c r="CW518" s="516">
        <v>170</v>
      </c>
      <c r="CX518" s="516">
        <v>135</v>
      </c>
      <c r="CY518" s="516">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16">
        <v>673</v>
      </c>
      <c r="N519" s="516">
        <v>647</v>
      </c>
      <c r="O519" s="516">
        <v>740</v>
      </c>
      <c r="P519" s="516">
        <v>723</v>
      </c>
      <c r="Q519" s="516">
        <v>730</v>
      </c>
      <c r="R519" s="516">
        <v>761</v>
      </c>
      <c r="S519" s="516">
        <v>793</v>
      </c>
      <c r="T519" s="516">
        <v>761</v>
      </c>
      <c r="U519" s="516">
        <v>814</v>
      </c>
      <c r="V519" s="516">
        <v>862</v>
      </c>
      <c r="W519" s="516">
        <v>831</v>
      </c>
      <c r="X519" s="516">
        <v>858</v>
      </c>
      <c r="Y519" s="516">
        <v>859</v>
      </c>
      <c r="Z519" s="516">
        <v>879</v>
      </c>
      <c r="AA519" s="516">
        <v>845</v>
      </c>
      <c r="AB519" s="516">
        <v>853</v>
      </c>
      <c r="AC519" s="516">
        <v>831</v>
      </c>
      <c r="AD519" s="516">
        <v>839</v>
      </c>
      <c r="AE519" s="516">
        <v>753</v>
      </c>
      <c r="AF519" s="516">
        <v>630</v>
      </c>
      <c r="AG519" s="516">
        <v>619</v>
      </c>
      <c r="AH519" s="516">
        <v>629</v>
      </c>
      <c r="AI519" s="516">
        <v>670</v>
      </c>
      <c r="AJ519" s="516">
        <v>758</v>
      </c>
      <c r="AK519" s="516">
        <v>790</v>
      </c>
      <c r="AL519" s="516">
        <v>832</v>
      </c>
      <c r="AM519" s="516">
        <v>753</v>
      </c>
      <c r="AN519" s="516">
        <v>823</v>
      </c>
      <c r="AO519" s="516">
        <v>819</v>
      </c>
      <c r="AP519" s="516">
        <v>821</v>
      </c>
      <c r="AQ519" s="516">
        <v>786</v>
      </c>
      <c r="AR519" s="516">
        <v>853</v>
      </c>
      <c r="AS519" s="516">
        <v>859</v>
      </c>
      <c r="AT519" s="516">
        <v>835</v>
      </c>
      <c r="AU519" s="516">
        <v>874</v>
      </c>
      <c r="AV519" s="516">
        <v>850</v>
      </c>
      <c r="AW519" s="516">
        <v>902</v>
      </c>
      <c r="AX519" s="516">
        <v>921</v>
      </c>
      <c r="AY519" s="516">
        <v>825</v>
      </c>
      <c r="AZ519" s="516">
        <v>847</v>
      </c>
      <c r="BA519" s="516">
        <v>842</v>
      </c>
      <c r="BB519" s="516">
        <v>901</v>
      </c>
      <c r="BC519" s="516">
        <v>918</v>
      </c>
      <c r="BD519" s="516">
        <v>874</v>
      </c>
      <c r="BE519" s="516">
        <v>746</v>
      </c>
      <c r="BF519" s="516">
        <v>759</v>
      </c>
      <c r="BG519" s="516">
        <v>795</v>
      </c>
      <c r="BH519" s="516">
        <v>790</v>
      </c>
      <c r="BI519" s="516">
        <v>799</v>
      </c>
      <c r="BJ519" s="516">
        <v>915</v>
      </c>
      <c r="BK519" s="516">
        <v>955</v>
      </c>
      <c r="BL519" s="516">
        <v>1013</v>
      </c>
      <c r="BM519" s="516">
        <v>995</v>
      </c>
      <c r="BN519" s="516">
        <v>1003</v>
      </c>
      <c r="BO519" s="516">
        <v>969</v>
      </c>
      <c r="BP519" s="516">
        <v>960</v>
      </c>
      <c r="BQ519" s="516">
        <v>1007</v>
      </c>
      <c r="BR519" s="516">
        <v>986</v>
      </c>
      <c r="BS519" s="516">
        <v>968</v>
      </c>
      <c r="BT519" s="516">
        <v>965</v>
      </c>
      <c r="BU519" s="516">
        <v>916</v>
      </c>
      <c r="BV519" s="516">
        <v>884</v>
      </c>
      <c r="BW519" s="516">
        <v>833</v>
      </c>
      <c r="BX519" s="516">
        <v>743</v>
      </c>
      <c r="BY519" s="516">
        <v>790</v>
      </c>
      <c r="BZ519" s="516">
        <v>795</v>
      </c>
      <c r="CA519" s="516">
        <v>774</v>
      </c>
      <c r="CB519" s="516">
        <v>688</v>
      </c>
      <c r="CC519" s="516">
        <v>698</v>
      </c>
      <c r="CD519" s="516">
        <v>716</v>
      </c>
      <c r="CE519" s="516">
        <v>688</v>
      </c>
      <c r="CF519" s="516">
        <v>667</v>
      </c>
      <c r="CG519" s="516">
        <v>680</v>
      </c>
      <c r="CH519" s="516">
        <v>708</v>
      </c>
      <c r="CI519" s="516">
        <v>706</v>
      </c>
      <c r="CJ519" s="516">
        <v>754</v>
      </c>
      <c r="CK519" s="516">
        <v>572</v>
      </c>
      <c r="CL519" s="516">
        <v>512</v>
      </c>
      <c r="CM519" s="516">
        <v>519</v>
      </c>
      <c r="CN519" s="516">
        <v>494</v>
      </c>
      <c r="CO519" s="516">
        <v>429</v>
      </c>
      <c r="CP519" s="516">
        <v>357</v>
      </c>
      <c r="CQ519" s="516">
        <v>308</v>
      </c>
      <c r="CR519" s="516">
        <v>275</v>
      </c>
      <c r="CS519" s="516">
        <v>281</v>
      </c>
      <c r="CT519" s="516">
        <v>235</v>
      </c>
      <c r="CU519" s="516">
        <v>217</v>
      </c>
      <c r="CV519" s="516">
        <v>176</v>
      </c>
      <c r="CW519" s="516">
        <v>132</v>
      </c>
      <c r="CX519" s="516">
        <v>132</v>
      </c>
      <c r="CY519" s="516">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x14ac:dyDescent="0.25">
      <c r="A535" s="536" t="s">
        <v>599</v>
      </c>
      <c r="B535" s="537"/>
      <c r="C535" s="538"/>
      <c r="D535" s="539"/>
      <c r="E535" s="539"/>
      <c r="F535" s="539"/>
      <c r="G535" s="540"/>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x14ac:dyDescent="0.25">
      <c r="C537" s="10"/>
      <c r="D537" s="541" t="s">
        <v>600</v>
      </c>
      <c r="E537" s="542" t="s">
        <v>601</v>
      </c>
      <c r="F537" s="541"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x14ac:dyDescent="0.25">
      <c r="C538" s="10"/>
      <c r="D538" s="543" t="s">
        <v>603</v>
      </c>
      <c r="E538" s="544" t="s">
        <v>604</v>
      </c>
      <c r="F538" s="543"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x14ac:dyDescent="0.25">
      <c r="C539" s="10"/>
      <c r="D539" s="543" t="s">
        <v>606</v>
      </c>
      <c r="E539" s="544" t="s">
        <v>607</v>
      </c>
      <c r="F539" s="543"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x14ac:dyDescent="0.25">
      <c r="C540" s="1" t="s">
        <v>609</v>
      </c>
      <c r="D540" s="545">
        <v>60238038</v>
      </c>
      <c r="E540" s="546"/>
      <c r="F540" s="547"/>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x14ac:dyDescent="0.25">
      <c r="C541" s="548" t="s">
        <v>610</v>
      </c>
      <c r="D541" s="549"/>
      <c r="E541" s="550">
        <v>60856434</v>
      </c>
      <c r="F541" s="545">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x14ac:dyDescent="0.25">
      <c r="C542" s="548" t="s">
        <v>611</v>
      </c>
      <c r="D542" s="549"/>
      <c r="E542" s="551">
        <f>(E541-D540)/D540</f>
        <v>1.0265872205200309E-2</v>
      </c>
      <c r="F542" s="552">
        <f>(F541-D540)/D540</f>
        <v>2.0553358660187437E-2</v>
      </c>
      <c r="G542" s="553">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x14ac:dyDescent="0.25">
      <c r="C543" s="548" t="s">
        <v>612</v>
      </c>
      <c r="D543" s="549"/>
      <c r="E543" s="554"/>
      <c r="F543" s="545">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x14ac:dyDescent="0.25">
      <c r="C544" s="548" t="s">
        <v>613</v>
      </c>
      <c r="D544" s="549"/>
      <c r="E544" s="554"/>
      <c r="F544" s="545">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
      <c r="A547" s="532"/>
      <c r="B547" s="533"/>
      <c r="C547" s="20" t="s">
        <v>614</v>
      </c>
      <c r="D547" s="137" t="s">
        <v>615</v>
      </c>
      <c r="E547" s="137" t="s">
        <v>616</v>
      </c>
      <c r="F547" s="137" t="s">
        <v>617</v>
      </c>
      <c r="G547" s="137" t="s">
        <v>618</v>
      </c>
      <c r="H547" s="137" t="s">
        <v>619</v>
      </c>
      <c r="I547" s="137" t="s">
        <v>620</v>
      </c>
      <c r="J547" s="456" t="s">
        <v>621</v>
      </c>
      <c r="K547" s="459" t="s">
        <v>622</v>
      </c>
      <c r="L547" s="312"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
      <c r="A548" s="534" t="s">
        <v>624</v>
      </c>
      <c r="C548" s="20" t="s">
        <v>625</v>
      </c>
      <c r="D548" s="1045" t="s">
        <v>626</v>
      </c>
      <c r="E548" s="1046"/>
      <c r="F548" s="1046"/>
      <c r="G548" s="1046"/>
      <c r="H548" s="1046"/>
      <c r="I548" s="1047"/>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
      <c r="A549" s="534" t="s">
        <v>624</v>
      </c>
      <c r="B549" s="10">
        <v>0</v>
      </c>
      <c r="C549" s="136" t="s">
        <v>627</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
      <c r="A550" s="534" t="s">
        <v>624</v>
      </c>
      <c r="B550" s="10">
        <v>1</v>
      </c>
      <c r="C550" s="136" t="s">
        <v>628</v>
      </c>
      <c r="D550" s="140"/>
      <c r="E550" s="140">
        <v>1.0090702843828887</v>
      </c>
      <c r="F550" s="140">
        <v>1.0170393771683619</v>
      </c>
      <c r="G550" s="140">
        <v>1.0238793000184203</v>
      </c>
      <c r="H550" s="140">
        <v>1.0295635385778663</v>
      </c>
      <c r="I550" s="140">
        <v>1.0351195322438309</v>
      </c>
      <c r="J550" s="457">
        <f>(I550-100%)/5</f>
        <v>7.0239064487661821E-3</v>
      </c>
      <c r="K550" s="460">
        <f t="shared" ref="K550:K563" si="144">(I550/100%)^(1/5)-1</f>
        <v>6.9272652964273984E-3</v>
      </c>
      <c r="L550" s="455">
        <v>6.9272652964273984E-3</v>
      </c>
      <c r="M550" s="451"/>
      <c r="N550" s="451"/>
      <c r="O550" s="45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
      <c r="A551" s="534" t="s">
        <v>624</v>
      </c>
      <c r="B551" s="10">
        <v>2</v>
      </c>
      <c r="C551" s="136" t="s">
        <v>629</v>
      </c>
      <c r="D551" s="140"/>
      <c r="E551" s="140">
        <v>0.96173452499784384</v>
      </c>
      <c r="F551" s="140">
        <v>0.949547172001034</v>
      </c>
      <c r="G551" s="140">
        <v>0.93849673400054612</v>
      </c>
      <c r="H551" s="140">
        <v>0.92766778564091124</v>
      </c>
      <c r="I551" s="140">
        <v>0.91680012001884892</v>
      </c>
      <c r="J551" s="457">
        <f t="shared" ref="J551:J563" si="145">(I551-100%)/5</f>
        <v>-1.6639975996230218E-2</v>
      </c>
      <c r="K551" s="460">
        <f t="shared" si="144"/>
        <v>-1.7223117235316776E-2</v>
      </c>
      <c r="L551" s="455">
        <v>-1.7223117235316776E-2</v>
      </c>
      <c r="M551" s="451"/>
      <c r="N551" s="451"/>
      <c r="O551" s="45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
      <c r="A552" s="534" t="s">
        <v>624</v>
      </c>
      <c r="B552" s="10">
        <v>3</v>
      </c>
      <c r="C552" s="136" t="s">
        <v>630</v>
      </c>
      <c r="D552" s="140"/>
      <c r="E552" s="140">
        <v>1.0707061745580608</v>
      </c>
      <c r="F552" s="140">
        <v>1.0961797739954167</v>
      </c>
      <c r="G552" s="140">
        <v>1.1120352164720533</v>
      </c>
      <c r="H552" s="140">
        <v>1.1172916519636134</v>
      </c>
      <c r="I552" s="140">
        <v>1.1228072524832799</v>
      </c>
      <c r="J552" s="457">
        <f t="shared" si="145"/>
        <v>2.4561450496655989E-2</v>
      </c>
      <c r="K552" s="460">
        <f t="shared" si="144"/>
        <v>2.3436830336478032E-2</v>
      </c>
      <c r="L552" s="455">
        <v>2.3436830336478032E-2</v>
      </c>
      <c r="M552" s="451"/>
      <c r="N552" s="451"/>
      <c r="O552" s="45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
      <c r="A553" s="534" t="s">
        <v>624</v>
      </c>
      <c r="B553" s="10">
        <v>4</v>
      </c>
      <c r="C553" s="136" t="s">
        <v>631</v>
      </c>
      <c r="D553" s="140"/>
      <c r="E553" s="140">
        <v>0.99704312080608826</v>
      </c>
      <c r="F553" s="140">
        <v>0.99705853203848904</v>
      </c>
      <c r="G553" s="140">
        <v>0.99472603914083957</v>
      </c>
      <c r="H553" s="140">
        <v>0.9891090180954597</v>
      </c>
      <c r="I553" s="140">
        <v>0.98354979851924307</v>
      </c>
      <c r="J553" s="457">
        <f t="shared" si="145"/>
        <v>-3.2900402961513866E-3</v>
      </c>
      <c r="K553" s="460">
        <f t="shared" si="144"/>
        <v>-3.3119051937137156E-3</v>
      </c>
      <c r="L553" s="455">
        <v>-3.3119051937137156E-3</v>
      </c>
      <c r="M553" s="451"/>
      <c r="N553" s="451"/>
      <c r="O553" s="45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
      <c r="A554" s="534" t="s">
        <v>624</v>
      </c>
      <c r="B554" s="10">
        <v>5</v>
      </c>
      <c r="C554" s="136" t="s">
        <v>632</v>
      </c>
      <c r="D554" s="140"/>
      <c r="E554" s="140">
        <v>0.99263087643060499</v>
      </c>
      <c r="F554" s="140">
        <v>0.99530151668079492</v>
      </c>
      <c r="G554" s="140">
        <v>0.99708461172748208</v>
      </c>
      <c r="H554" s="140">
        <v>0.99857946574262668</v>
      </c>
      <c r="I554" s="140">
        <v>1.0006058081967233</v>
      </c>
      <c r="J554" s="457">
        <f t="shared" si="145"/>
        <v>1.2116163934465796E-4</v>
      </c>
      <c r="K554" s="460">
        <f t="shared" si="144"/>
        <v>1.2113228972654433E-4</v>
      </c>
      <c r="L554" s="455">
        <v>1.2113228972654433E-4</v>
      </c>
      <c r="M554" s="451"/>
      <c r="N554" s="451"/>
      <c r="O554" s="45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
      <c r="A555" s="534" t="s">
        <v>624</v>
      </c>
      <c r="B555" s="10">
        <v>6</v>
      </c>
      <c r="C555" s="449" t="s">
        <v>633</v>
      </c>
      <c r="D555" s="450"/>
      <c r="E555" s="450">
        <v>1.0123419501207302</v>
      </c>
      <c r="F555" s="450">
        <v>1.0224746276334522</v>
      </c>
      <c r="G555" s="450">
        <v>1.0318096590054313</v>
      </c>
      <c r="H555" s="450">
        <v>1.040568100689119</v>
      </c>
      <c r="I555" s="450">
        <v>1.0491476885800255</v>
      </c>
      <c r="J555" s="468">
        <f t="shared" si="145"/>
        <v>9.8295377160050983E-3</v>
      </c>
      <c r="K555" s="469">
        <f t="shared" si="144"/>
        <v>9.641807463928842E-3</v>
      </c>
      <c r="L555" s="535">
        <v>9.6418074639288403E-3</v>
      </c>
      <c r="M555" s="451"/>
      <c r="N555" s="451"/>
      <c r="O555" s="452"/>
      <c r="P555" s="12"/>
      <c r="Q555" s="453"/>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
      <c r="A556" s="534" t="s">
        <v>624</v>
      </c>
      <c r="B556" s="10">
        <v>7</v>
      </c>
      <c r="C556" s="136" t="s">
        <v>634</v>
      </c>
      <c r="D556" s="140"/>
      <c r="E556" s="140">
        <v>1.0234861902526262</v>
      </c>
      <c r="F556" s="140">
        <v>1.0362595252458171</v>
      </c>
      <c r="G556" s="140">
        <v>1.0484007089616401</v>
      </c>
      <c r="H556" s="140">
        <v>1.0594741481215733</v>
      </c>
      <c r="I556" s="140">
        <v>1.0705464348984648</v>
      </c>
      <c r="J556" s="457">
        <f t="shared" si="145"/>
        <v>1.4109286979692959E-2</v>
      </c>
      <c r="K556" s="460">
        <f t="shared" si="144"/>
        <v>1.372720562144969E-2</v>
      </c>
      <c r="L556" s="455">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
      <c r="A557" s="534" t="s">
        <v>624</v>
      </c>
      <c r="B557" s="10">
        <v>8</v>
      </c>
      <c r="C557" s="136" t="s">
        <v>635</v>
      </c>
      <c r="D557" s="140"/>
      <c r="E557" s="140">
        <v>1.0327181385810218</v>
      </c>
      <c r="F557" s="140">
        <v>1.0462000918268668</v>
      </c>
      <c r="G557" s="140">
        <v>1.0579618766687933</v>
      </c>
      <c r="H557" s="140">
        <v>1.0679645783102321</v>
      </c>
      <c r="I557" s="140">
        <v>1.0772361012999514</v>
      </c>
      <c r="J557" s="457">
        <f t="shared" si="145"/>
        <v>1.544722025999028E-2</v>
      </c>
      <c r="K557" s="460">
        <f t="shared" si="144"/>
        <v>1.4990973227517745E-2</v>
      </c>
      <c r="L557" s="455">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
      <c r="A558" s="534" t="s">
        <v>624</v>
      </c>
      <c r="B558" s="10">
        <v>9</v>
      </c>
      <c r="C558" s="136" t="s">
        <v>636</v>
      </c>
      <c r="D558" s="140"/>
      <c r="E558" s="140">
        <v>1.0231841082591016</v>
      </c>
      <c r="F558" s="140">
        <v>1.0358890289056439</v>
      </c>
      <c r="G558" s="140">
        <v>1.0481652070229122</v>
      </c>
      <c r="H558" s="140">
        <v>1.0592891805745575</v>
      </c>
      <c r="I558" s="140">
        <v>1.069681907109314</v>
      </c>
      <c r="J558" s="457">
        <f t="shared" si="145"/>
        <v>1.3936381421862798E-2</v>
      </c>
      <c r="K558" s="460">
        <f t="shared" si="144"/>
        <v>1.3563424108683053E-2</v>
      </c>
      <c r="L558" s="455">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
      <c r="A559" s="534" t="s">
        <v>624</v>
      </c>
      <c r="B559" s="10">
        <v>10</v>
      </c>
      <c r="C559" s="136" t="s">
        <v>637</v>
      </c>
      <c r="D559" s="140"/>
      <c r="E559" s="140">
        <v>1.0341666734322146</v>
      </c>
      <c r="F559" s="140">
        <v>1.0480179725760268</v>
      </c>
      <c r="G559" s="140">
        <v>1.0601012155156095</v>
      </c>
      <c r="H559" s="140">
        <v>1.0702848288878077</v>
      </c>
      <c r="I559" s="140">
        <v>1.0797421461131422</v>
      </c>
      <c r="J559" s="457">
        <f t="shared" si="145"/>
        <v>1.5948429222628447E-2</v>
      </c>
      <c r="K559" s="460">
        <f t="shared" si="144"/>
        <v>1.5462782371323147E-2</v>
      </c>
      <c r="L559" s="455">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
      <c r="A560" s="534" t="s">
        <v>624</v>
      </c>
      <c r="B560" s="10">
        <v>11</v>
      </c>
      <c r="C560" s="136" t="s">
        <v>638</v>
      </c>
      <c r="D560" s="140"/>
      <c r="E560" s="140">
        <v>1.0233409873632719</v>
      </c>
      <c r="F560" s="140">
        <v>1.0360814373748364</v>
      </c>
      <c r="G560" s="140">
        <v>1.0482875093579402</v>
      </c>
      <c r="H560" s="140">
        <v>1.0593852390742311</v>
      </c>
      <c r="I560" s="140">
        <v>1.0701308790705675</v>
      </c>
      <c r="J560" s="457">
        <f t="shared" si="145"/>
        <v>1.4026175814113495E-2</v>
      </c>
      <c r="K560" s="460">
        <f t="shared" si="144"/>
        <v>1.364849335671825E-2</v>
      </c>
      <c r="L560" s="455">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
      <c r="A561" s="534" t="s">
        <v>624</v>
      </c>
      <c r="B561" s="10">
        <v>12</v>
      </c>
      <c r="C561" s="136" t="s">
        <v>639</v>
      </c>
      <c r="D561" s="140"/>
      <c r="E561" s="140">
        <v>1.0334066911438702</v>
      </c>
      <c r="F561" s="140">
        <v>1.0470642108004322</v>
      </c>
      <c r="G561" s="140">
        <v>1.0589787988674986</v>
      </c>
      <c r="H561" s="140">
        <v>1.0690674958412283</v>
      </c>
      <c r="I561" s="140">
        <v>1.0784273350333435</v>
      </c>
      <c r="J561" s="457">
        <f t="shared" si="145"/>
        <v>1.5685467006668709E-2</v>
      </c>
      <c r="K561" s="460">
        <f t="shared" si="144"/>
        <v>1.5215354312122953E-2</v>
      </c>
      <c r="L561" s="455">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
      <c r="A562" s="534" t="s">
        <v>624</v>
      </c>
      <c r="B562" s="10">
        <v>13</v>
      </c>
      <c r="C562" s="136" t="s">
        <v>640</v>
      </c>
      <c r="D562" s="140"/>
      <c r="E562" s="140">
        <v>1.0535754755454367</v>
      </c>
      <c r="F562" s="140">
        <v>1.079128927735721</v>
      </c>
      <c r="G562" s="140">
        <v>1.10377830980113</v>
      </c>
      <c r="H562" s="140">
        <v>1.1267313398994689</v>
      </c>
      <c r="I562" s="140">
        <v>1.1493400902365778</v>
      </c>
      <c r="J562" s="457">
        <f t="shared" si="145"/>
        <v>2.9868018047315557E-2</v>
      </c>
      <c r="K562" s="460">
        <f t="shared" si="144"/>
        <v>2.8228674820024224E-2</v>
      </c>
      <c r="L562" s="455">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
      <c r="A563" s="57"/>
      <c r="B563" s="366">
        <v>14</v>
      </c>
      <c r="C563" s="136" t="s">
        <v>641</v>
      </c>
      <c r="D563" s="140"/>
      <c r="E563" s="140">
        <v>1.0081055095898279</v>
      </c>
      <c r="F563" s="140">
        <v>1.0157451629461605</v>
      </c>
      <c r="G563" s="140">
        <v>1.0222827798035592</v>
      </c>
      <c r="H563" s="140">
        <v>1.0276922014787842</v>
      </c>
      <c r="I563" s="140">
        <v>1.032997413899986</v>
      </c>
      <c r="J563" s="457">
        <f t="shared" si="145"/>
        <v>6.5994827799972008E-3</v>
      </c>
      <c r="K563" s="460">
        <f t="shared" si="144"/>
        <v>6.5140621434043311E-3</v>
      </c>
      <c r="L563" s="455">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
      <c r="B564" s="10">
        <v>15</v>
      </c>
      <c r="C564" s="136"/>
      <c r="D564" s="140"/>
      <c r="E564" s="140"/>
      <c r="F564" s="140"/>
      <c r="G564" s="140"/>
      <c r="H564" s="140"/>
      <c r="I564" s="140"/>
      <c r="J564" s="458" t="s">
        <v>642</v>
      </c>
      <c r="K564" s="6"/>
      <c r="L564" s="311"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
      <c r="E565" s="14"/>
      <c r="L565" s="311"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
      <c r="E566" s="14"/>
      <c r="L566" s="311" t="s">
        <v>645</v>
      </c>
      <c r="M566" s="12"/>
      <c r="N566" s="12"/>
      <c r="O566" s="12"/>
      <c r="P566" s="12"/>
      <c r="Q566" s="12"/>
      <c r="R566" s="454"/>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
      <c r="C567" s="470" t="s">
        <v>646</v>
      </c>
      <c r="E567" s="14"/>
      <c r="L567" s="311" t="s">
        <v>647</v>
      </c>
      <c r="M567" s="12"/>
      <c r="N567" s="12"/>
      <c r="O567" s="12"/>
      <c r="P567" s="12"/>
      <c r="Q567" s="12"/>
      <c r="R567" s="454"/>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
      <c r="E568" s="14"/>
      <c r="L568" s="311"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
      <c r="E569" s="14"/>
      <c r="L569" s="311"/>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
      <c r="C570" s="10"/>
      <c r="L570" s="311"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x14ac:dyDescent="0.25">
      <c r="C571" s="10"/>
      <c r="L571" s="311" t="s">
        <v>650</v>
      </c>
      <c r="M571" s="12"/>
      <c r="N571" s="12"/>
      <c r="O571" s="556"/>
      <c r="P571" s="557" t="s">
        <v>651</v>
      </c>
      <c r="Q571" s="558"/>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x14ac:dyDescent="0.2">
      <c r="C572" s="10"/>
      <c r="M572" s="12"/>
      <c r="N572" s="12"/>
      <c r="O572" s="561" t="s">
        <v>621</v>
      </c>
      <c r="P572" s="561" t="s">
        <v>622</v>
      </c>
      <c r="Q572" s="562"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
      <c r="A573" s="532"/>
      <c r="B573" s="533"/>
      <c r="C573" s="136" t="s">
        <v>628</v>
      </c>
      <c r="D573" s="555"/>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57">
        <f>(N573-100%)/10</f>
        <v>6.0996339197137541E-3</v>
      </c>
      <c r="P573" s="460">
        <f>(N573/100%)^(1/10)-1</f>
        <v>5.9384037531065026E-3</v>
      </c>
      <c r="Q573" s="559">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
      <c r="A574" s="534" t="s">
        <v>653</v>
      </c>
      <c r="C574" s="136" t="s">
        <v>629</v>
      </c>
      <c r="D574" s="555"/>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57">
        <f t="shared" ref="O574:O586" si="146">(N574-100%)/10</f>
        <v>-6.0280923298853817E-3</v>
      </c>
      <c r="P574" s="460">
        <f t="shared" ref="P574:P586" si="147">(N574/100%)^(1/10)-1</f>
        <v>-6.1981420710855994E-3</v>
      </c>
      <c r="Q574" s="559">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
      <c r="A575" s="534" t="s">
        <v>653</v>
      </c>
      <c r="C575" s="136" t="s">
        <v>630</v>
      </c>
      <c r="D575" s="555"/>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57">
        <f t="shared" si="146"/>
        <v>1.5087615236704566E-2</v>
      </c>
      <c r="P575" s="460">
        <f t="shared" si="147"/>
        <v>1.4151550808456648E-2</v>
      </c>
      <c r="Q575" s="559">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
      <c r="A576" s="534" t="s">
        <v>653</v>
      </c>
      <c r="C576" s="136" t="s">
        <v>631</v>
      </c>
      <c r="D576" s="555"/>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57">
        <f t="shared" si="146"/>
        <v>8.1374209845206378E-4</v>
      </c>
      <c r="P576" s="460">
        <f t="shared" si="147"/>
        <v>8.1077757246905691E-4</v>
      </c>
      <c r="Q576" s="559">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
      <c r="A577" s="534" t="s">
        <v>653</v>
      </c>
      <c r="C577" s="136" t="s">
        <v>632</v>
      </c>
      <c r="D577" s="555"/>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57">
        <f t="shared" si="146"/>
        <v>2.5619811438394092E-3</v>
      </c>
      <c r="P577" s="460">
        <f t="shared" si="147"/>
        <v>2.5329148145079028E-3</v>
      </c>
      <c r="Q577" s="559">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
      <c r="A578" s="534" t="s">
        <v>653</v>
      </c>
      <c r="C578" s="449" t="s">
        <v>633</v>
      </c>
      <c r="D578" s="450"/>
      <c r="E578" s="450">
        <v>1.0123419501207302</v>
      </c>
      <c r="F578" s="450">
        <v>1.0224746276334522</v>
      </c>
      <c r="G578" s="450">
        <v>1.0318096590054313</v>
      </c>
      <c r="H578" s="450">
        <v>1.040568100689119</v>
      </c>
      <c r="I578" s="450">
        <v>1.0491476885800255</v>
      </c>
      <c r="J578" s="450">
        <v>1.0546473961073131</v>
      </c>
      <c r="K578" s="450">
        <v>1.0600156863772707</v>
      </c>
      <c r="L578" s="450">
        <v>1.0652587749595908</v>
      </c>
      <c r="M578" s="450">
        <v>1.0703773048442411</v>
      </c>
      <c r="N578" s="450">
        <v>1.0753751834317971</v>
      </c>
      <c r="O578" s="468">
        <f t="shared" si="146"/>
        <v>7.5375183431797051E-3</v>
      </c>
      <c r="P578" s="469">
        <f t="shared" si="147"/>
        <v>7.2934292896156272E-3</v>
      </c>
      <c r="Q578" s="469">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
      <c r="A579" s="534" t="s">
        <v>653</v>
      </c>
      <c r="C579" s="136" t="s">
        <v>634</v>
      </c>
      <c r="D579" s="555"/>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57">
        <f t="shared" si="146"/>
        <v>9.7308873986410305E-3</v>
      </c>
      <c r="P579" s="460">
        <f t="shared" si="147"/>
        <v>9.3293197294876951E-3</v>
      </c>
      <c r="Q579" s="559">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
      <c r="A580" s="534" t="s">
        <v>653</v>
      </c>
      <c r="C580" s="136" t="s">
        <v>635</v>
      </c>
      <c r="D580" s="555"/>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57">
        <f t="shared" si="146"/>
        <v>1.0416577441320607E-2</v>
      </c>
      <c r="P580" s="460">
        <f t="shared" si="147"/>
        <v>9.95826625164975E-3</v>
      </c>
      <c r="Q580" s="559">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
      <c r="A581" s="534" t="s">
        <v>653</v>
      </c>
      <c r="C581" s="136" t="s">
        <v>636</v>
      </c>
      <c r="D581" s="555"/>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57">
        <f t="shared" si="146"/>
        <v>9.64227339891921E-3</v>
      </c>
      <c r="P581" s="460">
        <f t="shared" si="147"/>
        <v>9.2477809488915597E-3</v>
      </c>
      <c r="Q581" s="559">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
      <c r="A582" s="534" t="s">
        <v>653</v>
      </c>
      <c r="C582" s="136" t="s">
        <v>637</v>
      </c>
      <c r="D582" s="555"/>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57">
        <f t="shared" si="146"/>
        <v>1.0673446748664817E-2</v>
      </c>
      <c r="P582" s="460">
        <f t="shared" si="147"/>
        <v>1.0192973847719333E-2</v>
      </c>
      <c r="Q582" s="559">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
      <c r="A583" s="534" t="s">
        <v>653</v>
      </c>
      <c r="C583" s="136" t="s">
        <v>638</v>
      </c>
      <c r="D583" s="555"/>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57">
        <f t="shared" si="146"/>
        <v>9.6882929737077683E-3</v>
      </c>
      <c r="P583" s="460">
        <f t="shared" si="147"/>
        <v>9.2901335764377091E-3</v>
      </c>
      <c r="Q583" s="559">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
      <c r="A584" s="534" t="s">
        <v>653</v>
      </c>
      <c r="C584" s="136" t="s">
        <v>639</v>
      </c>
      <c r="D584" s="555"/>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57">
        <f t="shared" si="146"/>
        <v>1.0538678763041154E-2</v>
      </c>
      <c r="P584" s="460">
        <f t="shared" si="147"/>
        <v>1.0069894342066732E-2</v>
      </c>
      <c r="Q584" s="559">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
      <c r="A585" s="534" t="s">
        <v>653</v>
      </c>
      <c r="C585" s="136" t="s">
        <v>640</v>
      </c>
      <c r="D585" s="555"/>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57">
        <f t="shared" si="146"/>
        <v>1.7807228078299507E-2</v>
      </c>
      <c r="P585" s="460">
        <f t="shared" si="147"/>
        <v>1.6522963134986579E-2</v>
      </c>
      <c r="Q585" s="559">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
      <c r="A586" s="57"/>
      <c r="B586" s="366"/>
      <c r="C586" s="136" t="s">
        <v>641</v>
      </c>
      <c r="D586" s="555"/>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57">
        <f t="shared" si="146"/>
        <v>5.8821170316610384E-3</v>
      </c>
      <c r="P586" s="460">
        <f t="shared" si="147"/>
        <v>5.7319838926312983E-3</v>
      </c>
      <c r="Q586" s="559">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
      <c r="C587" s="10"/>
      <c r="E587" s="14"/>
      <c r="M587" s="12"/>
      <c r="N587" s="12"/>
      <c r="O587" s="458" t="s">
        <v>642</v>
      </c>
      <c r="P587" s="458" t="s">
        <v>642</v>
      </c>
      <c r="Q587" s="560"/>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
      <c r="C588" s="10"/>
      <c r="E588" s="14"/>
      <c r="M588" s="12"/>
      <c r="N588" s="12"/>
      <c r="O588" s="458" t="s">
        <v>654</v>
      </c>
      <c r="P588" s="458" t="s">
        <v>654</v>
      </c>
      <c r="Q588" s="560"/>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
      <c r="C589" s="10"/>
      <c r="E589" s="14"/>
      <c r="M589" s="12"/>
      <c r="N589" s="12"/>
      <c r="O589" s="12"/>
      <c r="P589" s="12"/>
      <c r="Q589" s="560"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
      <c r="E590" s="14"/>
      <c r="M590" s="12"/>
      <c r="N590" s="12"/>
      <c r="O590" s="12"/>
      <c r="P590" s="12"/>
      <c r="Q590" s="560"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07"/>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89" t="str">
        <f>'Inputs and eligible population'!B1</f>
        <v>Durvalumab with chemotherapy before surgery (neoadjuvant) then alone after surgery (adjuvant) for treating resectable non-small-cell lung cancer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25">
      <c r="B2" s="210" t="s">
        <v>837</v>
      </c>
      <c r="C2" s="125" t="s">
        <v>745</v>
      </c>
      <c r="D2" s="125" t="s">
        <v>745</v>
      </c>
      <c r="E2" s="125" t="s">
        <v>745</v>
      </c>
      <c r="F2" s="125" t="s">
        <v>745</v>
      </c>
      <c r="G2" s="125" t="s">
        <v>745</v>
      </c>
      <c r="H2" s="125" t="s">
        <v>745</v>
      </c>
      <c r="I2" s="125" t="s">
        <v>745</v>
      </c>
      <c r="J2" s="125" t="s">
        <v>745</v>
      </c>
      <c r="K2" s="125"/>
      <c r="L2" s="125" t="s">
        <v>745</v>
      </c>
      <c r="M2" s="125" t="s">
        <v>745</v>
      </c>
      <c r="N2" s="125" t="s">
        <v>745</v>
      </c>
      <c r="O2" s="125" t="s">
        <v>745</v>
      </c>
      <c r="P2" s="125" t="s">
        <v>745</v>
      </c>
      <c r="Q2" s="125"/>
      <c r="R2" s="125"/>
      <c r="S2" s="125"/>
      <c r="T2" s="125"/>
      <c r="U2" s="125"/>
      <c r="V2" s="125"/>
      <c r="W2" s="125"/>
      <c r="X2" s="125"/>
      <c r="Y2" s="125"/>
      <c r="Z2" s="125"/>
    </row>
    <row r="3" spans="1:40" ht="14.45" customHeight="1" x14ac:dyDescent="0.25">
      <c r="B3" s="128" t="s">
        <v>745</v>
      </c>
      <c r="C3" s="131" t="s">
        <v>745</v>
      </c>
      <c r="D3" s="131" t="s">
        <v>745</v>
      </c>
      <c r="E3" s="131" t="s">
        <v>745</v>
      </c>
      <c r="F3" s="131" t="s">
        <v>745</v>
      </c>
      <c r="G3" s="131" t="s">
        <v>745</v>
      </c>
      <c r="H3" s="131" t="s">
        <v>745</v>
      </c>
      <c r="I3" s="131" t="s">
        <v>745</v>
      </c>
      <c r="J3" s="131" t="s">
        <v>745</v>
      </c>
      <c r="K3" s="131"/>
      <c r="L3" s="131" t="s">
        <v>745</v>
      </c>
      <c r="M3" s="131" t="s">
        <v>745</v>
      </c>
      <c r="N3" s="131" t="s">
        <v>745</v>
      </c>
      <c r="O3" s="131" t="s">
        <v>745</v>
      </c>
      <c r="P3" s="131" t="s">
        <v>745</v>
      </c>
      <c r="Q3" s="131"/>
      <c r="R3" s="131"/>
      <c r="S3" s="125"/>
      <c r="T3" s="125"/>
      <c r="U3" s="125"/>
      <c r="V3" s="125"/>
      <c r="W3" s="125"/>
      <c r="X3" s="125"/>
      <c r="Y3" s="131"/>
      <c r="Z3" s="131"/>
    </row>
    <row r="4" spans="1:40" ht="14.45" customHeight="1" x14ac:dyDescent="0.25">
      <c r="B4" t="s">
        <v>816</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25"/>
      <c r="T5" s="125"/>
      <c r="U5" s="125"/>
      <c r="V5" s="125"/>
      <c r="W5" s="125"/>
      <c r="X5" s="125"/>
      <c r="Y5" s="131"/>
      <c r="Z5" s="131"/>
    </row>
    <row r="6" spans="1:40" ht="45" x14ac:dyDescent="0.25">
      <c r="B6" s="249" t="s">
        <v>781</v>
      </c>
      <c r="C6" s="205"/>
      <c r="D6" s="384" t="s">
        <v>809</v>
      </c>
      <c r="E6" s="247" t="s">
        <v>676</v>
      </c>
      <c r="F6" s="247" t="s">
        <v>677</v>
      </c>
      <c r="G6" s="161" t="s">
        <v>778</v>
      </c>
      <c r="H6" s="161" t="s">
        <v>779</v>
      </c>
      <c r="I6" s="247" t="s">
        <v>780</v>
      </c>
      <c r="L6" s="384" t="s">
        <v>809</v>
      </c>
      <c r="M6" s="247" t="s">
        <v>676</v>
      </c>
      <c r="N6" s="247" t="s">
        <v>677</v>
      </c>
      <c r="O6" s="161" t="s">
        <v>778</v>
      </c>
      <c r="P6" s="161" t="s">
        <v>779</v>
      </c>
      <c r="Q6" s="247" t="s">
        <v>780</v>
      </c>
      <c r="R6" s="131"/>
      <c r="S6" s="125"/>
      <c r="T6" s="125"/>
      <c r="U6" s="125"/>
      <c r="V6" s="125"/>
      <c r="W6" s="125"/>
      <c r="X6" s="125"/>
      <c r="Y6" s="131"/>
      <c r="Z6" s="131"/>
      <c r="AJ6" s="277"/>
      <c r="AK6" s="277"/>
      <c r="AL6" s="277"/>
      <c r="AM6" s="277"/>
      <c r="AN6" s="277"/>
    </row>
    <row r="7" spans="1:40" ht="14.45" customHeight="1" x14ac:dyDescent="0.25">
      <c r="B7" s="219" t="s">
        <v>1137</v>
      </c>
      <c r="C7" s="164"/>
      <c r="D7" s="351">
        <f>'Inputs and eligible population'!L83</f>
        <v>1995.8519960999997</v>
      </c>
      <c r="E7" s="351">
        <f>'Inputs and eligible population'!M83</f>
        <v>2015.0956167728939</v>
      </c>
      <c r="F7" s="351">
        <f>'Inputs and eligible population'!N83</f>
        <v>2034.5247807312253</v>
      </c>
      <c r="G7" s="351">
        <f>'Inputs and eligible population'!O83</f>
        <v>2054.1412769476278</v>
      </c>
      <c r="H7" s="351">
        <f>'Inputs and eligible population'!P83</f>
        <v>2073.9469116436658</v>
      </c>
      <c r="I7" s="351">
        <f>'Inputs and eligible population'!Q83</f>
        <v>2093.9435084561437</v>
      </c>
      <c r="P7" s="131"/>
      <c r="Q7" s="131"/>
      <c r="R7" s="131"/>
      <c r="S7" s="125"/>
      <c r="T7" s="125"/>
      <c r="U7" s="125"/>
      <c r="V7" s="125"/>
      <c r="W7" s="125"/>
      <c r="X7" s="125"/>
      <c r="Y7" s="131"/>
      <c r="Z7" s="131"/>
      <c r="AJ7" s="277"/>
      <c r="AK7" s="277"/>
      <c r="AL7" s="277"/>
      <c r="AM7" s="277"/>
      <c r="AN7" s="277"/>
    </row>
    <row r="8" spans="1:40" ht="14.45" customHeight="1" x14ac:dyDescent="0.25">
      <c r="B8" s="219" t="s">
        <v>1138</v>
      </c>
      <c r="C8" s="164"/>
      <c r="D8" s="351">
        <f>'Inputs and eligible population'!L94</f>
        <v>71.05233106115999</v>
      </c>
      <c r="E8" s="351">
        <f>'Inputs and eligible population'!M94</f>
        <v>486.4440818889766</v>
      </c>
      <c r="F8" s="351">
        <f>'Inputs and eligible population'!N94</f>
        <v>837.41039974897228</v>
      </c>
      <c r="G8" s="351">
        <f>'Inputs and eligible population'!O94</f>
        <v>939.42727732404842</v>
      </c>
      <c r="H8" s="351">
        <f>'Inputs and eligible population'!P94</f>
        <v>948.4850542583697</v>
      </c>
      <c r="I8" s="351">
        <f>'Inputs and eligible population'!Q94</f>
        <v>957.63016453394312</v>
      </c>
      <c r="P8" s="131"/>
      <c r="Q8" s="131"/>
      <c r="R8" s="131"/>
      <c r="S8" s="125"/>
      <c r="T8" s="125"/>
      <c r="U8" s="125"/>
      <c r="V8" s="125"/>
      <c r="W8" s="125"/>
      <c r="X8" s="125"/>
      <c r="Y8" s="131"/>
      <c r="Z8" s="131"/>
      <c r="AJ8" s="277"/>
      <c r="AK8" s="277"/>
      <c r="AL8" s="277"/>
      <c r="AM8" s="277"/>
      <c r="AN8" s="277"/>
    </row>
    <row r="9" spans="1:40" ht="14.45" customHeight="1" x14ac:dyDescent="0.25">
      <c r="B9" s="219" t="s">
        <v>1139</v>
      </c>
      <c r="C9" s="164"/>
      <c r="D9" s="351">
        <f>'Financial impact (cash)'!D22</f>
        <v>2066.9043271611599</v>
      </c>
      <c r="E9" s="351">
        <f>'Financial impact (cash)'!E22</f>
        <v>2501.5396986618707</v>
      </c>
      <c r="F9" s="351">
        <f>'Financial impact (cash)'!F22</f>
        <v>2871.9351804801977</v>
      </c>
      <c r="G9" s="351">
        <f>'Financial impact (cash)'!G22</f>
        <v>2993.5685542716765</v>
      </c>
      <c r="H9" s="351">
        <f>'Financial impact (cash)'!H22</f>
        <v>3022.4319659020357</v>
      </c>
      <c r="I9" s="351">
        <f>'Financial impact (cash)'!I22</f>
        <v>3051.5736729900868</v>
      </c>
      <c r="P9" s="131"/>
      <c r="Q9" s="131"/>
      <c r="R9" s="131"/>
      <c r="S9" s="125"/>
      <c r="T9" s="125"/>
      <c r="U9" s="125"/>
      <c r="V9" s="125"/>
      <c r="W9" s="125"/>
      <c r="X9" s="125"/>
      <c r="Y9" s="131"/>
      <c r="Z9" s="131"/>
      <c r="AJ9" s="277"/>
      <c r="AK9" s="277"/>
      <c r="AL9" s="277"/>
      <c r="AM9" s="277"/>
      <c r="AN9" s="277"/>
    </row>
    <row r="10" spans="1:40" ht="14.45" customHeight="1" x14ac:dyDescent="0.25">
      <c r="B10"/>
      <c r="P10" s="131"/>
      <c r="Q10" s="131"/>
      <c r="R10" s="131"/>
      <c r="S10" s="125"/>
      <c r="T10" s="125"/>
      <c r="U10" s="125"/>
      <c r="V10" s="125"/>
      <c r="W10" s="125"/>
      <c r="X10" s="125"/>
      <c r="Y10" s="131"/>
      <c r="Z10" s="131"/>
      <c r="AJ10" s="277"/>
      <c r="AK10" s="277"/>
      <c r="AL10" s="277"/>
      <c r="AM10" s="277"/>
      <c r="AN10" s="277"/>
    </row>
    <row r="11" spans="1:40" ht="14.45" customHeight="1" x14ac:dyDescent="0.25">
      <c r="B11" s="270" t="s">
        <v>817</v>
      </c>
      <c r="C11" s="393"/>
      <c r="D11" s="393"/>
      <c r="E11" s="394"/>
      <c r="F11" s="393"/>
      <c r="G11" s="395"/>
      <c r="H11" s="396"/>
      <c r="I11" s="396"/>
      <c r="J11" s="515"/>
      <c r="K11" s="514"/>
      <c r="L11" s="619" t="s">
        <v>785</v>
      </c>
      <c r="M11" s="619" t="s">
        <v>785</v>
      </c>
      <c r="N11" s="619" t="s">
        <v>785</v>
      </c>
      <c r="O11" s="619" t="s">
        <v>785</v>
      </c>
      <c r="P11" s="619" t="s">
        <v>785</v>
      </c>
      <c r="Q11" s="619" t="s">
        <v>785</v>
      </c>
      <c r="R11" s="131"/>
      <c r="S11" s="125"/>
      <c r="T11" s="125"/>
      <c r="U11" s="125"/>
      <c r="V11" s="125"/>
      <c r="W11" s="125"/>
      <c r="X11" s="125"/>
      <c r="Y11" s="131"/>
      <c r="Z11" s="131"/>
      <c r="AJ11" s="277"/>
      <c r="AK11" s="277"/>
      <c r="AL11" s="277"/>
      <c r="AM11" s="277"/>
      <c r="AN11" s="277"/>
    </row>
    <row r="12" spans="1:40" ht="14.45" customHeight="1" x14ac:dyDescent="0.25">
      <c r="A12" s="279"/>
      <c r="B12" s="400" t="str">
        <f>B24</f>
        <v>First attendances - number of appointments</v>
      </c>
      <c r="C12" s="356"/>
      <c r="D12" s="386">
        <f>D29</f>
        <v>1995.8519960999997</v>
      </c>
      <c r="E12" s="386">
        <f t="shared" ref="E12:I12" si="0">E29</f>
        <v>2015.0956167728939</v>
      </c>
      <c r="F12" s="386">
        <f t="shared" si="0"/>
        <v>2034.5247807312253</v>
      </c>
      <c r="G12" s="386">
        <f t="shared" si="0"/>
        <v>2054.1412769476278</v>
      </c>
      <c r="H12" s="386">
        <f t="shared" si="0"/>
        <v>2073.9469116436658</v>
      </c>
      <c r="I12" s="386">
        <f t="shared" si="0"/>
        <v>2093.9435084561437</v>
      </c>
      <c r="L12" s="281">
        <f>L29</f>
        <v>636.6767867558998</v>
      </c>
      <c r="M12" s="281">
        <f t="shared" ref="M12:Q12" si="1">M29</f>
        <v>642.81550175055315</v>
      </c>
      <c r="N12" s="281">
        <f t="shared" si="1"/>
        <v>649.01340505326084</v>
      </c>
      <c r="O12" s="281">
        <f t="shared" si="1"/>
        <v>655.27106734629319</v>
      </c>
      <c r="P12" s="281">
        <f t="shared" si="1"/>
        <v>661.58906481432928</v>
      </c>
      <c r="Q12" s="281">
        <f t="shared" si="1"/>
        <v>667.96797919750986</v>
      </c>
      <c r="R12" s="131"/>
      <c r="S12" s="131"/>
      <c r="T12" s="131"/>
      <c r="U12" s="131"/>
      <c r="V12" s="131"/>
      <c r="W12" s="131"/>
      <c r="X12" s="131"/>
      <c r="Y12" s="131"/>
      <c r="Z12" s="131"/>
      <c r="AJ12" s="277"/>
      <c r="AK12" s="277"/>
      <c r="AL12" s="277"/>
      <c r="AM12" s="277"/>
      <c r="AN12" s="277"/>
    </row>
    <row r="13" spans="1:40" ht="14.45" customHeight="1" x14ac:dyDescent="0.25">
      <c r="A13" s="279"/>
      <c r="B13" s="400" t="str">
        <f>B32</f>
        <v>Follow up attendances - number of appointments</v>
      </c>
      <c r="C13" s="356"/>
      <c r="D13" s="386">
        <f>D39</f>
        <v>6200.7129814834789</v>
      </c>
      <c r="E13" s="386">
        <f t="shared" ref="E13:I13" si="2">E39</f>
        <v>7504.6190959856121</v>
      </c>
      <c r="F13" s="386">
        <f t="shared" si="2"/>
        <v>8615.8055414405935</v>
      </c>
      <c r="G13" s="386">
        <f t="shared" si="2"/>
        <v>8980.7056628150276</v>
      </c>
      <c r="H13" s="386">
        <f t="shared" si="2"/>
        <v>9067.2958977061062</v>
      </c>
      <c r="I13" s="386">
        <f t="shared" si="2"/>
        <v>9154.72101897026</v>
      </c>
      <c r="K13" s="514"/>
      <c r="L13" s="281">
        <f>L39</f>
        <v>899.10338231510457</v>
      </c>
      <c r="M13" s="281">
        <f t="shared" ref="M13:Q13" si="3">M39</f>
        <v>1088.1697689179136</v>
      </c>
      <c r="N13" s="281">
        <f t="shared" si="3"/>
        <v>1249.291803508886</v>
      </c>
      <c r="O13" s="281">
        <f t="shared" si="3"/>
        <v>1302.2023211081791</v>
      </c>
      <c r="P13" s="281">
        <f t="shared" si="3"/>
        <v>1314.7579051673856</v>
      </c>
      <c r="Q13" s="281">
        <f t="shared" si="3"/>
        <v>1327.4345477506877</v>
      </c>
      <c r="R13" s="131"/>
      <c r="S13" s="131"/>
      <c r="T13" s="131"/>
      <c r="U13" s="131"/>
      <c r="V13" s="131"/>
      <c r="W13" s="131"/>
      <c r="X13" s="131"/>
      <c r="Y13" s="131"/>
      <c r="Z13" s="131"/>
      <c r="AJ13" s="277"/>
      <c r="AK13" s="277"/>
      <c r="AL13" s="277"/>
      <c r="AM13" s="277"/>
      <c r="AN13" s="277"/>
    </row>
    <row r="14" spans="1:40" ht="14.45" customHeight="1" x14ac:dyDescent="0.25">
      <c r="A14" s="285"/>
      <c r="B14" s="397" t="str">
        <f>B43</f>
        <v>Number of administrations</v>
      </c>
      <c r="C14" s="380"/>
      <c r="D14" s="379">
        <f>D48</f>
        <v>8791.5683746608102</v>
      </c>
      <c r="E14" s="379">
        <f t="shared" ref="E14:I14" si="4">E48</f>
        <v>12747.857588916346</v>
      </c>
      <c r="F14" s="379">
        <f t="shared" si="4"/>
        <v>16277.25619873578</v>
      </c>
      <c r="G14" s="379">
        <f t="shared" si="4"/>
        <v>17311.207140100236</v>
      </c>
      <c r="H14" s="379">
        <f t="shared" si="4"/>
        <v>17478.118466313274</v>
      </c>
      <c r="I14" s="379">
        <f t="shared" si="4"/>
        <v>17646.639119397201</v>
      </c>
      <c r="L14" s="281">
        <f>L48</f>
        <v>1512.1497604416595</v>
      </c>
      <c r="M14" s="281">
        <f t="shared" ref="M14:Q14" si="5">M48</f>
        <v>2192.6315052936116</v>
      </c>
      <c r="N14" s="281">
        <f t="shared" si="5"/>
        <v>2799.6880661825544</v>
      </c>
      <c r="O14" s="281">
        <f t="shared" si="5"/>
        <v>2977.5276280972407</v>
      </c>
      <c r="P14" s="281">
        <f t="shared" si="5"/>
        <v>3006.2363762058826</v>
      </c>
      <c r="Q14" s="281">
        <f t="shared" si="5"/>
        <v>3035.2219285363185</v>
      </c>
      <c r="R14" s="131"/>
      <c r="S14" s="131"/>
      <c r="T14" s="131"/>
      <c r="U14" s="131"/>
      <c r="V14" s="131"/>
      <c r="W14" s="131"/>
      <c r="X14" s="131"/>
      <c r="Y14" s="131"/>
      <c r="Z14" s="131"/>
      <c r="AJ14" s="277"/>
      <c r="AK14" s="277"/>
      <c r="AL14" s="277"/>
      <c r="AM14" s="277"/>
      <c r="AN14" s="277"/>
    </row>
    <row r="15" spans="1:40" ht="14.45" customHeight="1" x14ac:dyDescent="0.25">
      <c r="A15" s="285"/>
      <c r="B15" s="397" t="str">
        <f>B51</f>
        <v>Administrations - number of cycles</v>
      </c>
      <c r="C15" s="380"/>
      <c r="D15" s="379">
        <f>D58</f>
        <v>6438.219369019379</v>
      </c>
      <c r="E15" s="379">
        <f t="shared" ref="E15:I15" si="6">E58</f>
        <v>10561.519146630091</v>
      </c>
      <c r="F15" s="379">
        <f t="shared" si="6"/>
        <v>14304.336828365098</v>
      </c>
      <c r="G15" s="379">
        <f t="shared" si="6"/>
        <v>15362.237896532326</v>
      </c>
      <c r="H15" s="379">
        <f t="shared" si="6"/>
        <v>15510.357636545761</v>
      </c>
      <c r="I15" s="379">
        <f t="shared" si="6"/>
        <v>15659.905518574013</v>
      </c>
      <c r="K15" s="514"/>
      <c r="L15" s="203"/>
      <c r="M15" s="203"/>
      <c r="N15" s="203"/>
      <c r="O15" s="203"/>
      <c r="P15" s="378"/>
      <c r="Q15" s="378"/>
      <c r="R15" s="131"/>
      <c r="S15" s="131"/>
      <c r="T15" s="131"/>
      <c r="U15" s="131"/>
      <c r="V15" s="131"/>
      <c r="W15" s="131"/>
      <c r="X15" s="131"/>
      <c r="Y15" s="131"/>
      <c r="Z15" s="131"/>
      <c r="AJ15" s="277"/>
      <c r="AK15" s="277"/>
      <c r="AL15" s="277"/>
      <c r="AM15" s="277"/>
      <c r="AN15" s="277"/>
    </row>
    <row r="16" spans="1:40" ht="14.45" customHeight="1" x14ac:dyDescent="0.25">
      <c r="A16" s="278"/>
      <c r="B16" s="398" t="str">
        <f>B62</f>
        <v>Administrations - duration of administrations (hours)</v>
      </c>
      <c r="C16" s="401"/>
      <c r="D16" s="381">
        <f>D69</f>
        <v>3219.1096845096895</v>
      </c>
      <c r="E16" s="381">
        <f t="shared" ref="E16:I16" si="7">E69</f>
        <v>7082.2550547100127</v>
      </c>
      <c r="F16" s="381">
        <f t="shared" si="7"/>
        <v>10789.898722129979</v>
      </c>
      <c r="G16" s="381">
        <f t="shared" si="7"/>
        <v>11762.012951802117</v>
      </c>
      <c r="H16" s="381">
        <f t="shared" si="7"/>
        <v>11875.42001607163</v>
      </c>
      <c r="I16" s="381">
        <f t="shared" si="7"/>
        <v>11989.92052941988</v>
      </c>
      <c r="L16" s="203"/>
      <c r="M16" s="203"/>
      <c r="N16" s="203"/>
      <c r="O16" s="203"/>
      <c r="P16" s="378"/>
      <c r="Q16" s="378"/>
      <c r="R16" s="131"/>
      <c r="S16" s="131"/>
      <c r="T16" s="131"/>
      <c r="U16" s="131"/>
      <c r="V16" s="131"/>
      <c r="W16" s="131"/>
      <c r="X16" s="131"/>
      <c r="Y16" s="131"/>
      <c r="Z16" s="131"/>
      <c r="AJ16" s="277"/>
      <c r="AK16" s="277"/>
      <c r="AL16" s="277"/>
      <c r="AM16" s="277"/>
      <c r="AN16" s="277"/>
    </row>
    <row r="17" spans="1:40" ht="14.45" customHeight="1" x14ac:dyDescent="0.25">
      <c r="A17" s="278"/>
      <c r="B17" s="398" t="str">
        <f>B72</f>
        <v>Preparation time before administration (hours)</v>
      </c>
      <c r="C17" s="401"/>
      <c r="D17" s="381">
        <f>D79</f>
        <v>3219.1096845096895</v>
      </c>
      <c r="E17" s="381">
        <f t="shared" ref="E17:I17" si="8">E79</f>
        <v>5280.7595733150456</v>
      </c>
      <c r="F17" s="381">
        <f t="shared" si="8"/>
        <v>7152.168414182549</v>
      </c>
      <c r="G17" s="381">
        <f t="shared" si="8"/>
        <v>7681.118948266163</v>
      </c>
      <c r="H17" s="381">
        <f t="shared" si="8"/>
        <v>7755.1788182728806</v>
      </c>
      <c r="I17" s="381">
        <f t="shared" si="8"/>
        <v>7829.9527592870063</v>
      </c>
      <c r="K17" s="514"/>
      <c r="L17" s="203"/>
      <c r="M17" s="203"/>
      <c r="N17" s="203"/>
      <c r="O17" s="203"/>
      <c r="P17" s="378"/>
      <c r="Q17" s="378"/>
      <c r="R17" s="131"/>
      <c r="S17" s="131"/>
      <c r="T17" s="131"/>
      <c r="U17" s="131"/>
      <c r="V17" s="131"/>
      <c r="W17" s="131"/>
      <c r="X17" s="131"/>
      <c r="Y17" s="131"/>
      <c r="Z17" s="131"/>
      <c r="AJ17" s="277"/>
      <c r="AK17" s="277"/>
      <c r="AL17" s="277"/>
      <c r="AM17" s="277"/>
      <c r="AN17" s="277"/>
    </row>
    <row r="18" spans="1:40" ht="14.45" customHeight="1" x14ac:dyDescent="0.25">
      <c r="A18" s="278"/>
      <c r="B18" s="398" t="str">
        <f>B82</f>
        <v>Post administration nursing time (hours)</v>
      </c>
      <c r="C18" s="401"/>
      <c r="D18" s="381">
        <f>D89</f>
        <v>3219.1096845096895</v>
      </c>
      <c r="E18" s="382">
        <f t="shared" ref="E18:I18" si="9">E89</f>
        <v>5280.7595733150456</v>
      </c>
      <c r="F18" s="381">
        <f t="shared" si="9"/>
        <v>7152.168414182549</v>
      </c>
      <c r="G18" s="381">
        <f t="shared" si="9"/>
        <v>7681.118948266163</v>
      </c>
      <c r="H18" s="381">
        <f t="shared" si="9"/>
        <v>7755.1788182728806</v>
      </c>
      <c r="I18" s="381">
        <f t="shared" si="9"/>
        <v>7829.9527592870063</v>
      </c>
      <c r="L18" s="203"/>
      <c r="M18" s="203"/>
      <c r="N18" s="203"/>
      <c r="O18" s="203"/>
      <c r="P18" s="378"/>
      <c r="Q18" s="378"/>
      <c r="R18" s="131"/>
      <c r="S18" s="131"/>
      <c r="T18" s="131"/>
      <c r="U18" s="131"/>
      <c r="V18" s="131"/>
      <c r="W18" s="131"/>
      <c r="X18" s="131"/>
      <c r="Y18" s="131"/>
      <c r="Z18" s="131"/>
      <c r="AJ18" s="277"/>
      <c r="AK18" s="277"/>
      <c r="AL18" s="277"/>
      <c r="AM18" s="277"/>
      <c r="AN18" s="277"/>
    </row>
    <row r="19" spans="1:40" ht="14.45" customHeight="1" x14ac:dyDescent="0.25">
      <c r="A19" s="280"/>
      <c r="B19" s="399" t="str">
        <f>B93</f>
        <v>Pharmacy support (hours)</v>
      </c>
      <c r="C19" s="402"/>
      <c r="D19" s="383">
        <f>D100</f>
        <v>1609.5548422548447</v>
      </c>
      <c r="E19" s="383">
        <f t="shared" ref="E19:I19" si="10">E100</f>
        <v>2640.3797866575228</v>
      </c>
      <c r="F19" s="383">
        <f t="shared" si="10"/>
        <v>3576.0842070912745</v>
      </c>
      <c r="G19" s="383">
        <f t="shared" si="10"/>
        <v>3840.5594741330815</v>
      </c>
      <c r="H19" s="383">
        <f t="shared" si="10"/>
        <v>3877.5894091364403</v>
      </c>
      <c r="I19" s="383">
        <f t="shared" si="10"/>
        <v>3914.9763796435032</v>
      </c>
      <c r="L19" s="203"/>
      <c r="M19" s="203"/>
      <c r="N19" s="203"/>
      <c r="O19" s="203"/>
      <c r="P19" s="378"/>
      <c r="Q19" s="378"/>
      <c r="R19" s="131"/>
      <c r="S19" s="131"/>
      <c r="T19" s="131"/>
      <c r="U19" s="131"/>
      <c r="V19" s="131"/>
      <c r="W19" s="131"/>
      <c r="X19" s="131"/>
      <c r="Y19" s="131"/>
      <c r="Z19" s="131"/>
      <c r="AJ19" s="277"/>
      <c r="AK19" s="277"/>
      <c r="AL19" s="277"/>
      <c r="AM19" s="277"/>
      <c r="AN19" s="277"/>
    </row>
    <row r="20" spans="1:40" ht="14.45" customHeight="1" x14ac:dyDescent="0.25">
      <c r="B20" s="241"/>
      <c r="D20" s="277"/>
      <c r="F20" s="131"/>
      <c r="G20" s="131"/>
      <c r="H20" s="131"/>
      <c r="I20" s="131"/>
      <c r="J20" s="131"/>
      <c r="K20" s="131"/>
      <c r="L20" s="282">
        <f t="shared" ref="L20:Q20" si="11">SUM(L12:L19)</f>
        <v>3047.9299295126639</v>
      </c>
      <c r="M20" s="282">
        <f t="shared" si="11"/>
        <v>3923.6167759620785</v>
      </c>
      <c r="N20" s="282">
        <f t="shared" si="11"/>
        <v>4697.993274744701</v>
      </c>
      <c r="O20" s="282">
        <f t="shared" si="11"/>
        <v>4935.0010165517133</v>
      </c>
      <c r="P20" s="282">
        <f t="shared" si="11"/>
        <v>4982.5833461875973</v>
      </c>
      <c r="Q20" s="282">
        <f t="shared" si="11"/>
        <v>5030.6244554845161</v>
      </c>
      <c r="R20" s="131"/>
      <c r="S20" s="131"/>
      <c r="T20" s="131"/>
      <c r="U20" s="131"/>
      <c r="V20" s="131"/>
      <c r="W20" s="131"/>
      <c r="X20" s="131"/>
      <c r="Y20" s="131"/>
      <c r="Z20" s="131"/>
    </row>
    <row r="21" spans="1:40" x14ac:dyDescent="0.25">
      <c r="B21" s="301"/>
      <c r="C21" s="301"/>
      <c r="D21" s="301"/>
      <c r="E21" s="301"/>
      <c r="F21" s="301"/>
      <c r="G21" s="301"/>
      <c r="H21" s="301"/>
      <c r="I21" s="301"/>
      <c r="J21" s="301"/>
      <c r="K21" s="301"/>
      <c r="L21" s="301"/>
      <c r="P21" s="131"/>
      <c r="Q21" s="131"/>
      <c r="R21" s="131"/>
      <c r="S21" s="131"/>
      <c r="V21" s="131"/>
      <c r="W21" s="131"/>
      <c r="X21" s="131"/>
      <c r="Y21" s="131"/>
      <c r="Z21" s="131"/>
      <c r="AJ21" s="277"/>
      <c r="AK21" s="277"/>
      <c r="AL21" s="277"/>
      <c r="AM21" s="277"/>
      <c r="AN21" s="277"/>
    </row>
    <row r="22" spans="1:40" x14ac:dyDescent="0.25">
      <c r="B22" s="343" t="s">
        <v>818</v>
      </c>
      <c r="C22" s="344"/>
      <c r="D22" s="344"/>
      <c r="E22" s="345"/>
      <c r="F22" s="344"/>
      <c r="G22" s="346"/>
      <c r="H22" s="347"/>
      <c r="I22" s="347"/>
      <c r="J22" s="347"/>
      <c r="K22" s="347"/>
      <c r="L22" s="347"/>
      <c r="M22" s="347"/>
      <c r="N22" s="347"/>
      <c r="O22" s="347"/>
      <c r="P22" s="347"/>
      <c r="Q22" s="348"/>
      <c r="R22" s="131"/>
      <c r="S22" s="131"/>
      <c r="T22" s="131"/>
      <c r="U22" s="131"/>
      <c r="V22" s="131"/>
      <c r="W22" s="131"/>
      <c r="X22" s="131"/>
      <c r="Y22" s="131"/>
      <c r="Z22" s="131"/>
      <c r="AJ22" s="277"/>
      <c r="AK22" s="277"/>
      <c r="AL22" s="277"/>
      <c r="AM22" s="277"/>
      <c r="AN22" s="277"/>
    </row>
    <row r="23" spans="1:40" x14ac:dyDescent="0.25">
      <c r="A23" s="279"/>
      <c r="B23" s="502" t="s">
        <v>714</v>
      </c>
      <c r="C23" s="495"/>
      <c r="D23" s="496"/>
      <c r="E23" s="497"/>
      <c r="F23" s="279"/>
      <c r="G23" s="279"/>
      <c r="H23" s="215"/>
      <c r="I23" s="215"/>
      <c r="J23" s="215"/>
      <c r="K23" s="215"/>
      <c r="L23" s="215"/>
      <c r="M23" s="215"/>
      <c r="N23" s="215"/>
      <c r="O23" s="215"/>
      <c r="P23" s="215"/>
      <c r="Q23" s="215"/>
      <c r="R23" s="131"/>
      <c r="S23" s="131"/>
      <c r="T23" s="131"/>
      <c r="U23" s="131"/>
      <c r="V23" s="131"/>
      <c r="W23" s="131"/>
      <c r="X23" s="131"/>
      <c r="Y23" s="131"/>
      <c r="Z23" s="131"/>
      <c r="AJ23" s="277"/>
      <c r="AK23" s="277"/>
      <c r="AL23" s="277"/>
      <c r="AM23" s="277"/>
      <c r="AN23" s="277"/>
    </row>
    <row r="24" spans="1:40" x14ac:dyDescent="0.25">
      <c r="A24" s="493"/>
      <c r="B24" s="498" t="s">
        <v>838</v>
      </c>
      <c r="C24" s="365"/>
      <c r="D24" s="365"/>
      <c r="E24" s="365"/>
      <c r="F24" s="365"/>
      <c r="G24" s="365"/>
      <c r="H24" s="365"/>
      <c r="I24" s="214"/>
      <c r="J24" s="215"/>
      <c r="K24" s="215"/>
      <c r="L24" s="215"/>
      <c r="M24" s="215"/>
      <c r="N24" s="215"/>
      <c r="O24" s="215"/>
      <c r="P24" s="215"/>
      <c r="Q24" s="215"/>
      <c r="R24" s="131"/>
      <c r="S24" s="131"/>
      <c r="T24" s="131"/>
      <c r="U24" s="131"/>
      <c r="V24" s="131"/>
      <c r="W24" s="131"/>
      <c r="X24" s="131"/>
      <c r="Y24" s="131"/>
      <c r="Z24" s="131"/>
      <c r="AJ24" s="277"/>
      <c r="AK24" s="277"/>
      <c r="AL24" s="277"/>
      <c r="AM24" s="277"/>
      <c r="AN24" s="277"/>
    </row>
    <row r="25" spans="1:40" ht="45" x14ac:dyDescent="0.25">
      <c r="A25" s="493"/>
      <c r="B25" s="300" t="s">
        <v>768</v>
      </c>
      <c r="C25" s="162" t="s">
        <v>819</v>
      </c>
      <c r="D25" s="384" t="s">
        <v>809</v>
      </c>
      <c r="E25" s="247" t="s">
        <v>676</v>
      </c>
      <c r="F25" s="247" t="s">
        <v>677</v>
      </c>
      <c r="G25" s="161" t="s">
        <v>778</v>
      </c>
      <c r="H25" s="161" t="s">
        <v>779</v>
      </c>
      <c r="I25" s="247" t="s">
        <v>780</v>
      </c>
      <c r="J25" s="501"/>
      <c r="K25" s="492" t="s">
        <v>836</v>
      </c>
      <c r="L25" s="384" t="s">
        <v>809</v>
      </c>
      <c r="M25" s="482" t="s">
        <v>676</v>
      </c>
      <c r="N25" s="482" t="s">
        <v>677</v>
      </c>
      <c r="O25" s="385" t="s">
        <v>778</v>
      </c>
      <c r="P25" s="385" t="s">
        <v>779</v>
      </c>
      <c r="Q25" s="482" t="s">
        <v>780</v>
      </c>
      <c r="R25" s="131"/>
      <c r="S25" s="131"/>
      <c r="T25" s="131"/>
      <c r="U25" s="131"/>
      <c r="V25" s="131"/>
      <c r="W25" s="131"/>
      <c r="X25" s="131"/>
      <c r="Y25" s="131"/>
      <c r="Z25" s="131"/>
      <c r="AJ25" s="277"/>
      <c r="AK25" s="277"/>
      <c r="AL25" s="277"/>
      <c r="AM25" s="277"/>
      <c r="AN25" s="277"/>
    </row>
    <row r="26" spans="1:40" x14ac:dyDescent="0.25">
      <c r="A26" s="493"/>
      <c r="B26" s="322" t="s">
        <v>962</v>
      </c>
      <c r="C26" s="146">
        <f>'Inputs and eligible population'!F112</f>
        <v>1</v>
      </c>
      <c r="D26" s="126">
        <f>'Financial impact (cash)'!D14*$C$26</f>
        <v>0</v>
      </c>
      <c r="E26" s="126">
        <f>'Financial impact (cash)'!E14*$C$26</f>
        <v>302.26434251593406</v>
      </c>
      <c r="F26" s="126">
        <f>'Financial impact (cash)'!F14*$C$26</f>
        <v>610.35743421936752</v>
      </c>
      <c r="G26" s="126">
        <f>'Financial impact (cash)'!G14*$C$26</f>
        <v>684.71375898254257</v>
      </c>
      <c r="H26" s="126">
        <f>'Financial impact (cash)'!H14*$C$26</f>
        <v>691.31563721455518</v>
      </c>
      <c r="I26" s="126">
        <f>'Financial impact (cash)'!I14*$C$26</f>
        <v>697.9811694853812</v>
      </c>
      <c r="J26" s="501"/>
      <c r="K26" s="506">
        <f>'Unit costs'!$I$109</f>
        <v>319</v>
      </c>
      <c r="L26" s="281">
        <f>(D26*$K$26)/1000</f>
        <v>0</v>
      </c>
      <c r="M26" s="281">
        <f t="shared" ref="M26:Q26" si="12">(E26*$K$26)/1000</f>
        <v>96.422325262582959</v>
      </c>
      <c r="N26" s="281">
        <f t="shared" si="12"/>
        <v>194.70402151597824</v>
      </c>
      <c r="O26" s="281">
        <f t="shared" si="12"/>
        <v>218.42368911543107</v>
      </c>
      <c r="P26" s="281">
        <f t="shared" si="12"/>
        <v>220.52968827144309</v>
      </c>
      <c r="Q26" s="281">
        <f t="shared" si="12"/>
        <v>222.65599306583661</v>
      </c>
      <c r="R26" s="131"/>
      <c r="S26" s="131"/>
      <c r="T26" s="131"/>
      <c r="U26" s="131"/>
      <c r="V26" s="131"/>
      <c r="W26" s="131"/>
      <c r="X26" s="131"/>
      <c r="Y26" s="131"/>
      <c r="Z26" s="131"/>
      <c r="AJ26" s="277"/>
      <c r="AK26" s="277"/>
      <c r="AL26" s="277"/>
      <c r="AM26" s="277"/>
      <c r="AN26" s="277"/>
    </row>
    <row r="27" spans="1:40" x14ac:dyDescent="0.25">
      <c r="A27" s="493"/>
      <c r="B27" s="322" t="s">
        <v>980</v>
      </c>
      <c r="C27" s="146">
        <f>'Inputs and eligible population'!H112</f>
        <v>1</v>
      </c>
      <c r="D27" s="126">
        <f>'Financial impact (cash)'!D15*$C$27</f>
        <v>99.792599804999995</v>
      </c>
      <c r="E27" s="126">
        <f>'Financial impact (cash)'!E15*$C$27</f>
        <v>403.01912335457882</v>
      </c>
      <c r="F27" s="126">
        <f>'Financial impact (cash)'!F15*$C$27</f>
        <v>610.35743421936752</v>
      </c>
      <c r="G27" s="126">
        <f>'Financial impact (cash)'!G15*$C$27</f>
        <v>684.71375898254257</v>
      </c>
      <c r="H27" s="126">
        <f>'Financial impact (cash)'!H15*$C$27</f>
        <v>691.31563721455518</v>
      </c>
      <c r="I27" s="126">
        <f>'Financial impact (cash)'!I15*$C$27</f>
        <v>697.9811694853812</v>
      </c>
      <c r="J27" s="501"/>
      <c r="K27" s="506">
        <f>'Unit costs'!$I$109</f>
        <v>319</v>
      </c>
      <c r="L27" s="281">
        <f>(D27*$K$27)/1000</f>
        <v>31.833839337794998</v>
      </c>
      <c r="M27" s="281">
        <f t="shared" ref="M27:Q27" si="13">(E27*$K$27)/1000</f>
        <v>128.56310035011066</v>
      </c>
      <c r="N27" s="281">
        <f t="shared" si="13"/>
        <v>194.70402151597824</v>
      </c>
      <c r="O27" s="281">
        <f t="shared" si="13"/>
        <v>218.42368911543107</v>
      </c>
      <c r="P27" s="281">
        <f t="shared" si="13"/>
        <v>220.52968827144309</v>
      </c>
      <c r="Q27" s="281">
        <f t="shared" si="13"/>
        <v>222.65599306583661</v>
      </c>
      <c r="R27" s="131"/>
      <c r="S27" s="131"/>
      <c r="T27" s="131"/>
      <c r="U27" s="131"/>
      <c r="V27" s="131"/>
      <c r="W27" s="131"/>
      <c r="X27" s="131"/>
      <c r="Y27" s="131"/>
      <c r="Z27" s="131"/>
      <c r="AJ27" s="277"/>
      <c r="AK27" s="277"/>
      <c r="AL27" s="277"/>
      <c r="AM27" s="277"/>
      <c r="AN27" s="277"/>
    </row>
    <row r="28" spans="1:40" x14ac:dyDescent="0.25">
      <c r="A28" s="493"/>
      <c r="B28" s="322" t="s">
        <v>964</v>
      </c>
      <c r="C28" s="146">
        <f>'Inputs and eligible population'!J112</f>
        <v>1</v>
      </c>
      <c r="D28" s="126">
        <f>'Financial impact (cash)'!D16*$C$28</f>
        <v>1896.0593962949997</v>
      </c>
      <c r="E28" s="126">
        <f>'Financial impact (cash)'!E16*$C$28</f>
        <v>1309.8121509023811</v>
      </c>
      <c r="F28" s="126">
        <f>'Financial impact (cash)'!F16*$C$28</f>
        <v>813.80991229249014</v>
      </c>
      <c r="G28" s="126">
        <f>'Financial impact (cash)'!G16*$C$28</f>
        <v>684.71375898254257</v>
      </c>
      <c r="H28" s="126">
        <f>'Financial impact (cash)'!H16*$C$28</f>
        <v>691.31563721455518</v>
      </c>
      <c r="I28" s="126">
        <f>'Financial impact (cash)'!I16*$C$28</f>
        <v>697.9811694853812</v>
      </c>
      <c r="J28" s="501"/>
      <c r="K28" s="506">
        <f>'Unit costs'!$I$109</f>
        <v>319</v>
      </c>
      <c r="L28" s="281">
        <f>(D28*$K$28)/1000</f>
        <v>604.84294741810481</v>
      </c>
      <c r="M28" s="281">
        <f t="shared" ref="M28:Q28" si="14">(E28*$K$28)/1000</f>
        <v>417.83007613785952</v>
      </c>
      <c r="N28" s="281">
        <f t="shared" si="14"/>
        <v>259.60536202130436</v>
      </c>
      <c r="O28" s="281">
        <f t="shared" si="14"/>
        <v>218.42368911543107</v>
      </c>
      <c r="P28" s="281">
        <f t="shared" si="14"/>
        <v>220.52968827144309</v>
      </c>
      <c r="Q28" s="281">
        <f t="shared" si="14"/>
        <v>222.65599306583661</v>
      </c>
      <c r="R28" s="131"/>
      <c r="S28" s="131"/>
      <c r="T28" s="131"/>
      <c r="U28" s="131"/>
      <c r="V28" s="131"/>
      <c r="W28" s="131"/>
      <c r="X28" s="131"/>
      <c r="Y28" s="131"/>
      <c r="Z28" s="131"/>
      <c r="AJ28" s="277"/>
      <c r="AK28" s="277"/>
      <c r="AL28" s="277"/>
      <c r="AM28" s="277"/>
      <c r="AN28" s="277"/>
    </row>
    <row r="29" spans="1:40" x14ac:dyDescent="0.25">
      <c r="A29" s="493"/>
      <c r="B29" s="462"/>
      <c r="C29" s="304"/>
      <c r="D29" s="182">
        <f>SUM(D26:D28)</f>
        <v>1995.8519960999997</v>
      </c>
      <c r="E29" s="182">
        <f t="shared" ref="E29:I29" si="15">SUM(E26:E28)</f>
        <v>2015.0956167728939</v>
      </c>
      <c r="F29" s="182">
        <f t="shared" si="15"/>
        <v>2034.5247807312253</v>
      </c>
      <c r="G29" s="182">
        <f t="shared" si="15"/>
        <v>2054.1412769476278</v>
      </c>
      <c r="H29" s="182">
        <f t="shared" si="15"/>
        <v>2073.9469116436658</v>
      </c>
      <c r="I29" s="182">
        <f t="shared" si="15"/>
        <v>2093.9435084561437</v>
      </c>
      <c r="J29" s="501"/>
      <c r="K29" s="215"/>
      <c r="L29" s="282">
        <f>SUM(L26:L28)</f>
        <v>636.6767867558998</v>
      </c>
      <c r="M29" s="282">
        <f t="shared" ref="M29:Q29" si="16">SUM(M26:M28)</f>
        <v>642.81550175055315</v>
      </c>
      <c r="N29" s="282">
        <f t="shared" si="16"/>
        <v>649.01340505326084</v>
      </c>
      <c r="O29" s="282">
        <f t="shared" si="16"/>
        <v>655.27106734629319</v>
      </c>
      <c r="P29" s="282">
        <f t="shared" si="16"/>
        <v>661.58906481432928</v>
      </c>
      <c r="Q29" s="282">
        <f t="shared" si="16"/>
        <v>667.96797919750986</v>
      </c>
      <c r="R29" s="131"/>
      <c r="S29" s="131"/>
      <c r="T29" s="131"/>
      <c r="U29" s="131"/>
      <c r="V29" s="131"/>
      <c r="W29" s="131"/>
      <c r="X29" s="131"/>
      <c r="Y29" s="131"/>
      <c r="Z29" s="131"/>
      <c r="AJ29" s="277"/>
      <c r="AK29" s="277"/>
      <c r="AL29" s="277"/>
      <c r="AM29" s="277"/>
      <c r="AN29" s="277"/>
    </row>
    <row r="30" spans="1:40" x14ac:dyDescent="0.25">
      <c r="A30" s="493"/>
      <c r="B30" s="248"/>
      <c r="C30" s="248"/>
      <c r="D30" s="276" t="s">
        <v>1127</v>
      </c>
      <c r="E30" s="182">
        <f>E29-$D$29</f>
        <v>19.243620672894167</v>
      </c>
      <c r="F30" s="182">
        <f>F29-$D$29</f>
        <v>38.672784631225568</v>
      </c>
      <c r="G30" s="182">
        <f>G29-$D$29</f>
        <v>58.289280847628106</v>
      </c>
      <c r="H30" s="182">
        <f>H29-$D$29</f>
        <v>78.094915543666048</v>
      </c>
      <c r="I30" s="182">
        <f>I29-$D$29</f>
        <v>98.091512356143994</v>
      </c>
      <c r="J30" s="501"/>
      <c r="K30" s="215"/>
      <c r="L30" s="215"/>
      <c r="M30" s="282">
        <f>M29-$L29</f>
        <v>6.1387149946533555</v>
      </c>
      <c r="N30" s="282">
        <f t="shared" ref="N30:Q30" si="17">N29-$L29</f>
        <v>12.336618297361042</v>
      </c>
      <c r="O30" s="282">
        <f t="shared" si="17"/>
        <v>18.594280590393396</v>
      </c>
      <c r="P30" s="282">
        <f t="shared" si="17"/>
        <v>24.912278058429479</v>
      </c>
      <c r="Q30" s="282">
        <f t="shared" si="17"/>
        <v>31.291192441610065</v>
      </c>
      <c r="R30" s="131"/>
      <c r="S30" s="131"/>
      <c r="T30" s="131"/>
      <c r="U30" s="131"/>
      <c r="V30" s="131"/>
      <c r="W30" s="131"/>
      <c r="X30" s="131"/>
      <c r="Y30" s="131"/>
      <c r="Z30" s="131"/>
      <c r="AJ30" s="277"/>
      <c r="AK30" s="277"/>
      <c r="AL30" s="277"/>
      <c r="AM30" s="277"/>
      <c r="AN30" s="277"/>
    </row>
    <row r="31" spans="1:40" x14ac:dyDescent="0.25">
      <c r="A31" s="279"/>
      <c r="B31" s="494"/>
      <c r="C31" s="495"/>
      <c r="D31" s="496"/>
      <c r="E31" s="497"/>
      <c r="F31" s="279"/>
      <c r="G31" s="279"/>
      <c r="H31" s="279"/>
      <c r="I31" s="299"/>
      <c r="J31" s="215"/>
      <c r="K31" s="215"/>
      <c r="L31" s="215"/>
      <c r="M31" s="215"/>
      <c r="N31" s="215"/>
      <c r="O31" s="215"/>
      <c r="P31" s="215"/>
      <c r="Q31" s="215"/>
      <c r="R31" s="131"/>
      <c r="S31" s="131"/>
      <c r="T31" s="131"/>
      <c r="U31" s="131"/>
      <c r="V31" s="131"/>
      <c r="W31" s="131"/>
      <c r="X31" s="131"/>
      <c r="Y31" s="131"/>
      <c r="Z31" s="131"/>
      <c r="AJ31" s="277"/>
      <c r="AK31" s="277"/>
      <c r="AL31" s="277"/>
      <c r="AM31" s="277"/>
      <c r="AN31" s="277"/>
    </row>
    <row r="32" spans="1:40" x14ac:dyDescent="0.25">
      <c r="A32" s="279"/>
      <c r="B32" s="364" t="s">
        <v>839</v>
      </c>
      <c r="C32" s="365"/>
      <c r="D32" s="365"/>
      <c r="E32" s="365"/>
      <c r="F32" s="365"/>
      <c r="G32" s="365"/>
      <c r="H32" s="365"/>
      <c r="I32" s="214"/>
      <c r="J32" s="215"/>
      <c r="K32" s="215"/>
      <c r="L32" s="215"/>
      <c r="M32" s="215"/>
      <c r="N32" s="215"/>
      <c r="O32" s="215"/>
      <c r="P32" s="215"/>
      <c r="Q32" s="215"/>
      <c r="R32" s="131"/>
      <c r="S32" s="131"/>
      <c r="T32" s="131"/>
      <c r="U32" s="131"/>
      <c r="V32" s="131"/>
      <c r="W32" s="131"/>
      <c r="X32" s="131"/>
      <c r="Y32" s="131"/>
      <c r="Z32" s="131"/>
      <c r="AJ32" s="277"/>
      <c r="AK32" s="277"/>
      <c r="AL32" s="277"/>
      <c r="AM32" s="277"/>
      <c r="AN32" s="277"/>
    </row>
    <row r="33" spans="1:40" ht="45" x14ac:dyDescent="0.25">
      <c r="A33" s="279"/>
      <c r="B33" s="270" t="s">
        <v>768</v>
      </c>
      <c r="C33" s="162" t="s">
        <v>819</v>
      </c>
      <c r="D33" s="384" t="s">
        <v>809</v>
      </c>
      <c r="E33" s="247" t="s">
        <v>676</v>
      </c>
      <c r="F33" s="247" t="s">
        <v>677</v>
      </c>
      <c r="G33" s="161" t="s">
        <v>778</v>
      </c>
      <c r="H33" s="161" t="s">
        <v>779</v>
      </c>
      <c r="I33" s="247" t="s">
        <v>780</v>
      </c>
      <c r="J33" s="215"/>
      <c r="K33" s="492" t="s">
        <v>836</v>
      </c>
      <c r="L33" s="384" t="s">
        <v>809</v>
      </c>
      <c r="M33" s="482" t="s">
        <v>676</v>
      </c>
      <c r="N33" s="482" t="s">
        <v>677</v>
      </c>
      <c r="O33" s="385" t="s">
        <v>778</v>
      </c>
      <c r="P33" s="385" t="s">
        <v>779</v>
      </c>
      <c r="Q33" s="482" t="s">
        <v>780</v>
      </c>
      <c r="R33" s="131"/>
      <c r="S33" s="131"/>
      <c r="T33" s="131"/>
      <c r="U33" s="131"/>
      <c r="V33" s="131"/>
      <c r="W33" s="131"/>
      <c r="X33" s="131"/>
      <c r="Y33" s="131"/>
      <c r="Z33" s="131"/>
      <c r="AJ33" s="277"/>
      <c r="AK33" s="277"/>
      <c r="AL33" s="277"/>
      <c r="AM33" s="277"/>
      <c r="AN33" s="277"/>
    </row>
    <row r="34" spans="1:40" x14ac:dyDescent="0.25">
      <c r="A34" s="279"/>
      <c r="B34" s="322" t="s">
        <v>1130</v>
      </c>
      <c r="C34" s="146">
        <f>'Inputs and eligible population'!F114</f>
        <v>3</v>
      </c>
      <c r="D34" s="126">
        <f>'Financial impact (cash)'!D14*$C$34</f>
        <v>0</v>
      </c>
      <c r="E34" s="126">
        <f>'Financial impact (cash)'!E14*$C$34</f>
        <v>906.79302754780224</v>
      </c>
      <c r="F34" s="126">
        <f>'Financial impact (cash)'!F14*$C$34</f>
        <v>1831.0723026581027</v>
      </c>
      <c r="G34" s="126">
        <f>'Financial impact (cash)'!G14*$C$34</f>
        <v>2054.1412769476278</v>
      </c>
      <c r="H34" s="126">
        <f>'Financial impact (cash)'!H14*$C$34</f>
        <v>2073.9469116436658</v>
      </c>
      <c r="I34" s="126">
        <f>'Financial impact (cash)'!I14*$C$34</f>
        <v>2093.9435084561437</v>
      </c>
      <c r="J34" s="215"/>
      <c r="K34" s="506">
        <f>'Unit costs'!$I$110</f>
        <v>145</v>
      </c>
      <c r="L34" s="281">
        <f>(D34*$K$34)/1000</f>
        <v>0</v>
      </c>
      <c r="M34" s="281">
        <f t="shared" ref="M34:Q34" si="18">(E34*$K$34)/1000</f>
        <v>131.48498899443132</v>
      </c>
      <c r="N34" s="281">
        <f t="shared" si="18"/>
        <v>265.50548388542489</v>
      </c>
      <c r="O34" s="281">
        <f t="shared" si="18"/>
        <v>297.85048515740601</v>
      </c>
      <c r="P34" s="281">
        <f t="shared" si="18"/>
        <v>300.72230218833153</v>
      </c>
      <c r="Q34" s="281">
        <f t="shared" si="18"/>
        <v>303.62180872614084</v>
      </c>
      <c r="R34" s="131"/>
      <c r="S34" s="131"/>
      <c r="T34" s="131"/>
      <c r="U34" s="131"/>
      <c r="V34" s="131"/>
      <c r="W34" s="131"/>
      <c r="X34" s="131"/>
      <c r="Y34" s="131"/>
      <c r="Z34" s="131"/>
      <c r="AJ34" s="277"/>
      <c r="AK34" s="277"/>
      <c r="AL34" s="277"/>
      <c r="AM34" s="277"/>
      <c r="AN34" s="277"/>
    </row>
    <row r="35" spans="1:40" x14ac:dyDescent="0.25">
      <c r="A35" s="279"/>
      <c r="B35" s="322" t="s">
        <v>1131</v>
      </c>
      <c r="C35" s="812">
        <f>'Inputs and eligible population'!H114</f>
        <v>3</v>
      </c>
      <c r="D35" s="126">
        <f>'Financial impact (cash)'!D15*$C$35</f>
        <v>299.37779941499997</v>
      </c>
      <c r="E35" s="126">
        <f>'Financial impact (cash)'!E15*$C$35</f>
        <v>1209.0573700637365</v>
      </c>
      <c r="F35" s="126">
        <f>'Financial impact (cash)'!F15*$C$35</f>
        <v>1831.0723026581027</v>
      </c>
      <c r="G35" s="126">
        <f>'Financial impact (cash)'!G15*$C$35</f>
        <v>2054.1412769476278</v>
      </c>
      <c r="H35" s="126">
        <f>'Financial impact (cash)'!H15*$C$35</f>
        <v>2073.9469116436658</v>
      </c>
      <c r="I35" s="126">
        <f>'Financial impact (cash)'!I15*$C$35</f>
        <v>2093.9435084561437</v>
      </c>
      <c r="J35" s="215"/>
      <c r="K35" s="506">
        <f>'Unit costs'!$I$110</f>
        <v>145</v>
      </c>
      <c r="L35" s="281">
        <f>(D35*$K$35)/1000</f>
        <v>43.409780915174998</v>
      </c>
      <c r="M35" s="281">
        <f t="shared" ref="M35:Q35" si="19">(E35*$K$35)/1000</f>
        <v>175.31331865924179</v>
      </c>
      <c r="N35" s="281">
        <f t="shared" si="19"/>
        <v>265.50548388542489</v>
      </c>
      <c r="O35" s="281">
        <f t="shared" si="19"/>
        <v>297.85048515740601</v>
      </c>
      <c r="P35" s="281">
        <f t="shared" si="19"/>
        <v>300.72230218833153</v>
      </c>
      <c r="Q35" s="281">
        <f t="shared" si="19"/>
        <v>303.62180872614084</v>
      </c>
      <c r="R35" s="131"/>
      <c r="S35" s="131"/>
      <c r="T35" s="131"/>
      <c r="U35" s="131"/>
      <c r="V35" s="131"/>
      <c r="W35" s="131"/>
      <c r="X35" s="131"/>
      <c r="Y35" s="131"/>
      <c r="Z35" s="131"/>
      <c r="AJ35" s="277"/>
      <c r="AK35" s="277"/>
      <c r="AL35" s="277"/>
      <c r="AM35" s="277"/>
      <c r="AN35" s="277"/>
    </row>
    <row r="36" spans="1:40" x14ac:dyDescent="0.25">
      <c r="A36" s="279"/>
      <c r="B36" s="322" t="s">
        <v>1132</v>
      </c>
      <c r="C36" s="146">
        <f>'Inputs and eligible population'!J114</f>
        <v>3</v>
      </c>
      <c r="D36" s="126">
        <f>'Financial impact (cash)'!D16*$C$36</f>
        <v>5688.1781888849991</v>
      </c>
      <c r="E36" s="126">
        <f>'Financial impact (cash)'!E16*$C$36</f>
        <v>3929.436452707143</v>
      </c>
      <c r="F36" s="126">
        <f>'Financial impact (cash)'!F16*$C$36</f>
        <v>2441.4297368774705</v>
      </c>
      <c r="G36" s="126">
        <f>'Financial impact (cash)'!G16*$C$36</f>
        <v>2054.1412769476278</v>
      </c>
      <c r="H36" s="126">
        <f>'Financial impact (cash)'!H16*$C$36</f>
        <v>2073.9469116436658</v>
      </c>
      <c r="I36" s="126">
        <f>'Financial impact (cash)'!I16*$C$36</f>
        <v>2093.9435084561437</v>
      </c>
      <c r="J36" s="215"/>
      <c r="K36" s="506">
        <f>'Unit costs'!$I$110</f>
        <v>145</v>
      </c>
      <c r="L36" s="281">
        <f>(D36*$K$36)/1000</f>
        <v>824.78583738832492</v>
      </c>
      <c r="M36" s="281">
        <f t="shared" ref="M36:Q38" si="20">(E36*$K$36)/1000</f>
        <v>569.76828564253583</v>
      </c>
      <c r="N36" s="281">
        <f t="shared" si="20"/>
        <v>354.00731184723321</v>
      </c>
      <c r="O36" s="281">
        <f t="shared" si="20"/>
        <v>297.85048515740601</v>
      </c>
      <c r="P36" s="281">
        <f t="shared" si="20"/>
        <v>300.72230218833153</v>
      </c>
      <c r="Q36" s="281">
        <f t="shared" si="20"/>
        <v>303.62180872614084</v>
      </c>
      <c r="R36" s="131"/>
      <c r="S36" s="131"/>
      <c r="T36" s="131"/>
      <c r="U36" s="131"/>
      <c r="V36" s="131"/>
      <c r="W36" s="131"/>
      <c r="X36" s="131"/>
      <c r="Y36" s="131"/>
      <c r="Z36" s="131"/>
      <c r="AJ36" s="277"/>
      <c r="AK36" s="277"/>
      <c r="AL36" s="277"/>
      <c r="AM36" s="277"/>
      <c r="AN36" s="277"/>
    </row>
    <row r="37" spans="1:40" x14ac:dyDescent="0.25">
      <c r="A37" s="279"/>
      <c r="B37" s="322" t="s">
        <v>1128</v>
      </c>
      <c r="C37" s="146">
        <f>'Inputs and eligible population'!G114</f>
        <v>3</v>
      </c>
      <c r="D37" s="126">
        <f>'Financial impact (cash)'!D19*$C37</f>
        <v>0</v>
      </c>
      <c r="E37" s="126">
        <f>'Financial impact (cash)'!E19*$C37</f>
        <v>598.48339818154955</v>
      </c>
      <c r="F37" s="126">
        <f>'Financial impact (cash)'!F19*$C37</f>
        <v>1208.5077197543478</v>
      </c>
      <c r="G37" s="126">
        <f>'Financial impact (cash)'!G19*$C37</f>
        <v>1355.7332427854344</v>
      </c>
      <c r="H37" s="126">
        <f>'Financial impact (cash)'!H19*$C37</f>
        <v>1368.8049616848193</v>
      </c>
      <c r="I37" s="126">
        <f>'Financial impact (cash)'!I19*$C37</f>
        <v>1382.0027155810549</v>
      </c>
      <c r="J37" s="215"/>
      <c r="K37" s="506">
        <f>'Unit costs'!$I$110</f>
        <v>145</v>
      </c>
      <c r="L37" s="281">
        <f t="shared" ref="L37:L38" si="21">(D37*$K$36)/1000</f>
        <v>0</v>
      </c>
      <c r="M37" s="281">
        <f t="shared" si="20"/>
        <v>86.78009273632469</v>
      </c>
      <c r="N37" s="281">
        <f t="shared" si="20"/>
        <v>175.23361936438042</v>
      </c>
      <c r="O37" s="281">
        <f t="shared" si="20"/>
        <v>196.581320203888</v>
      </c>
      <c r="P37" s="281">
        <f t="shared" si="20"/>
        <v>198.47671944429879</v>
      </c>
      <c r="Q37" s="281">
        <f t="shared" si="20"/>
        <v>200.39039375925296</v>
      </c>
      <c r="R37" s="131"/>
      <c r="S37" s="131"/>
      <c r="T37" s="131"/>
      <c r="U37" s="131"/>
      <c r="V37" s="131"/>
      <c r="W37" s="131"/>
      <c r="X37" s="131"/>
      <c r="Y37" s="131"/>
      <c r="Z37" s="131"/>
      <c r="AJ37" s="277"/>
      <c r="AK37" s="277"/>
      <c r="AL37" s="277"/>
      <c r="AM37" s="277"/>
      <c r="AN37" s="277"/>
    </row>
    <row r="38" spans="1:40" x14ac:dyDescent="0.25">
      <c r="A38" s="279"/>
      <c r="B38" s="321" t="s">
        <v>1129</v>
      </c>
      <c r="C38" s="146">
        <f>'Inputs and eligible population'!I114</f>
        <v>3</v>
      </c>
      <c r="D38" s="126">
        <f>'Financial impact (cash)'!D20*$C38</f>
        <v>213.15699318347998</v>
      </c>
      <c r="E38" s="126">
        <f>'Financial impact (cash)'!E20*$C38</f>
        <v>860.84884748538025</v>
      </c>
      <c r="F38" s="126">
        <f>'Financial impact (cash)'!F20*$C38</f>
        <v>1303.7234794925689</v>
      </c>
      <c r="G38" s="126">
        <f>'Financial impact (cash)'!G20*$C38</f>
        <v>1462.5485891867111</v>
      </c>
      <c r="H38" s="126">
        <f>'Financial impact (cash)'!H20*$C38</f>
        <v>1476.65020109029</v>
      </c>
      <c r="I38" s="126">
        <f>'Financial impact (cash)'!I20*$C38</f>
        <v>1490.8877780207742</v>
      </c>
      <c r="J38" s="215"/>
      <c r="K38" s="506">
        <f>'Unit costs'!$I$110</f>
        <v>145</v>
      </c>
      <c r="L38" s="281">
        <f t="shared" si="21"/>
        <v>30.907764011604598</v>
      </c>
      <c r="M38" s="281">
        <f t="shared" si="20"/>
        <v>124.82308288538013</v>
      </c>
      <c r="N38" s="281">
        <f t="shared" si="20"/>
        <v>189.0399045264225</v>
      </c>
      <c r="O38" s="281">
        <f t="shared" si="20"/>
        <v>212.06954543207308</v>
      </c>
      <c r="P38" s="281">
        <f t="shared" si="20"/>
        <v>214.11427915809205</v>
      </c>
      <c r="Q38" s="281">
        <f t="shared" si="20"/>
        <v>216.17872781301224</v>
      </c>
      <c r="R38" s="131"/>
      <c r="S38" s="131"/>
      <c r="T38" s="131"/>
      <c r="U38" s="131"/>
      <c r="V38" s="131"/>
      <c r="W38" s="131"/>
      <c r="X38" s="131"/>
      <c r="Y38" s="131"/>
      <c r="Z38" s="131"/>
      <c r="AJ38" s="277"/>
      <c r="AK38" s="277"/>
      <c r="AL38" s="277"/>
      <c r="AM38" s="277"/>
      <c r="AN38" s="277"/>
    </row>
    <row r="39" spans="1:40" x14ac:dyDescent="0.25">
      <c r="A39" s="279"/>
      <c r="B39" s="271"/>
      <c r="C39" s="304"/>
      <c r="D39" s="182">
        <f>SUM(D34:D38)</f>
        <v>6200.7129814834789</v>
      </c>
      <c r="E39" s="182">
        <f t="shared" ref="E39:I39" si="22">SUM(E34:E38)</f>
        <v>7504.6190959856121</v>
      </c>
      <c r="F39" s="182">
        <f t="shared" si="22"/>
        <v>8615.8055414405935</v>
      </c>
      <c r="G39" s="182">
        <f t="shared" si="22"/>
        <v>8980.7056628150276</v>
      </c>
      <c r="H39" s="182">
        <f t="shared" si="22"/>
        <v>9067.2958977061062</v>
      </c>
      <c r="I39" s="182">
        <f t="shared" si="22"/>
        <v>9154.72101897026</v>
      </c>
      <c r="J39" s="215"/>
      <c r="K39" s="215"/>
      <c r="L39" s="282">
        <f>SUM(L34:L38)</f>
        <v>899.10338231510457</v>
      </c>
      <c r="M39" s="282">
        <f t="shared" ref="M39:Q39" si="23">SUM(M34:M38)</f>
        <v>1088.1697689179136</v>
      </c>
      <c r="N39" s="282">
        <f t="shared" si="23"/>
        <v>1249.291803508886</v>
      </c>
      <c r="O39" s="282">
        <f t="shared" si="23"/>
        <v>1302.2023211081791</v>
      </c>
      <c r="P39" s="282">
        <f t="shared" si="23"/>
        <v>1314.7579051673856</v>
      </c>
      <c r="Q39" s="282">
        <f t="shared" si="23"/>
        <v>1327.4345477506877</v>
      </c>
      <c r="R39" s="131"/>
      <c r="S39" s="131"/>
      <c r="T39" s="131"/>
      <c r="U39" s="131"/>
      <c r="V39" s="131"/>
      <c r="W39" s="131"/>
      <c r="X39" s="131"/>
      <c r="Y39" s="131"/>
      <c r="Z39" s="131"/>
      <c r="AJ39" s="277"/>
      <c r="AK39" s="277"/>
      <c r="AL39" s="277"/>
      <c r="AM39" s="277"/>
      <c r="AN39" s="277"/>
    </row>
    <row r="40" spans="1:40" x14ac:dyDescent="0.25">
      <c r="A40" s="279"/>
      <c r="B40" s="298"/>
      <c r="C40" s="248"/>
      <c r="D40" s="276" t="s">
        <v>1126</v>
      </c>
      <c r="E40" s="182">
        <f>E39-$D$39</f>
        <v>1303.9061145021333</v>
      </c>
      <c r="F40" s="182">
        <f t="shared" ref="F40:I40" si="24">F39-$D$39</f>
        <v>2415.0925599571146</v>
      </c>
      <c r="G40" s="182">
        <f t="shared" si="24"/>
        <v>2779.9926813315487</v>
      </c>
      <c r="H40" s="182">
        <f t="shared" si="24"/>
        <v>2866.5829162226273</v>
      </c>
      <c r="I40" s="182">
        <f t="shared" si="24"/>
        <v>2954.0080374867812</v>
      </c>
      <c r="J40" s="215"/>
      <c r="K40" s="215"/>
      <c r="L40" s="215"/>
      <c r="M40" s="282">
        <f>M39-$L39</f>
        <v>189.06638660280908</v>
      </c>
      <c r="N40" s="282">
        <f t="shared" ref="N40:Q40" si="25">N39-$L39</f>
        <v>350.18842119378144</v>
      </c>
      <c r="O40" s="282">
        <f t="shared" si="25"/>
        <v>403.09893879307458</v>
      </c>
      <c r="P40" s="282">
        <f t="shared" si="25"/>
        <v>415.65452285228105</v>
      </c>
      <c r="Q40" s="282">
        <f t="shared" si="25"/>
        <v>428.3311654355831</v>
      </c>
      <c r="R40" s="131"/>
      <c r="S40" s="131"/>
      <c r="T40" s="131"/>
      <c r="U40" s="131"/>
      <c r="V40" s="131"/>
      <c r="W40" s="131"/>
      <c r="X40" s="131"/>
      <c r="Y40" s="131"/>
      <c r="Z40" s="131"/>
      <c r="AJ40" s="277"/>
      <c r="AK40" s="277"/>
      <c r="AL40" s="277"/>
      <c r="AM40" s="277"/>
      <c r="AN40" s="277"/>
    </row>
    <row r="41" spans="1:40" x14ac:dyDescent="0.25">
      <c r="A41" s="279"/>
      <c r="B41" s="279"/>
      <c r="C41" s="279"/>
      <c r="D41" s="499"/>
      <c r="E41" s="500"/>
      <c r="F41" s="500"/>
      <c r="G41" s="500"/>
      <c r="H41" s="500"/>
      <c r="I41" s="500"/>
      <c r="J41" s="215"/>
      <c r="K41" s="215"/>
      <c r="L41" s="215"/>
      <c r="M41" s="215"/>
      <c r="N41" s="215"/>
      <c r="O41" s="215"/>
      <c r="P41" s="215"/>
      <c r="Q41" s="215"/>
      <c r="R41" s="131"/>
      <c r="S41" s="131"/>
      <c r="T41" s="131"/>
      <c r="U41" s="131"/>
      <c r="V41" s="131"/>
      <c r="W41" s="131"/>
      <c r="X41" s="131"/>
      <c r="Y41" s="131"/>
      <c r="Z41" s="131"/>
      <c r="AJ41" s="277"/>
      <c r="AK41" s="277"/>
      <c r="AL41" s="277"/>
      <c r="AM41" s="277"/>
      <c r="AN41" s="277"/>
    </row>
    <row r="42" spans="1:40" x14ac:dyDescent="0.25">
      <c r="A42" s="285"/>
      <c r="B42" s="302" t="s">
        <v>821</v>
      </c>
      <c r="C42" s="286"/>
      <c r="D42" s="286"/>
      <c r="E42" s="287"/>
      <c r="F42" s="288"/>
      <c r="G42" s="289"/>
      <c r="H42" s="289"/>
      <c r="I42" s="390"/>
      <c r="J42" s="391"/>
      <c r="K42" s="285"/>
      <c r="L42" s="285"/>
      <c r="M42" s="285"/>
      <c r="N42" s="285"/>
      <c r="O42" s="285"/>
      <c r="P42" s="285"/>
      <c r="Q42" s="211"/>
      <c r="R42" s="131"/>
      <c r="S42" s="131"/>
      <c r="V42" s="131"/>
    </row>
    <row r="43" spans="1:40" x14ac:dyDescent="0.25">
      <c r="A43" s="293"/>
      <c r="B43" s="357" t="s">
        <v>822</v>
      </c>
      <c r="C43" s="358"/>
      <c r="D43" s="358"/>
      <c r="E43" s="358"/>
      <c r="F43" s="358"/>
      <c r="G43" s="358"/>
      <c r="H43" s="358"/>
      <c r="I43" s="358"/>
      <c r="J43" s="387"/>
      <c r="K43" s="211"/>
      <c r="L43" s="211"/>
      <c r="M43" s="211"/>
      <c r="N43" s="211"/>
      <c r="O43" s="211"/>
      <c r="P43" s="211"/>
      <c r="Q43" s="211"/>
      <c r="R43" s="131"/>
      <c r="S43" s="131"/>
      <c r="T43" s="131"/>
      <c r="U43" s="131"/>
      <c r="V43" s="131"/>
      <c r="W43" s="131"/>
      <c r="X43" s="131"/>
      <c r="Y43" s="131"/>
      <c r="Z43" s="131"/>
      <c r="AJ43" s="277"/>
      <c r="AK43" s="277"/>
      <c r="AL43" s="277"/>
      <c r="AM43" s="277"/>
      <c r="AN43" s="277"/>
    </row>
    <row r="44" spans="1:40" ht="45" x14ac:dyDescent="0.25">
      <c r="A44" s="285"/>
      <c r="B44" s="270" t="s">
        <v>1134</v>
      </c>
      <c r="C44" s="464"/>
      <c r="D44" s="384" t="s">
        <v>809</v>
      </c>
      <c r="E44" s="247" t="s">
        <v>676</v>
      </c>
      <c r="F44" s="247" t="s">
        <v>677</v>
      </c>
      <c r="G44" s="161" t="s">
        <v>778</v>
      </c>
      <c r="H44" s="161" t="s">
        <v>779</v>
      </c>
      <c r="I44" s="247" t="s">
        <v>780</v>
      </c>
      <c r="J44" s="387"/>
      <c r="K44" s="492" t="s">
        <v>836</v>
      </c>
      <c r="L44" s="384" t="s">
        <v>809</v>
      </c>
      <c r="M44" s="482" t="s">
        <v>676</v>
      </c>
      <c r="N44" s="482" t="s">
        <v>677</v>
      </c>
      <c r="O44" s="385" t="s">
        <v>778</v>
      </c>
      <c r="P44" s="385" t="s">
        <v>779</v>
      </c>
      <c r="Q44" s="482" t="s">
        <v>780</v>
      </c>
      <c r="R44" s="131"/>
      <c r="S44" s="131"/>
      <c r="T44" s="131"/>
      <c r="U44" s="131"/>
      <c r="V44" s="131"/>
      <c r="W44" s="131"/>
      <c r="X44" s="131"/>
      <c r="Y44" s="131"/>
      <c r="Z44" s="131"/>
      <c r="AJ44" s="277"/>
      <c r="AK44" s="277"/>
      <c r="AL44" s="277"/>
      <c r="AM44" s="277"/>
      <c r="AN44" s="277"/>
    </row>
    <row r="45" spans="1:40" x14ac:dyDescent="0.25">
      <c r="A45" s="285"/>
      <c r="B45" s="195" t="s">
        <v>1021</v>
      </c>
      <c r="C45" s="999"/>
      <c r="D45" s="126">
        <f>('Financial impact (cash)'!D19*'Unit costs'!$N$83)+('Financial impact (cash)'!D20*'Unit costs'!$N$93)+('Financial impact (cash)'!D16*'Unit costs'!$N$101)</f>
        <v>6078.9660097213791</v>
      </c>
      <c r="E45" s="126">
        <f>('Financial impact (cash)'!E19*'Unit costs'!$N$83)+('Financial impact (cash)'!E20*'Unit costs'!$N$93)+('Financial impact (cash)'!E16*'Unit costs'!$N$101)</f>
        <v>7901.5929324898716</v>
      </c>
      <c r="F45" s="126">
        <f>('Financial impact (cash)'!F19*'Unit costs'!$N$83)+('Financial impact (cash)'!F20*'Unit costs'!$N$93)+('Financial impact (cash)'!F16*'Unit costs'!$N$101)</f>
        <v>9665.6203282979041</v>
      </c>
      <c r="G45" s="126">
        <f>('Financial impact (cash)'!G19*'Unit costs'!$N$83)+('Financial impact (cash)'!G20*'Unit costs'!$N$93)+('Financial impact (cash)'!G16*'Unit costs'!$N$101)</f>
        <v>10158.413328265002</v>
      </c>
      <c r="H45" s="126">
        <f>('Financial impact (cash)'!H19*'Unit costs'!$N$83)+('Financial impact (cash)'!H20*'Unit costs'!$N$93)+('Financial impact (cash)'!H16*'Unit costs'!$N$101)</f>
        <v>10256.358793715142</v>
      </c>
      <c r="I45" s="126">
        <f>('Financial impact (cash)'!I19*'Unit costs'!$N$83)+('Financial impact (cash)'!I20*'Unit costs'!$N$93)+('Financial impact (cash)'!I16*'Unit costs'!$N$101)</f>
        <v>10355.248630485115</v>
      </c>
      <c r="J45" s="387"/>
      <c r="K45" s="506">
        <f>'Unit costs'!O83</f>
        <v>172</v>
      </c>
      <c r="L45" s="281">
        <f>(D45*$K$45)/1000</f>
        <v>1045.5821536720773</v>
      </c>
      <c r="M45" s="281">
        <f t="shared" ref="M45:Q47" si="26">(E45*$K$45)/1000</f>
        <v>1359.0739843882579</v>
      </c>
      <c r="N45" s="281">
        <f t="shared" si="26"/>
        <v>1662.4866964672394</v>
      </c>
      <c r="O45" s="281">
        <f t="shared" si="26"/>
        <v>1747.2470924615805</v>
      </c>
      <c r="P45" s="281">
        <f t="shared" si="26"/>
        <v>1764.0937125190044</v>
      </c>
      <c r="Q45" s="281">
        <f t="shared" si="26"/>
        <v>1781.1027644434398</v>
      </c>
      <c r="R45" s="131"/>
      <c r="S45" s="131"/>
      <c r="T45" s="131"/>
      <c r="U45" s="131"/>
      <c r="V45" s="131"/>
      <c r="W45" s="131"/>
      <c r="X45" s="131"/>
      <c r="Y45" s="131"/>
      <c r="Z45" s="131"/>
      <c r="AJ45" s="277"/>
      <c r="AK45" s="277"/>
      <c r="AL45" s="277"/>
      <c r="AM45" s="277"/>
      <c r="AN45" s="277"/>
    </row>
    <row r="46" spans="1:40" x14ac:dyDescent="0.25">
      <c r="A46" s="285"/>
      <c r="B46" s="195" t="s">
        <v>1016</v>
      </c>
      <c r="C46" s="999"/>
      <c r="D46" s="126">
        <f>('Financial impact (cash)'!D14*'Unit costs'!$N$80)+('Financial impact (cash)'!D15*'Unit costs'!$N$90)</f>
        <v>359.25335929799996</v>
      </c>
      <c r="E46" s="126">
        <f>('Financial impact (cash)'!E14*'Unit costs'!$N$80)+('Financial impact (cash)'!E15*'Unit costs'!$N$90)</f>
        <v>2659.9262141402201</v>
      </c>
      <c r="F46" s="126">
        <f>('Financial impact (cash)'!F14*'Unit costs'!$N$80)+('Financial impact (cash)'!F15*'Unit costs'!$N$90)</f>
        <v>4638.716500067193</v>
      </c>
      <c r="G46" s="126">
        <f>('Financial impact (cash)'!G14*'Unit costs'!$N$80)+('Financial impact (cash)'!G15*'Unit costs'!$N$90)</f>
        <v>5203.8245682673241</v>
      </c>
      <c r="H46" s="126">
        <f>('Financial impact (cash)'!H14*'Unit costs'!$N$80)+('Financial impact (cash)'!H15*'Unit costs'!$N$90)</f>
        <v>5253.9988428306197</v>
      </c>
      <c r="I46" s="126">
        <f>('Financial impact (cash)'!I14*'Unit costs'!$N$80)+('Financial impact (cash)'!I15*'Unit costs'!$N$90)</f>
        <v>5304.6568880888972</v>
      </c>
      <c r="J46" s="387"/>
      <c r="K46" s="506">
        <f>'Unit costs'!O71</f>
        <v>345</v>
      </c>
      <c r="L46" s="281">
        <f t="shared" ref="L46:L47" si="27">(D46*$K$45)/1000</f>
        <v>61.791577799255997</v>
      </c>
      <c r="M46" s="281">
        <f t="shared" si="26"/>
        <v>457.50730883211781</v>
      </c>
      <c r="N46" s="281">
        <f t="shared" si="26"/>
        <v>797.85923801155718</v>
      </c>
      <c r="O46" s="281">
        <f t="shared" si="26"/>
        <v>895.05782574197974</v>
      </c>
      <c r="P46" s="281">
        <f t="shared" si="26"/>
        <v>903.68780096686658</v>
      </c>
      <c r="Q46" s="281">
        <f t="shared" si="26"/>
        <v>912.40098475129025</v>
      </c>
      <c r="R46" s="131"/>
      <c r="S46" s="131"/>
      <c r="T46" s="131"/>
      <c r="U46" s="131"/>
      <c r="V46" s="131"/>
      <c r="W46" s="131"/>
      <c r="X46" s="131"/>
      <c r="Y46" s="131"/>
      <c r="Z46" s="131"/>
      <c r="AJ46" s="277"/>
      <c r="AK46" s="277"/>
      <c r="AL46" s="277"/>
      <c r="AM46" s="277"/>
      <c r="AN46" s="277"/>
    </row>
    <row r="47" spans="1:40" x14ac:dyDescent="0.25">
      <c r="A47" s="285"/>
      <c r="B47" s="195" t="s">
        <v>1018</v>
      </c>
      <c r="C47" s="999"/>
      <c r="D47" s="126">
        <f>('Financial impact (cash)'!D14*'Unit costs'!$N$81)+('Financial impact (cash)'!D15*'Unit costs'!$N$91)+('Financial impact (cash)'!D16*'Unit costs'!$N$102)</f>
        <v>2353.3490056414316</v>
      </c>
      <c r="E47" s="126">
        <f>('Financial impact (cash)'!E14*'Unit costs'!$N$81)+('Financial impact (cash)'!E15*'Unit costs'!$N$91)+('Financial impact (cash)'!E16*'Unit costs'!$N$102)</f>
        <v>2186.3384422862546</v>
      </c>
      <c r="F47" s="126">
        <f>('Financial impact (cash)'!F14*'Unit costs'!$N$81)+('Financial impact (cash)'!F15*'Unit costs'!$N$91)+('Financial impact (cash)'!F16*'Unit costs'!$N$102)</f>
        <v>1972.9193703706837</v>
      </c>
      <c r="G47" s="126">
        <f>('Financial impact (cash)'!G14*'Unit costs'!$N$81)+('Financial impact (cash)'!G15*'Unit costs'!$N$91)+('Financial impact (cash)'!G16*'Unit costs'!$N$102)</f>
        <v>1948.969243567909</v>
      </c>
      <c r="H47" s="126">
        <f>('Financial impact (cash)'!H14*'Unit costs'!$N$81)+('Financial impact (cash)'!H15*'Unit costs'!$N$91)+('Financial impact (cash)'!H16*'Unit costs'!$N$102)</f>
        <v>1967.7608297675097</v>
      </c>
      <c r="I47" s="126">
        <f>('Financial impact (cash)'!I14*'Unit costs'!$N$81)+('Financial impact (cash)'!I15*'Unit costs'!$N$91)+('Financial impact (cash)'!I16*'Unit costs'!$N$102)</f>
        <v>1986.7336008231891</v>
      </c>
      <c r="J47" s="387"/>
      <c r="K47" s="506">
        <f>'Unit costs'!O78</f>
        <v>345</v>
      </c>
      <c r="L47" s="281">
        <f t="shared" si="27"/>
        <v>404.77602897032625</v>
      </c>
      <c r="M47" s="281">
        <f t="shared" si="26"/>
        <v>376.0502120732358</v>
      </c>
      <c r="N47" s="281">
        <f t="shared" si="26"/>
        <v>339.34213170375762</v>
      </c>
      <c r="O47" s="281">
        <f t="shared" si="26"/>
        <v>335.22270989368036</v>
      </c>
      <c r="P47" s="281">
        <f t="shared" si="26"/>
        <v>338.45486272001165</v>
      </c>
      <c r="Q47" s="281">
        <f t="shared" si="26"/>
        <v>341.7181793415885</v>
      </c>
      <c r="R47" s="131"/>
      <c r="S47" s="131"/>
      <c r="T47" s="131"/>
      <c r="U47" s="131"/>
      <c r="V47" s="131"/>
      <c r="W47" s="131"/>
      <c r="X47" s="131"/>
      <c r="Y47" s="131"/>
      <c r="Z47" s="131"/>
      <c r="AJ47" s="277"/>
      <c r="AK47" s="277"/>
      <c r="AL47" s="277"/>
      <c r="AM47" s="277"/>
      <c r="AN47" s="277"/>
    </row>
    <row r="48" spans="1:40" x14ac:dyDescent="0.25">
      <c r="A48" s="285"/>
      <c r="B48" s="271"/>
      <c r="C48" s="304"/>
      <c r="D48" s="182">
        <f>SUM(D45:D47)</f>
        <v>8791.5683746608102</v>
      </c>
      <c r="E48" s="182">
        <f t="shared" ref="E48:I48" si="28">SUM(E45:E47)</f>
        <v>12747.857588916346</v>
      </c>
      <c r="F48" s="182">
        <f t="shared" si="28"/>
        <v>16277.25619873578</v>
      </c>
      <c r="G48" s="182">
        <f t="shared" si="28"/>
        <v>17311.207140100236</v>
      </c>
      <c r="H48" s="182">
        <f t="shared" si="28"/>
        <v>17478.118466313274</v>
      </c>
      <c r="I48" s="182">
        <f t="shared" si="28"/>
        <v>17646.639119397201</v>
      </c>
      <c r="J48" s="387"/>
      <c r="K48" s="211"/>
      <c r="L48" s="282">
        <f>SUM(L45:L47)</f>
        <v>1512.1497604416595</v>
      </c>
      <c r="M48" s="282">
        <f t="shared" ref="M48:Q48" si="29">SUM(M45:M47)</f>
        <v>2192.6315052936116</v>
      </c>
      <c r="N48" s="282">
        <f t="shared" si="29"/>
        <v>2799.6880661825544</v>
      </c>
      <c r="O48" s="282">
        <f t="shared" si="29"/>
        <v>2977.5276280972407</v>
      </c>
      <c r="P48" s="282">
        <f t="shared" si="29"/>
        <v>3006.2363762058826</v>
      </c>
      <c r="Q48" s="282">
        <f t="shared" si="29"/>
        <v>3035.2219285363185</v>
      </c>
      <c r="R48" s="131"/>
      <c r="S48" s="131"/>
      <c r="T48" s="131"/>
      <c r="U48" s="131"/>
      <c r="V48" s="131"/>
      <c r="W48" s="131"/>
      <c r="X48" s="131"/>
      <c r="Y48" s="131"/>
      <c r="Z48" s="131"/>
      <c r="AJ48" s="277"/>
      <c r="AK48" s="277"/>
      <c r="AL48" s="277"/>
      <c r="AM48" s="277"/>
      <c r="AN48" s="277"/>
    </row>
    <row r="49" spans="1:40" x14ac:dyDescent="0.25">
      <c r="A49" s="285"/>
      <c r="B49" s="298"/>
      <c r="C49" s="248"/>
      <c r="D49" s="276" t="s">
        <v>823</v>
      </c>
      <c r="E49" s="182">
        <f>E48-D48</f>
        <v>3956.2892142555356</v>
      </c>
      <c r="F49" s="182">
        <f>F48-$D$48</f>
        <v>7485.6878240749702</v>
      </c>
      <c r="G49" s="182">
        <f t="shared" ref="G49:I49" si="30">G48-$D$48</f>
        <v>8519.6387654394257</v>
      </c>
      <c r="H49" s="182">
        <f t="shared" si="30"/>
        <v>8686.5500916524634</v>
      </c>
      <c r="I49" s="182">
        <f t="shared" si="30"/>
        <v>8855.0707447363911</v>
      </c>
      <c r="J49" s="387"/>
      <c r="K49" s="211"/>
      <c r="L49" s="485"/>
      <c r="M49" s="282">
        <f>M48-$L48</f>
        <v>680.48174485195204</v>
      </c>
      <c r="N49" s="282">
        <f t="shared" ref="N49:Q49" si="31">N48-$L48</f>
        <v>1287.5383057408949</v>
      </c>
      <c r="O49" s="282">
        <f t="shared" si="31"/>
        <v>1465.3778676555812</v>
      </c>
      <c r="P49" s="282">
        <f t="shared" si="31"/>
        <v>1494.0866157642231</v>
      </c>
      <c r="Q49" s="282">
        <f t="shared" si="31"/>
        <v>1523.072168094659</v>
      </c>
      <c r="R49" s="131"/>
      <c r="S49" s="131"/>
      <c r="T49" s="131"/>
      <c r="U49" s="131"/>
      <c r="V49" s="131"/>
      <c r="W49" s="131"/>
      <c r="X49" s="131"/>
      <c r="Y49" s="131"/>
      <c r="Z49" s="131"/>
      <c r="AJ49" s="277"/>
      <c r="AK49" s="277"/>
      <c r="AL49" s="277"/>
      <c r="AM49" s="277"/>
      <c r="AN49" s="277"/>
    </row>
    <row r="50" spans="1:40" x14ac:dyDescent="0.25">
      <c r="A50" s="285"/>
      <c r="B50" s="303"/>
      <c r="C50" s="291"/>
      <c r="D50" s="290"/>
      <c r="E50" s="291"/>
      <c r="F50" s="292"/>
      <c r="G50" s="285"/>
      <c r="H50" s="285"/>
      <c r="I50" s="289"/>
      <c r="J50" s="211"/>
      <c r="K50" s="211"/>
      <c r="L50" s="211"/>
      <c r="M50" s="211"/>
      <c r="N50" s="211"/>
      <c r="O50" s="211"/>
      <c r="P50" s="211"/>
      <c r="Q50" s="211"/>
      <c r="R50" s="131"/>
      <c r="S50" s="131"/>
      <c r="T50" s="131"/>
      <c r="U50" s="131"/>
      <c r="V50" s="131"/>
      <c r="W50" s="131"/>
      <c r="X50" s="131"/>
      <c r="Y50" s="131"/>
      <c r="Z50" s="131"/>
      <c r="AJ50" s="277"/>
      <c r="AK50" s="277"/>
      <c r="AL50" s="277"/>
      <c r="AM50" s="277"/>
      <c r="AN50" s="277"/>
    </row>
    <row r="51" spans="1:40" x14ac:dyDescent="0.25">
      <c r="A51" s="293"/>
      <c r="B51" s="357" t="s">
        <v>824</v>
      </c>
      <c r="C51" s="358"/>
      <c r="D51" s="358"/>
      <c r="E51" s="358"/>
      <c r="F51" s="358"/>
      <c r="G51" s="358"/>
      <c r="H51" s="358"/>
      <c r="I51" s="358"/>
      <c r="J51" s="387"/>
      <c r="K51" s="211"/>
      <c r="L51" s="211"/>
      <c r="M51" s="211"/>
      <c r="N51" s="211"/>
      <c r="O51" s="211"/>
      <c r="P51" s="211"/>
      <c r="Q51" s="211"/>
      <c r="R51" s="131"/>
      <c r="S51" s="131"/>
      <c r="T51" s="131"/>
      <c r="U51" s="131"/>
      <c r="V51" s="131"/>
      <c r="W51" s="131"/>
      <c r="X51" s="131"/>
      <c r="Y51" s="131"/>
      <c r="Z51" s="131"/>
      <c r="AJ51" s="277"/>
      <c r="AK51" s="277"/>
      <c r="AL51" s="277"/>
      <c r="AM51" s="277"/>
      <c r="AN51" s="277"/>
    </row>
    <row r="52" spans="1:40" ht="45" x14ac:dyDescent="0.25">
      <c r="A52" s="293"/>
      <c r="B52" s="300" t="s">
        <v>768</v>
      </c>
      <c r="C52" s="162" t="s">
        <v>760</v>
      </c>
      <c r="D52" s="384" t="s">
        <v>809</v>
      </c>
      <c r="E52" s="247" t="s">
        <v>676</v>
      </c>
      <c r="F52" s="247" t="s">
        <v>677</v>
      </c>
      <c r="G52" s="161" t="s">
        <v>778</v>
      </c>
      <c r="H52" s="161" t="s">
        <v>779</v>
      </c>
      <c r="I52" s="247" t="s">
        <v>780</v>
      </c>
      <c r="J52" s="387"/>
      <c r="K52" s="211"/>
      <c r="L52" s="211"/>
      <c r="M52" s="211"/>
      <c r="N52" s="211"/>
      <c r="O52" s="211"/>
      <c r="P52" s="211"/>
      <c r="Q52" s="211"/>
      <c r="R52" s="131"/>
      <c r="V52" s="131"/>
      <c r="AJ52" s="277"/>
      <c r="AK52" s="277"/>
      <c r="AL52" s="277"/>
      <c r="AM52" s="277"/>
      <c r="AN52" s="277"/>
    </row>
    <row r="53" spans="1:40" x14ac:dyDescent="0.25">
      <c r="A53" s="293"/>
      <c r="B53" s="322" t="s">
        <v>1130</v>
      </c>
      <c r="C53" s="284">
        <f>'Inputs and eligible population'!F50</f>
        <v>4</v>
      </c>
      <c r="D53" s="126">
        <f>$C53*'Inputs and eligible population'!L80</f>
        <v>0</v>
      </c>
      <c r="E53" s="126">
        <f>$C53*'Inputs and eligible population'!M80</f>
        <v>1209.0573700637362</v>
      </c>
      <c r="F53" s="126">
        <f>$C53*'Inputs and eligible population'!N80</f>
        <v>2441.4297368774701</v>
      </c>
      <c r="G53" s="126">
        <f>$C53*'Inputs and eligible population'!O80</f>
        <v>2738.8550359301703</v>
      </c>
      <c r="H53" s="126">
        <f>$C53*'Inputs and eligible population'!P80</f>
        <v>2765.2625488582207</v>
      </c>
      <c r="I53" s="126">
        <f>$C53*'Inputs and eligible population'!Q80</f>
        <v>2791.9246779415248</v>
      </c>
      <c r="J53" s="387"/>
      <c r="K53" s="211"/>
      <c r="L53" s="211"/>
      <c r="M53" s="211"/>
      <c r="N53" s="211"/>
      <c r="O53" s="211"/>
      <c r="P53" s="211"/>
      <c r="Q53" s="211"/>
      <c r="R53" s="131"/>
      <c r="V53" s="131"/>
      <c r="AJ53" s="277"/>
      <c r="AK53" s="277"/>
      <c r="AL53" s="277"/>
      <c r="AM53" s="277"/>
      <c r="AN53" s="277"/>
    </row>
    <row r="54" spans="1:40" x14ac:dyDescent="0.25">
      <c r="A54" s="293"/>
      <c r="B54" s="322" t="s">
        <v>1131</v>
      </c>
      <c r="C54" s="284">
        <f>'Inputs and eligible population'!F52</f>
        <v>3.6</v>
      </c>
      <c r="D54" s="126">
        <f>$C54*'Inputs and eligible population'!L81</f>
        <v>359.25335929799996</v>
      </c>
      <c r="E54" s="126">
        <f>$C54*'Inputs and eligible population'!M81</f>
        <v>1450.8688440764838</v>
      </c>
      <c r="F54" s="126">
        <f>$C54*'Inputs and eligible population'!N81</f>
        <v>2197.2867631897229</v>
      </c>
      <c r="G54" s="126">
        <f>$C54*'Inputs and eligible population'!O81</f>
        <v>2464.9695323371534</v>
      </c>
      <c r="H54" s="126">
        <f>$C54*'Inputs and eligible population'!P81</f>
        <v>2488.7362939723989</v>
      </c>
      <c r="I54" s="126">
        <f>$C54*'Inputs and eligible population'!Q81</f>
        <v>2512.7322101473724</v>
      </c>
      <c r="J54" s="387"/>
      <c r="K54" s="211"/>
      <c r="L54" s="211"/>
      <c r="M54" s="211"/>
      <c r="N54" s="211"/>
      <c r="O54" s="211"/>
      <c r="P54" s="211"/>
      <c r="Q54" s="211"/>
      <c r="R54" s="131"/>
      <c r="V54" s="131"/>
      <c r="AJ54" s="277"/>
      <c r="AK54" s="277"/>
      <c r="AL54" s="277"/>
      <c r="AM54" s="277"/>
      <c r="AN54" s="277"/>
    </row>
    <row r="55" spans="1:40" x14ac:dyDescent="0.25">
      <c r="A55" s="293"/>
      <c r="B55" s="322" t="s">
        <v>1132</v>
      </c>
      <c r="C55" s="284">
        <f>'Inputs and eligible population'!F55</f>
        <v>3</v>
      </c>
      <c r="D55" s="126">
        <f>$C55*'Inputs and eligible population'!L82</f>
        <v>5688.1781888849991</v>
      </c>
      <c r="E55" s="126">
        <f>$C55*'Inputs and eligible population'!M82</f>
        <v>3929.436452707143</v>
      </c>
      <c r="F55" s="126">
        <f>$C55*'Inputs and eligible population'!N82</f>
        <v>2441.4297368774705</v>
      </c>
      <c r="G55" s="126">
        <f>$C55*'Inputs and eligible population'!O82</f>
        <v>2054.1412769476278</v>
      </c>
      <c r="H55" s="126">
        <f>$C55*'Inputs and eligible population'!P82</f>
        <v>2073.9469116436658</v>
      </c>
      <c r="I55" s="126">
        <f>$C55*'Inputs and eligible population'!Q82</f>
        <v>2093.9435084561437</v>
      </c>
      <c r="J55" s="387"/>
      <c r="K55" s="211"/>
      <c r="L55" s="211"/>
      <c r="M55" s="211"/>
      <c r="N55" s="211"/>
      <c r="O55" s="211"/>
      <c r="P55" s="211"/>
      <c r="Q55" s="211"/>
      <c r="R55" s="131"/>
      <c r="V55" s="131"/>
      <c r="AJ55" s="277"/>
      <c r="AK55" s="277"/>
      <c r="AL55" s="277"/>
      <c r="AM55" s="277"/>
      <c r="AN55" s="277"/>
    </row>
    <row r="56" spans="1:40" x14ac:dyDescent="0.25">
      <c r="A56" s="293"/>
      <c r="B56" s="322" t="s">
        <v>1128</v>
      </c>
      <c r="C56" s="284">
        <f>'Inputs and eligible population'!F51</f>
        <v>12</v>
      </c>
      <c r="D56" s="126">
        <f>$C56*'Inputs and eligible population'!L92</f>
        <v>0</v>
      </c>
      <c r="E56" s="126">
        <f>$C56*'Inputs and eligible population'!M92</f>
        <v>2393.9335927261982</v>
      </c>
      <c r="F56" s="126">
        <f>$C56*'Inputs and eligible population'!N92</f>
        <v>4834.0308790173913</v>
      </c>
      <c r="G56" s="126">
        <f>$C56*'Inputs and eligible population'!O92</f>
        <v>5422.9329711417377</v>
      </c>
      <c r="H56" s="126">
        <f>$C56*'Inputs and eligible population'!P92</f>
        <v>5475.2198467392773</v>
      </c>
      <c r="I56" s="126">
        <f>$C56*'Inputs and eligible population'!Q92</f>
        <v>5528.0108623242195</v>
      </c>
      <c r="J56" s="387"/>
      <c r="K56" s="211"/>
      <c r="L56" s="211"/>
      <c r="M56" s="211"/>
      <c r="N56" s="211"/>
      <c r="O56" s="211"/>
      <c r="P56" s="211"/>
      <c r="Q56" s="211"/>
      <c r="R56" s="131"/>
      <c r="V56" s="131"/>
      <c r="AJ56" s="277"/>
      <c r="AK56" s="277"/>
      <c r="AL56" s="277"/>
      <c r="AM56" s="277"/>
      <c r="AN56" s="277"/>
    </row>
    <row r="57" spans="1:40" x14ac:dyDescent="0.25">
      <c r="A57" s="293"/>
      <c r="B57" s="321" t="s">
        <v>1129</v>
      </c>
      <c r="C57" s="284">
        <f>'Unit costs'!P45</f>
        <v>5.5</v>
      </c>
      <c r="D57" s="126">
        <f>$C57*'Inputs and eligible population'!L93</f>
        <v>390.78782083637992</v>
      </c>
      <c r="E57" s="126">
        <f>$C57*'Inputs and eligible population'!M93</f>
        <v>1578.2228870565305</v>
      </c>
      <c r="F57" s="126">
        <f>$C57*'Inputs and eligible population'!N93</f>
        <v>2390.1597124030432</v>
      </c>
      <c r="G57" s="126">
        <f>$C57*'Inputs and eligible population'!O93</f>
        <v>2681.3390801756368</v>
      </c>
      <c r="H57" s="126">
        <f>$C57*'Inputs and eligible population'!P93</f>
        <v>2707.192035332198</v>
      </c>
      <c r="I57" s="126">
        <f>$C57*'Inputs and eligible population'!Q93</f>
        <v>2733.2942597047527</v>
      </c>
      <c r="J57" s="285"/>
      <c r="K57" s="285"/>
      <c r="L57" s="285"/>
      <c r="M57" s="285"/>
      <c r="N57" s="285"/>
      <c r="O57" s="285"/>
      <c r="P57" s="285"/>
      <c r="Q57" s="285"/>
      <c r="R57" s="131"/>
      <c r="V57" s="131"/>
      <c r="AJ57" s="277"/>
      <c r="AK57" s="277"/>
      <c r="AL57" s="277"/>
      <c r="AM57" s="277"/>
      <c r="AN57" s="277"/>
    </row>
    <row r="58" spans="1:40" x14ac:dyDescent="0.25">
      <c r="A58" s="293"/>
      <c r="B58" s="462"/>
      <c r="C58" s="304"/>
      <c r="D58" s="182">
        <f t="shared" ref="D58:I58" si="32">SUM(D53:D57)</f>
        <v>6438.219369019379</v>
      </c>
      <c r="E58" s="182">
        <f t="shared" si="32"/>
        <v>10561.519146630091</v>
      </c>
      <c r="F58" s="182">
        <f t="shared" si="32"/>
        <v>14304.336828365098</v>
      </c>
      <c r="G58" s="182">
        <f t="shared" si="32"/>
        <v>15362.237896532326</v>
      </c>
      <c r="H58" s="182">
        <f t="shared" si="32"/>
        <v>15510.357636545761</v>
      </c>
      <c r="I58" s="182">
        <f t="shared" si="32"/>
        <v>15659.905518574013</v>
      </c>
      <c r="J58" s="285"/>
      <c r="K58" s="285"/>
      <c r="L58" s="285"/>
      <c r="M58" s="285"/>
      <c r="N58" s="285"/>
      <c r="O58" s="285"/>
      <c r="P58" s="285"/>
      <c r="Q58" s="285"/>
      <c r="R58" s="131"/>
      <c r="V58" s="131"/>
      <c r="AJ58" s="277"/>
      <c r="AK58" s="277"/>
      <c r="AL58" s="277"/>
      <c r="AM58" s="277"/>
      <c r="AN58" s="277"/>
    </row>
    <row r="59" spans="1:40" x14ac:dyDescent="0.25">
      <c r="A59" s="293"/>
      <c r="B59" s="248"/>
      <c r="C59" s="248"/>
      <c r="D59" s="276" t="s">
        <v>825</v>
      </c>
      <c r="E59" s="182">
        <f>E58-$D$58</f>
        <v>4123.2997776107122</v>
      </c>
      <c r="F59" s="182">
        <f>F58-$D$58</f>
        <v>7866.117459345719</v>
      </c>
      <c r="G59" s="182">
        <f>G58-$D$58</f>
        <v>8924.0185275129479</v>
      </c>
      <c r="H59" s="182">
        <f>H58-$D$58</f>
        <v>9072.1382675263812</v>
      </c>
      <c r="I59" s="182">
        <f>I58-$D$58</f>
        <v>9221.6861495546327</v>
      </c>
      <c r="J59" s="285"/>
      <c r="K59" s="285"/>
      <c r="L59" s="285"/>
      <c r="M59" s="285"/>
      <c r="N59" s="285"/>
      <c r="O59" s="285"/>
      <c r="P59" s="285"/>
      <c r="Q59" s="285"/>
      <c r="R59" s="131"/>
      <c r="S59" s="131"/>
      <c r="T59" s="131"/>
      <c r="U59" s="131"/>
      <c r="V59" s="131"/>
      <c r="W59" s="131"/>
      <c r="X59" s="131"/>
      <c r="Y59" s="131"/>
      <c r="Z59" s="131"/>
      <c r="AJ59" s="277"/>
      <c r="AK59" s="277"/>
      <c r="AL59" s="277"/>
      <c r="AM59" s="277"/>
      <c r="AN59" s="277"/>
    </row>
    <row r="60" spans="1:40" x14ac:dyDescent="0.25">
      <c r="A60" s="285"/>
      <c r="B60" s="303"/>
      <c r="C60" s="291"/>
      <c r="D60" s="291"/>
      <c r="E60" s="292"/>
      <c r="F60" s="285"/>
      <c r="G60" s="285"/>
      <c r="H60" s="211"/>
      <c r="I60" s="211"/>
      <c r="J60" s="211"/>
      <c r="K60" s="211"/>
      <c r="L60" s="211"/>
      <c r="M60" s="211"/>
      <c r="N60" s="211"/>
      <c r="O60" s="211"/>
      <c r="P60" s="211"/>
      <c r="Q60" s="211"/>
      <c r="R60" s="131"/>
      <c r="S60" s="131"/>
      <c r="T60" s="131"/>
      <c r="U60" s="131"/>
      <c r="V60" s="131"/>
      <c r="W60" s="131"/>
      <c r="X60" s="131"/>
      <c r="Y60" s="131"/>
      <c r="Z60" s="131"/>
      <c r="AJ60" s="277"/>
      <c r="AK60" s="277"/>
      <c r="AL60" s="277"/>
      <c r="AM60" s="277"/>
      <c r="AN60" s="277"/>
    </row>
    <row r="61" spans="1:40" x14ac:dyDescent="0.25">
      <c r="A61" s="278"/>
      <c r="B61" s="305" t="s">
        <v>826</v>
      </c>
      <c r="C61" s="294"/>
      <c r="D61" s="294"/>
      <c r="E61" s="295"/>
      <c r="F61" s="296"/>
      <c r="G61" s="297"/>
      <c r="H61" s="297"/>
      <c r="I61" s="297"/>
      <c r="J61" s="392"/>
      <c r="K61" s="278"/>
      <c r="L61" s="278"/>
      <c r="M61" s="278"/>
      <c r="N61" s="278"/>
      <c r="O61" s="278"/>
      <c r="P61" s="278"/>
      <c r="Q61" s="213"/>
      <c r="R61" s="131"/>
      <c r="V61" s="131"/>
    </row>
    <row r="62" spans="1:40" x14ac:dyDescent="0.25">
      <c r="A62" s="278"/>
      <c r="B62" s="359" t="s">
        <v>827</v>
      </c>
      <c r="C62" s="360"/>
      <c r="D62" s="360"/>
      <c r="E62" s="360"/>
      <c r="F62" s="360"/>
      <c r="G62" s="360"/>
      <c r="H62" s="360"/>
      <c r="I62" s="212"/>
      <c r="J62" s="389"/>
      <c r="K62" s="213"/>
      <c r="L62" s="278"/>
      <c r="M62" s="278"/>
      <c r="N62" s="278"/>
      <c r="O62" s="278"/>
      <c r="P62" s="278"/>
      <c r="Q62" s="213"/>
      <c r="R62" s="131"/>
      <c r="V62" s="131"/>
    </row>
    <row r="63" spans="1:40" ht="60" x14ac:dyDescent="0.25">
      <c r="A63" s="278"/>
      <c r="B63" s="273" t="s">
        <v>768</v>
      </c>
      <c r="C63" s="162" t="s">
        <v>828</v>
      </c>
      <c r="D63" s="384" t="s">
        <v>809</v>
      </c>
      <c r="E63" s="247" t="s">
        <v>676</v>
      </c>
      <c r="F63" s="247" t="s">
        <v>677</v>
      </c>
      <c r="G63" s="161" t="s">
        <v>778</v>
      </c>
      <c r="H63" s="161" t="s">
        <v>779</v>
      </c>
      <c r="I63" s="247" t="s">
        <v>780</v>
      </c>
      <c r="J63" s="278"/>
      <c r="K63" s="278"/>
      <c r="L63" s="278"/>
      <c r="M63" s="278"/>
      <c r="N63" s="278"/>
      <c r="O63" s="278"/>
      <c r="P63" s="278"/>
      <c r="Q63" s="213"/>
      <c r="R63" s="131"/>
      <c r="V63" s="131"/>
    </row>
    <row r="64" spans="1:40" x14ac:dyDescent="0.25">
      <c r="A64" s="278"/>
      <c r="B64" s="322" t="s">
        <v>1130</v>
      </c>
      <c r="C64" s="146">
        <f>'Inputs and eligible population'!F116</f>
        <v>60</v>
      </c>
      <c r="D64" s="126">
        <f>(D53*$C64)/60</f>
        <v>0</v>
      </c>
      <c r="E64" s="126">
        <f t="shared" ref="E64:I64" si="33">(E53*$C64)/60</f>
        <v>1209.0573700637362</v>
      </c>
      <c r="F64" s="126">
        <f t="shared" si="33"/>
        <v>2441.4297368774701</v>
      </c>
      <c r="G64" s="126">
        <f t="shared" si="33"/>
        <v>2738.8550359301703</v>
      </c>
      <c r="H64" s="126">
        <f t="shared" si="33"/>
        <v>2765.2625488582207</v>
      </c>
      <c r="I64" s="126">
        <f t="shared" si="33"/>
        <v>2791.9246779415248</v>
      </c>
      <c r="J64" s="278"/>
      <c r="K64" s="278"/>
      <c r="L64" s="278"/>
      <c r="M64" s="278"/>
      <c r="N64" s="278"/>
      <c r="O64" s="278"/>
      <c r="P64" s="278"/>
      <c r="Q64" s="213"/>
      <c r="R64" s="131"/>
      <c r="S64" s="131"/>
      <c r="T64" s="131"/>
      <c r="U64" s="131"/>
      <c r="V64" s="131"/>
      <c r="W64" s="131"/>
      <c r="X64" s="131"/>
      <c r="Y64" s="131"/>
      <c r="Z64" s="131"/>
      <c r="AJ64" s="277"/>
      <c r="AK64" s="277"/>
      <c r="AL64" s="277"/>
      <c r="AM64" s="277"/>
      <c r="AN64" s="277"/>
    </row>
    <row r="65" spans="1:40" x14ac:dyDescent="0.25">
      <c r="A65" s="278"/>
      <c r="B65" s="322" t="s">
        <v>1131</v>
      </c>
      <c r="C65" s="146">
        <f>'Inputs and eligible population'!H116</f>
        <v>30</v>
      </c>
      <c r="D65" s="126">
        <f t="shared" ref="D65:I68" si="34">(D54*$C65)/60</f>
        <v>179.62667964899998</v>
      </c>
      <c r="E65" s="126">
        <f t="shared" si="34"/>
        <v>725.43442203824191</v>
      </c>
      <c r="F65" s="126">
        <f t="shared" si="34"/>
        <v>1098.6433815948615</v>
      </c>
      <c r="G65" s="126">
        <f t="shared" si="34"/>
        <v>1232.4847661685767</v>
      </c>
      <c r="H65" s="126">
        <f t="shared" si="34"/>
        <v>1244.3681469861995</v>
      </c>
      <c r="I65" s="126">
        <f t="shared" si="34"/>
        <v>1256.3661050736862</v>
      </c>
      <c r="J65" s="278"/>
      <c r="K65" s="278"/>
      <c r="L65" s="278"/>
      <c r="M65" s="278"/>
      <c r="N65" s="278"/>
      <c r="O65" s="278"/>
      <c r="P65" s="278"/>
      <c r="Q65" s="213"/>
      <c r="R65" s="131"/>
      <c r="S65" s="131"/>
      <c r="T65" s="131"/>
      <c r="U65" s="131"/>
      <c r="V65" s="131"/>
      <c r="W65" s="131"/>
      <c r="X65" s="131"/>
      <c r="Y65" s="131"/>
      <c r="Z65" s="131"/>
      <c r="AJ65" s="277"/>
      <c r="AK65" s="277"/>
      <c r="AL65" s="277"/>
      <c r="AM65" s="277"/>
      <c r="AN65" s="277"/>
    </row>
    <row r="66" spans="1:40" x14ac:dyDescent="0.25">
      <c r="A66" s="278"/>
      <c r="B66" s="322" t="s">
        <v>1132</v>
      </c>
      <c r="C66" s="146">
        <f>'Inputs and eligible population'!J116</f>
        <v>30</v>
      </c>
      <c r="D66" s="126">
        <f t="shared" si="34"/>
        <v>2844.0890944424996</v>
      </c>
      <c r="E66" s="126">
        <f t="shared" si="34"/>
        <v>1964.7182263535715</v>
      </c>
      <c r="F66" s="126">
        <f t="shared" si="34"/>
        <v>1220.7148684387353</v>
      </c>
      <c r="G66" s="126">
        <f t="shared" si="34"/>
        <v>1027.0706384738139</v>
      </c>
      <c r="H66" s="126">
        <f t="shared" si="34"/>
        <v>1036.9734558218329</v>
      </c>
      <c r="I66" s="126">
        <f t="shared" si="34"/>
        <v>1046.9717542280719</v>
      </c>
      <c r="J66" s="278"/>
      <c r="K66" s="278"/>
      <c r="L66" s="278"/>
      <c r="M66" s="278"/>
      <c r="N66" s="278"/>
      <c r="O66" s="278"/>
      <c r="P66" s="278"/>
      <c r="Q66" s="213"/>
      <c r="R66" s="131"/>
      <c r="S66" s="131"/>
      <c r="T66" s="131"/>
      <c r="U66" s="131"/>
      <c r="V66" s="131"/>
      <c r="W66" s="131"/>
      <c r="X66" s="131"/>
      <c r="Y66" s="131"/>
      <c r="Z66" s="131"/>
      <c r="AJ66" s="277"/>
      <c r="AK66" s="277"/>
      <c r="AL66" s="277"/>
      <c r="AM66" s="277"/>
      <c r="AN66" s="277"/>
    </row>
    <row r="67" spans="1:40" x14ac:dyDescent="0.25">
      <c r="A67" s="278"/>
      <c r="B67" s="322" t="s">
        <v>1128</v>
      </c>
      <c r="C67" s="146">
        <f>'Inputs and eligible population'!G116</f>
        <v>60</v>
      </c>
      <c r="D67" s="126">
        <f t="shared" si="34"/>
        <v>0</v>
      </c>
      <c r="E67" s="126">
        <f t="shared" si="34"/>
        <v>2393.9335927261982</v>
      </c>
      <c r="F67" s="126">
        <f t="shared" si="34"/>
        <v>4834.0308790173913</v>
      </c>
      <c r="G67" s="126">
        <f t="shared" si="34"/>
        <v>5422.9329711417377</v>
      </c>
      <c r="H67" s="126">
        <f t="shared" si="34"/>
        <v>5475.2198467392773</v>
      </c>
      <c r="I67" s="126">
        <f t="shared" si="34"/>
        <v>5528.0108623242204</v>
      </c>
      <c r="J67" s="278"/>
      <c r="K67" s="278"/>
      <c r="L67" s="278"/>
      <c r="M67" s="278"/>
      <c r="N67" s="278"/>
      <c r="O67" s="278"/>
      <c r="P67" s="278"/>
      <c r="Q67" s="213"/>
      <c r="R67" s="131"/>
      <c r="S67" s="131"/>
      <c r="T67" s="131"/>
      <c r="U67" s="131"/>
      <c r="V67" s="131"/>
      <c r="W67" s="131"/>
      <c r="X67" s="131"/>
      <c r="Y67" s="131"/>
      <c r="Z67" s="131"/>
      <c r="AJ67" s="277"/>
      <c r="AK67" s="277"/>
      <c r="AL67" s="277"/>
      <c r="AM67" s="277"/>
      <c r="AN67" s="277"/>
    </row>
    <row r="68" spans="1:40" x14ac:dyDescent="0.25">
      <c r="A68" s="278"/>
      <c r="B68" s="321" t="s">
        <v>1129</v>
      </c>
      <c r="C68" s="146">
        <f>'Inputs and eligible population'!I116</f>
        <v>30</v>
      </c>
      <c r="D68" s="126">
        <f t="shared" si="34"/>
        <v>195.39391041818996</v>
      </c>
      <c r="E68" s="126">
        <f t="shared" si="34"/>
        <v>789.11144352826523</v>
      </c>
      <c r="F68" s="126">
        <f t="shared" si="34"/>
        <v>1195.0798562015216</v>
      </c>
      <c r="G68" s="126">
        <f t="shared" si="34"/>
        <v>1340.6695400878184</v>
      </c>
      <c r="H68" s="126">
        <f t="shared" si="34"/>
        <v>1353.596017666099</v>
      </c>
      <c r="I68" s="126">
        <f t="shared" si="34"/>
        <v>1366.6471298523763</v>
      </c>
      <c r="J68" s="278"/>
      <c r="K68" s="278"/>
      <c r="L68" s="278"/>
      <c r="M68" s="278"/>
      <c r="N68" s="278"/>
      <c r="O68" s="278"/>
      <c r="P68" s="278"/>
      <c r="Q68" s="213"/>
      <c r="R68" s="131"/>
      <c r="S68" s="131"/>
      <c r="T68" s="131"/>
      <c r="U68" s="131"/>
      <c r="V68" s="131"/>
      <c r="W68" s="131"/>
      <c r="X68" s="131"/>
      <c r="Y68" s="131"/>
      <c r="Z68" s="131"/>
      <c r="AJ68" s="277"/>
      <c r="AK68" s="277"/>
      <c r="AL68" s="277"/>
      <c r="AM68" s="277"/>
      <c r="AN68" s="277"/>
    </row>
    <row r="69" spans="1:40" x14ac:dyDescent="0.25">
      <c r="A69" s="278"/>
      <c r="B69" s="271"/>
      <c r="C69" s="304"/>
      <c r="D69" s="182">
        <f>SUM(D64:D68)</f>
        <v>3219.1096845096895</v>
      </c>
      <c r="E69" s="182">
        <f t="shared" ref="E69:I69" si="35">SUM(E64:E68)</f>
        <v>7082.2550547100127</v>
      </c>
      <c r="F69" s="182">
        <f t="shared" si="35"/>
        <v>10789.898722129979</v>
      </c>
      <c r="G69" s="182">
        <f t="shared" si="35"/>
        <v>11762.012951802117</v>
      </c>
      <c r="H69" s="182">
        <f t="shared" si="35"/>
        <v>11875.42001607163</v>
      </c>
      <c r="I69" s="182">
        <f t="shared" si="35"/>
        <v>11989.92052941988</v>
      </c>
      <c r="J69" s="278"/>
      <c r="K69" s="278"/>
      <c r="L69" s="278"/>
      <c r="M69" s="278"/>
      <c r="N69" s="278"/>
      <c r="O69" s="278"/>
      <c r="P69" s="278"/>
      <c r="Q69" s="213"/>
      <c r="R69" s="131"/>
      <c r="S69" s="131"/>
      <c r="T69" s="131"/>
      <c r="U69" s="131"/>
      <c r="V69" s="131"/>
      <c r="W69" s="131"/>
      <c r="X69" s="131"/>
      <c r="Y69" s="131"/>
      <c r="Z69" s="131"/>
      <c r="AJ69" s="277"/>
      <c r="AK69" s="277"/>
      <c r="AL69" s="277"/>
      <c r="AM69" s="277"/>
      <c r="AN69" s="277"/>
    </row>
    <row r="70" spans="1:40" x14ac:dyDescent="0.25">
      <c r="A70" s="278"/>
      <c r="B70" s="298"/>
      <c r="C70" s="248"/>
      <c r="D70" s="276" t="s">
        <v>829</v>
      </c>
      <c r="E70" s="182">
        <f>E69-$D$69</f>
        <v>3863.1453702003232</v>
      </c>
      <c r="F70" s="182">
        <f>F69-$D$69</f>
        <v>7570.7890376202904</v>
      </c>
      <c r="G70" s="182">
        <f>G69-$D$69</f>
        <v>8542.9032672924277</v>
      </c>
      <c r="H70" s="182">
        <f>H69-$D$69</f>
        <v>8656.310331561941</v>
      </c>
      <c r="I70" s="182">
        <f>I69-$D$69</f>
        <v>8770.810844910191</v>
      </c>
      <c r="J70" s="278"/>
      <c r="K70" s="278"/>
      <c r="L70" s="278"/>
      <c r="M70" s="278"/>
      <c r="N70" s="278"/>
      <c r="O70" s="278"/>
      <c r="P70" s="278"/>
      <c r="Q70" s="213"/>
      <c r="R70" s="131"/>
      <c r="S70" s="131"/>
      <c r="T70" s="131"/>
      <c r="U70" s="131"/>
      <c r="V70" s="131"/>
      <c r="W70" s="131"/>
      <c r="X70" s="131"/>
      <c r="Y70" s="131"/>
      <c r="Z70" s="131"/>
      <c r="AJ70" s="277"/>
      <c r="AK70" s="277"/>
      <c r="AL70" s="277"/>
      <c r="AM70" s="277"/>
      <c r="AN70" s="277"/>
    </row>
    <row r="71" spans="1:40" x14ac:dyDescent="0.25">
      <c r="A71" s="278"/>
      <c r="B71" s="306"/>
      <c r="C71" s="213"/>
      <c r="D71" s="213"/>
      <c r="E71" s="213"/>
      <c r="F71" s="213"/>
      <c r="G71" s="213"/>
      <c r="H71" s="213"/>
      <c r="I71" s="213"/>
      <c r="J71" s="213"/>
      <c r="K71" s="213"/>
      <c r="L71" s="278"/>
      <c r="M71" s="278"/>
      <c r="N71" s="278"/>
      <c r="O71" s="278"/>
      <c r="P71" s="278"/>
      <c r="Q71" s="213"/>
      <c r="R71" s="131"/>
      <c r="S71" s="131"/>
      <c r="T71" s="131"/>
      <c r="U71" s="131"/>
      <c r="V71" s="131"/>
      <c r="W71" s="131"/>
      <c r="X71" s="131"/>
      <c r="Y71" s="131"/>
      <c r="Z71" s="131"/>
      <c r="AJ71" s="277"/>
      <c r="AK71" s="277"/>
      <c r="AL71" s="277"/>
      <c r="AM71" s="277"/>
      <c r="AN71" s="277"/>
    </row>
    <row r="72" spans="1:40" x14ac:dyDescent="0.25">
      <c r="A72" s="278"/>
      <c r="B72" s="361" t="s">
        <v>830</v>
      </c>
      <c r="C72" s="360"/>
      <c r="D72" s="360"/>
      <c r="E72" s="360"/>
      <c r="F72" s="360"/>
      <c r="G72" s="360"/>
      <c r="H72" s="360"/>
      <c r="I72" s="212"/>
      <c r="J72" s="389"/>
      <c r="K72" s="213"/>
      <c r="L72" s="278"/>
      <c r="M72" s="278"/>
      <c r="N72" s="278"/>
      <c r="O72" s="278"/>
      <c r="P72" s="278"/>
      <c r="Q72" s="213"/>
      <c r="R72" s="131"/>
      <c r="S72" s="131"/>
      <c r="T72" s="131"/>
      <c r="U72" s="131"/>
      <c r="V72" s="131"/>
      <c r="W72" s="131"/>
      <c r="X72" s="131"/>
      <c r="Y72" s="131"/>
      <c r="Z72" s="131"/>
      <c r="AJ72" s="277"/>
      <c r="AK72" s="277"/>
      <c r="AL72" s="277"/>
      <c r="AM72" s="277"/>
      <c r="AN72" s="277"/>
    </row>
    <row r="73" spans="1:40" ht="75" x14ac:dyDescent="0.25">
      <c r="A73" s="278"/>
      <c r="B73" s="273" t="s">
        <v>768</v>
      </c>
      <c r="C73" s="162" t="s">
        <v>725</v>
      </c>
      <c r="D73" s="384" t="s">
        <v>809</v>
      </c>
      <c r="E73" s="247" t="s">
        <v>676</v>
      </c>
      <c r="F73" s="247" t="s">
        <v>677</v>
      </c>
      <c r="G73" s="161" t="s">
        <v>778</v>
      </c>
      <c r="H73" s="161" t="s">
        <v>779</v>
      </c>
      <c r="I73" s="247" t="s">
        <v>780</v>
      </c>
      <c r="J73" s="278"/>
      <c r="K73" s="278"/>
      <c r="L73" s="278"/>
      <c r="M73" s="278"/>
      <c r="N73" s="278"/>
      <c r="O73" s="278"/>
      <c r="P73" s="278"/>
      <c r="Q73" s="213"/>
      <c r="R73" s="131"/>
      <c r="S73" s="131"/>
      <c r="T73" s="131"/>
      <c r="U73" s="131"/>
      <c r="V73" s="131"/>
      <c r="W73" s="131"/>
      <c r="X73" s="131"/>
      <c r="Y73" s="131"/>
      <c r="Z73" s="131"/>
      <c r="AJ73" s="277"/>
      <c r="AK73" s="277"/>
      <c r="AL73" s="277"/>
      <c r="AM73" s="277"/>
      <c r="AN73" s="277"/>
    </row>
    <row r="74" spans="1:40" x14ac:dyDescent="0.25">
      <c r="A74" s="278"/>
      <c r="B74" s="322" t="s">
        <v>1130</v>
      </c>
      <c r="C74" s="146">
        <f>'Inputs and eligible population'!F117</f>
        <v>30</v>
      </c>
      <c r="D74" s="126">
        <f>($C74/60)*D53</f>
        <v>0</v>
      </c>
      <c r="E74" s="126">
        <f t="shared" ref="E74:I74" si="36">($C74/60)*E53</f>
        <v>604.52868503186812</v>
      </c>
      <c r="F74" s="126">
        <f t="shared" si="36"/>
        <v>1220.714868438735</v>
      </c>
      <c r="G74" s="126">
        <f t="shared" si="36"/>
        <v>1369.4275179650851</v>
      </c>
      <c r="H74" s="126">
        <f t="shared" si="36"/>
        <v>1382.6312744291104</v>
      </c>
      <c r="I74" s="126">
        <f t="shared" si="36"/>
        <v>1395.9623389707624</v>
      </c>
      <c r="J74" s="278"/>
      <c r="K74" s="278"/>
      <c r="L74" s="278"/>
      <c r="M74" s="278"/>
      <c r="N74" s="278"/>
      <c r="O74" s="278"/>
      <c r="P74" s="278"/>
      <c r="Q74" s="213"/>
      <c r="R74" s="131"/>
      <c r="S74" s="131"/>
      <c r="T74" s="131"/>
      <c r="U74" s="131"/>
      <c r="V74" s="131"/>
      <c r="W74" s="131"/>
      <c r="X74" s="131"/>
      <c r="Y74" s="131"/>
      <c r="Z74" s="131"/>
      <c r="AJ74" s="277"/>
      <c r="AK74" s="277"/>
      <c r="AL74" s="277"/>
      <c r="AM74" s="277"/>
      <c r="AN74" s="277"/>
    </row>
    <row r="75" spans="1:40" x14ac:dyDescent="0.25">
      <c r="A75" s="278"/>
      <c r="B75" s="322" t="s">
        <v>1131</v>
      </c>
      <c r="C75" s="146">
        <f>'Inputs and eligible population'!H117</f>
        <v>30</v>
      </c>
      <c r="D75" s="126">
        <f t="shared" ref="D75:I78" si="37">($C75/60)*D54</f>
        <v>179.62667964899998</v>
      </c>
      <c r="E75" s="126">
        <f t="shared" si="37"/>
        <v>725.43442203824191</v>
      </c>
      <c r="F75" s="126">
        <f t="shared" si="37"/>
        <v>1098.6433815948615</v>
      </c>
      <c r="G75" s="126">
        <f t="shared" si="37"/>
        <v>1232.4847661685767</v>
      </c>
      <c r="H75" s="126">
        <f t="shared" si="37"/>
        <v>1244.3681469861995</v>
      </c>
      <c r="I75" s="126">
        <f t="shared" si="37"/>
        <v>1256.3661050736862</v>
      </c>
      <c r="J75" s="278"/>
      <c r="K75" s="278"/>
      <c r="L75" s="278"/>
      <c r="M75" s="278"/>
      <c r="N75" s="278"/>
      <c r="O75" s="278"/>
      <c r="P75" s="278"/>
      <c r="Q75" s="213"/>
      <c r="R75" s="131"/>
      <c r="S75" s="131"/>
      <c r="T75" s="131"/>
      <c r="U75" s="131"/>
      <c r="V75" s="131"/>
      <c r="W75" s="131"/>
      <c r="X75" s="131"/>
      <c r="Y75" s="131"/>
      <c r="Z75" s="131"/>
      <c r="AJ75" s="277"/>
      <c r="AK75" s="277"/>
      <c r="AL75" s="277"/>
      <c r="AM75" s="277"/>
      <c r="AN75" s="277"/>
    </row>
    <row r="76" spans="1:40" x14ac:dyDescent="0.25">
      <c r="A76" s="278"/>
      <c r="B76" s="322" t="s">
        <v>1132</v>
      </c>
      <c r="C76" s="146">
        <f>'Inputs and eligible population'!J118</f>
        <v>30</v>
      </c>
      <c r="D76" s="126">
        <f t="shared" si="37"/>
        <v>2844.0890944424996</v>
      </c>
      <c r="E76" s="126">
        <f t="shared" si="37"/>
        <v>1964.7182263535715</v>
      </c>
      <c r="F76" s="126">
        <f t="shared" si="37"/>
        <v>1220.7148684387353</v>
      </c>
      <c r="G76" s="126">
        <f t="shared" si="37"/>
        <v>1027.0706384738139</v>
      </c>
      <c r="H76" s="126">
        <f t="shared" si="37"/>
        <v>1036.9734558218329</v>
      </c>
      <c r="I76" s="126">
        <f t="shared" si="37"/>
        <v>1046.9717542280719</v>
      </c>
      <c r="J76" s="278"/>
      <c r="K76" s="278"/>
      <c r="L76" s="278"/>
      <c r="M76" s="278"/>
      <c r="N76" s="278"/>
      <c r="O76" s="278"/>
      <c r="P76" s="278"/>
      <c r="Q76" s="213"/>
      <c r="R76" s="131"/>
      <c r="S76" s="131"/>
      <c r="T76" s="131"/>
      <c r="U76" s="131"/>
      <c r="V76" s="131"/>
      <c r="W76" s="131"/>
      <c r="X76" s="131"/>
      <c r="Y76" s="131"/>
      <c r="Z76" s="131"/>
      <c r="AJ76" s="277"/>
      <c r="AK76" s="277"/>
      <c r="AL76" s="277"/>
      <c r="AM76" s="277"/>
      <c r="AN76" s="277"/>
    </row>
    <row r="77" spans="1:40" x14ac:dyDescent="0.25">
      <c r="A77" s="278"/>
      <c r="B77" s="322" t="s">
        <v>1128</v>
      </c>
      <c r="C77" s="146">
        <f>'Inputs and eligible population'!G117</f>
        <v>30</v>
      </c>
      <c r="D77" s="126">
        <f t="shared" si="37"/>
        <v>0</v>
      </c>
      <c r="E77" s="126">
        <f t="shared" si="37"/>
        <v>1196.9667963630991</v>
      </c>
      <c r="F77" s="126">
        <f t="shared" si="37"/>
        <v>2417.0154395086956</v>
      </c>
      <c r="G77" s="126">
        <f t="shared" si="37"/>
        <v>2711.4664855708688</v>
      </c>
      <c r="H77" s="126">
        <f t="shared" si="37"/>
        <v>2737.6099233696386</v>
      </c>
      <c r="I77" s="126">
        <f t="shared" si="37"/>
        <v>2764.0054311621097</v>
      </c>
      <c r="J77" s="278"/>
      <c r="K77" s="278"/>
      <c r="L77" s="278"/>
      <c r="M77" s="278"/>
      <c r="N77" s="278"/>
      <c r="O77" s="278"/>
      <c r="P77" s="278"/>
      <c r="Q77" s="213"/>
      <c r="R77" s="131"/>
      <c r="S77" s="131"/>
      <c r="T77" s="131"/>
      <c r="U77" s="131"/>
      <c r="V77" s="131"/>
      <c r="W77" s="131"/>
      <c r="X77" s="131"/>
      <c r="Y77" s="131"/>
      <c r="Z77" s="131"/>
      <c r="AJ77" s="277"/>
      <c r="AK77" s="277"/>
      <c r="AL77" s="277"/>
      <c r="AM77" s="277"/>
      <c r="AN77" s="277"/>
    </row>
    <row r="78" spans="1:40" x14ac:dyDescent="0.25">
      <c r="A78" s="278"/>
      <c r="B78" s="321" t="s">
        <v>1129</v>
      </c>
      <c r="C78" s="146">
        <f>'Inputs and eligible population'!I117</f>
        <v>30</v>
      </c>
      <c r="D78" s="126">
        <f t="shared" si="37"/>
        <v>195.39391041818996</v>
      </c>
      <c r="E78" s="126">
        <f t="shared" si="37"/>
        <v>789.11144352826523</v>
      </c>
      <c r="F78" s="126">
        <f t="shared" si="37"/>
        <v>1195.0798562015216</v>
      </c>
      <c r="G78" s="126">
        <f t="shared" si="37"/>
        <v>1340.6695400878184</v>
      </c>
      <c r="H78" s="126">
        <f t="shared" si="37"/>
        <v>1353.596017666099</v>
      </c>
      <c r="I78" s="126">
        <f t="shared" si="37"/>
        <v>1366.6471298523763</v>
      </c>
      <c r="J78" s="278"/>
      <c r="K78" s="278"/>
      <c r="L78" s="278"/>
      <c r="M78" s="278"/>
      <c r="N78" s="278"/>
      <c r="O78" s="278"/>
      <c r="P78" s="278"/>
      <c r="Q78" s="213"/>
      <c r="R78" s="131"/>
      <c r="S78" s="131"/>
      <c r="T78" s="131"/>
      <c r="U78" s="131"/>
      <c r="V78" s="131"/>
      <c r="W78" s="131"/>
      <c r="X78" s="131"/>
      <c r="Y78" s="131"/>
      <c r="Z78" s="131"/>
      <c r="AJ78" s="277"/>
      <c r="AK78" s="277"/>
      <c r="AL78" s="277"/>
      <c r="AM78" s="277"/>
      <c r="AN78" s="277"/>
    </row>
    <row r="79" spans="1:40" x14ac:dyDescent="0.25">
      <c r="A79" s="278"/>
      <c r="B79" s="271"/>
      <c r="C79" s="304"/>
      <c r="D79" s="182">
        <f t="shared" ref="D79:I79" si="38">SUM(D74:D78)</f>
        <v>3219.1096845096895</v>
      </c>
      <c r="E79" s="182">
        <f t="shared" si="38"/>
        <v>5280.7595733150456</v>
      </c>
      <c r="F79" s="182">
        <f t="shared" si="38"/>
        <v>7152.168414182549</v>
      </c>
      <c r="G79" s="182">
        <f t="shared" si="38"/>
        <v>7681.118948266163</v>
      </c>
      <c r="H79" s="182">
        <f t="shared" si="38"/>
        <v>7755.1788182728806</v>
      </c>
      <c r="I79" s="182">
        <f t="shared" si="38"/>
        <v>7829.9527592870063</v>
      </c>
      <c r="J79" s="278"/>
      <c r="K79" s="278"/>
      <c r="L79" s="278"/>
      <c r="M79" s="278"/>
      <c r="N79" s="278"/>
      <c r="O79" s="278"/>
      <c r="P79" s="278"/>
      <c r="Q79" s="213"/>
      <c r="R79" s="131"/>
      <c r="S79" s="131"/>
      <c r="T79" s="131"/>
      <c r="U79" s="131"/>
      <c r="V79" s="131"/>
      <c r="W79" s="131"/>
      <c r="X79" s="131"/>
      <c r="Y79" s="131"/>
      <c r="Z79" s="131"/>
      <c r="AJ79" s="277"/>
      <c r="AK79" s="277"/>
      <c r="AL79" s="277"/>
      <c r="AM79" s="277"/>
      <c r="AN79" s="277"/>
    </row>
    <row r="80" spans="1:40" x14ac:dyDescent="0.25">
      <c r="A80" s="278"/>
      <c r="B80" s="274"/>
      <c r="C80" s="274"/>
      <c r="D80" s="276" t="s">
        <v>831</v>
      </c>
      <c r="E80" s="182">
        <f>E79-$D$79</f>
        <v>2061.6498888053561</v>
      </c>
      <c r="F80" s="182">
        <f>F79-$D$79</f>
        <v>3933.0587296728595</v>
      </c>
      <c r="G80" s="182">
        <f>G79-$D$79</f>
        <v>4462.009263756474</v>
      </c>
      <c r="H80" s="182">
        <f>H79-$D$79</f>
        <v>4536.0691337631906</v>
      </c>
      <c r="I80" s="182">
        <f>I79-$D$79</f>
        <v>4610.8430747773164</v>
      </c>
      <c r="J80" s="278"/>
      <c r="K80" s="278"/>
      <c r="L80" s="278"/>
      <c r="M80" s="278"/>
      <c r="N80" s="278"/>
      <c r="O80" s="278"/>
      <c r="P80" s="278"/>
      <c r="Q80" s="213"/>
      <c r="R80" s="131"/>
      <c r="S80" s="131"/>
      <c r="T80" s="131"/>
      <c r="U80" s="131"/>
      <c r="V80" s="131"/>
      <c r="W80" s="131"/>
      <c r="X80" s="131"/>
      <c r="Y80" s="131"/>
      <c r="Z80" s="131"/>
      <c r="AJ80" s="277"/>
      <c r="AK80" s="277"/>
      <c r="AL80" s="277"/>
      <c r="AM80" s="277"/>
      <c r="AN80" s="277"/>
    </row>
    <row r="81" spans="1:40" x14ac:dyDescent="0.25">
      <c r="A81" s="278"/>
      <c r="B81" s="306"/>
      <c r="C81" s="213"/>
      <c r="D81" s="213"/>
      <c r="E81" s="213"/>
      <c r="F81" s="213"/>
      <c r="G81" s="213"/>
      <c r="H81" s="213"/>
      <c r="I81" s="213"/>
      <c r="J81" s="213"/>
      <c r="K81" s="213"/>
      <c r="L81" s="278"/>
      <c r="M81" s="278"/>
      <c r="N81" s="278"/>
      <c r="O81" s="278"/>
      <c r="P81" s="278"/>
      <c r="Q81" s="213"/>
      <c r="R81" s="131"/>
      <c r="S81" s="131"/>
      <c r="T81" s="131"/>
      <c r="U81" s="131"/>
      <c r="V81" s="131"/>
      <c r="W81" s="131"/>
      <c r="X81" s="131"/>
      <c r="Y81" s="131"/>
      <c r="Z81" s="131"/>
      <c r="AJ81" s="277"/>
      <c r="AK81" s="277"/>
      <c r="AL81" s="277"/>
      <c r="AM81" s="277"/>
      <c r="AN81" s="277"/>
    </row>
    <row r="82" spans="1:40" x14ac:dyDescent="0.25">
      <c r="A82" s="278"/>
      <c r="B82" s="361" t="s">
        <v>803</v>
      </c>
      <c r="C82" s="360"/>
      <c r="D82" s="360"/>
      <c r="E82" s="360"/>
      <c r="F82" s="360"/>
      <c r="G82" s="360"/>
      <c r="H82" s="360"/>
      <c r="I82" s="212"/>
      <c r="J82" s="389"/>
      <c r="K82" s="213"/>
      <c r="L82" s="278"/>
      <c r="M82" s="278"/>
      <c r="N82" s="278"/>
      <c r="O82" s="278"/>
      <c r="P82" s="278"/>
      <c r="Q82" s="213"/>
      <c r="R82" s="131"/>
      <c r="V82" s="131"/>
      <c r="AJ82" s="277"/>
      <c r="AK82" s="277"/>
      <c r="AL82" s="277"/>
      <c r="AM82" s="277"/>
      <c r="AN82" s="277"/>
    </row>
    <row r="83" spans="1:40" ht="60" x14ac:dyDescent="0.25">
      <c r="A83" s="278"/>
      <c r="B83" s="273" t="s">
        <v>768</v>
      </c>
      <c r="C83" s="162" t="s">
        <v>726</v>
      </c>
      <c r="D83" s="384" t="s">
        <v>809</v>
      </c>
      <c r="E83" s="247" t="s">
        <v>676</v>
      </c>
      <c r="F83" s="247" t="s">
        <v>677</v>
      </c>
      <c r="G83" s="161" t="s">
        <v>778</v>
      </c>
      <c r="H83" s="161" t="s">
        <v>779</v>
      </c>
      <c r="I83" s="247" t="s">
        <v>780</v>
      </c>
      <c r="J83" s="278"/>
      <c r="K83" s="278"/>
      <c r="L83" s="278"/>
      <c r="M83" s="278"/>
      <c r="N83" s="278"/>
      <c r="O83" s="278"/>
      <c r="P83" s="278"/>
      <c r="Q83" s="213"/>
      <c r="R83" s="131"/>
      <c r="V83" s="131"/>
      <c r="AJ83" s="277"/>
      <c r="AK83" s="277"/>
      <c r="AL83" s="277"/>
      <c r="AM83" s="277"/>
      <c r="AN83" s="277"/>
    </row>
    <row r="84" spans="1:40" x14ac:dyDescent="0.25">
      <c r="A84" s="278"/>
      <c r="B84" s="322" t="s">
        <v>1130</v>
      </c>
      <c r="C84" s="146">
        <f>'Inputs and eligible population'!F118</f>
        <v>30</v>
      </c>
      <c r="D84" s="126">
        <f>($C84/60)*D53</f>
        <v>0</v>
      </c>
      <c r="E84" s="126">
        <f t="shared" ref="E84:I84" si="39">($C84/60)*E53</f>
        <v>604.52868503186812</v>
      </c>
      <c r="F84" s="126">
        <f t="shared" si="39"/>
        <v>1220.714868438735</v>
      </c>
      <c r="G84" s="126">
        <f t="shared" si="39"/>
        <v>1369.4275179650851</v>
      </c>
      <c r="H84" s="126">
        <f t="shared" si="39"/>
        <v>1382.6312744291104</v>
      </c>
      <c r="I84" s="126">
        <f t="shared" si="39"/>
        <v>1395.9623389707624</v>
      </c>
      <c r="J84" s="278"/>
      <c r="K84" s="278"/>
      <c r="L84" s="278"/>
      <c r="M84" s="278"/>
      <c r="N84" s="278"/>
      <c r="O84" s="278"/>
      <c r="P84" s="278"/>
      <c r="Q84" s="213"/>
      <c r="R84" s="131"/>
      <c r="V84" s="131"/>
      <c r="AJ84" s="277"/>
      <c r="AK84" s="277"/>
      <c r="AL84" s="277"/>
      <c r="AM84" s="277"/>
      <c r="AN84" s="277"/>
    </row>
    <row r="85" spans="1:40" x14ac:dyDescent="0.25">
      <c r="A85" s="278"/>
      <c r="B85" s="322" t="s">
        <v>1131</v>
      </c>
      <c r="C85" s="146">
        <f>'Inputs and eligible population'!H118</f>
        <v>30</v>
      </c>
      <c r="D85" s="126">
        <f t="shared" ref="D85:I88" si="40">($C85/60)*D54</f>
        <v>179.62667964899998</v>
      </c>
      <c r="E85" s="126">
        <f t="shared" si="40"/>
        <v>725.43442203824191</v>
      </c>
      <c r="F85" s="126">
        <f t="shared" si="40"/>
        <v>1098.6433815948615</v>
      </c>
      <c r="G85" s="126">
        <f t="shared" si="40"/>
        <v>1232.4847661685767</v>
      </c>
      <c r="H85" s="126">
        <f t="shared" si="40"/>
        <v>1244.3681469861995</v>
      </c>
      <c r="I85" s="126">
        <f t="shared" si="40"/>
        <v>1256.3661050736862</v>
      </c>
      <c r="J85" s="278"/>
      <c r="K85" s="278"/>
      <c r="L85" s="278"/>
      <c r="M85" s="278"/>
      <c r="N85" s="278"/>
      <c r="O85" s="278"/>
      <c r="P85" s="278"/>
      <c r="Q85" s="213"/>
      <c r="V85" s="131"/>
      <c r="AJ85" s="277"/>
      <c r="AK85" s="277"/>
      <c r="AL85" s="277"/>
      <c r="AM85" s="277"/>
      <c r="AN85" s="277"/>
    </row>
    <row r="86" spans="1:40" x14ac:dyDescent="0.25">
      <c r="A86" s="278"/>
      <c r="B86" s="322" t="s">
        <v>1132</v>
      </c>
      <c r="C86" s="146">
        <f>'Inputs and eligible population'!J118</f>
        <v>30</v>
      </c>
      <c r="D86" s="126">
        <f t="shared" si="40"/>
        <v>2844.0890944424996</v>
      </c>
      <c r="E86" s="126">
        <f t="shared" si="40"/>
        <v>1964.7182263535715</v>
      </c>
      <c r="F86" s="126">
        <f t="shared" si="40"/>
        <v>1220.7148684387353</v>
      </c>
      <c r="G86" s="126">
        <f t="shared" si="40"/>
        <v>1027.0706384738139</v>
      </c>
      <c r="H86" s="126">
        <f t="shared" si="40"/>
        <v>1036.9734558218329</v>
      </c>
      <c r="I86" s="126">
        <f t="shared" si="40"/>
        <v>1046.9717542280719</v>
      </c>
      <c r="J86" s="278"/>
      <c r="K86" s="278"/>
      <c r="L86" s="278"/>
      <c r="M86" s="278"/>
      <c r="N86" s="278"/>
      <c r="O86" s="278"/>
      <c r="P86" s="278"/>
      <c r="Q86" s="213"/>
      <c r="V86" s="131"/>
      <c r="AJ86" s="277"/>
      <c r="AK86" s="277"/>
      <c r="AL86" s="277"/>
      <c r="AM86" s="277"/>
      <c r="AN86" s="277"/>
    </row>
    <row r="87" spans="1:40" x14ac:dyDescent="0.25">
      <c r="A87" s="278"/>
      <c r="B87" s="322" t="s">
        <v>1128</v>
      </c>
      <c r="C87" s="146">
        <f>'Inputs and eligible population'!G118</f>
        <v>30</v>
      </c>
      <c r="D87" s="126">
        <f t="shared" si="40"/>
        <v>0</v>
      </c>
      <c r="E87" s="126">
        <f t="shared" si="40"/>
        <v>1196.9667963630991</v>
      </c>
      <c r="F87" s="126">
        <f t="shared" si="40"/>
        <v>2417.0154395086956</v>
      </c>
      <c r="G87" s="126">
        <f t="shared" si="40"/>
        <v>2711.4664855708688</v>
      </c>
      <c r="H87" s="126">
        <f t="shared" si="40"/>
        <v>2737.6099233696386</v>
      </c>
      <c r="I87" s="126">
        <f t="shared" si="40"/>
        <v>2764.0054311621097</v>
      </c>
      <c r="J87" s="278"/>
      <c r="K87" s="278"/>
      <c r="L87" s="278"/>
      <c r="M87" s="278"/>
      <c r="N87" s="278"/>
      <c r="O87" s="278"/>
      <c r="P87" s="278"/>
      <c r="Q87" s="213"/>
      <c r="V87" s="131"/>
      <c r="AJ87" s="277"/>
      <c r="AK87" s="277"/>
      <c r="AL87" s="277"/>
      <c r="AM87" s="277"/>
      <c r="AN87" s="277"/>
    </row>
    <row r="88" spans="1:40" x14ac:dyDescent="0.25">
      <c r="A88" s="278"/>
      <c r="B88" s="321" t="s">
        <v>1129</v>
      </c>
      <c r="C88" s="146">
        <f>'Inputs and eligible population'!I118</f>
        <v>30</v>
      </c>
      <c r="D88" s="126">
        <f t="shared" si="40"/>
        <v>195.39391041818996</v>
      </c>
      <c r="E88" s="126">
        <f t="shared" si="40"/>
        <v>789.11144352826523</v>
      </c>
      <c r="F88" s="126">
        <f t="shared" si="40"/>
        <v>1195.0798562015216</v>
      </c>
      <c r="G88" s="126">
        <f t="shared" si="40"/>
        <v>1340.6695400878184</v>
      </c>
      <c r="H88" s="126">
        <f t="shared" si="40"/>
        <v>1353.596017666099</v>
      </c>
      <c r="I88" s="126">
        <f t="shared" si="40"/>
        <v>1366.6471298523763</v>
      </c>
      <c r="J88" s="278"/>
      <c r="K88" s="278"/>
      <c r="L88" s="278"/>
      <c r="M88" s="278"/>
      <c r="N88" s="278"/>
      <c r="O88" s="278"/>
      <c r="P88" s="278"/>
      <c r="Q88" s="213"/>
      <c r="V88" s="131"/>
      <c r="AJ88" s="277"/>
      <c r="AK88" s="277"/>
      <c r="AL88" s="277"/>
      <c r="AM88" s="277"/>
      <c r="AN88" s="277"/>
    </row>
    <row r="89" spans="1:40" x14ac:dyDescent="0.25">
      <c r="A89" s="278"/>
      <c r="B89" s="271"/>
      <c r="C89" s="304"/>
      <c r="D89" s="182">
        <f t="shared" ref="D89:I89" si="41">SUM(D84:D88)</f>
        <v>3219.1096845096895</v>
      </c>
      <c r="E89" s="182">
        <f t="shared" si="41"/>
        <v>5280.7595733150456</v>
      </c>
      <c r="F89" s="182">
        <f t="shared" si="41"/>
        <v>7152.168414182549</v>
      </c>
      <c r="G89" s="182">
        <f t="shared" si="41"/>
        <v>7681.118948266163</v>
      </c>
      <c r="H89" s="182">
        <f t="shared" si="41"/>
        <v>7755.1788182728806</v>
      </c>
      <c r="I89" s="182">
        <f t="shared" si="41"/>
        <v>7829.9527592870063</v>
      </c>
      <c r="J89" s="278"/>
      <c r="K89" s="278"/>
      <c r="L89" s="278"/>
      <c r="M89" s="278"/>
      <c r="N89" s="278"/>
      <c r="O89" s="278"/>
      <c r="P89" s="278"/>
      <c r="Q89" s="213"/>
      <c r="R89" s="131"/>
      <c r="S89" s="131"/>
      <c r="T89" s="131"/>
      <c r="U89" s="131"/>
      <c r="V89" s="131"/>
      <c r="W89" s="131"/>
      <c r="X89" s="131"/>
      <c r="Y89" s="131"/>
      <c r="Z89" s="131"/>
      <c r="AJ89" s="277"/>
      <c r="AK89" s="277"/>
      <c r="AL89" s="277"/>
      <c r="AM89" s="277"/>
      <c r="AN89" s="277"/>
    </row>
    <row r="90" spans="1:40" x14ac:dyDescent="0.25">
      <c r="A90" s="278"/>
      <c r="B90" s="298"/>
      <c r="C90" s="274"/>
      <c r="D90" s="276" t="s">
        <v>832</v>
      </c>
      <c r="E90" s="182">
        <f>E89-$D$89</f>
        <v>2061.6498888053561</v>
      </c>
      <c r="F90" s="182">
        <f>F89-$D$89</f>
        <v>3933.0587296728595</v>
      </c>
      <c r="G90" s="182">
        <f>G89-$D$89</f>
        <v>4462.009263756474</v>
      </c>
      <c r="H90" s="182">
        <f>H89-$D$89</f>
        <v>4536.0691337631906</v>
      </c>
      <c r="I90" s="182">
        <f>I89-$D$89</f>
        <v>4610.8430747773164</v>
      </c>
      <c r="J90" s="278"/>
      <c r="K90" s="278"/>
      <c r="L90" s="278"/>
      <c r="M90" s="278"/>
      <c r="N90" s="278"/>
      <c r="O90" s="278"/>
      <c r="P90" s="278"/>
      <c r="Q90" s="213"/>
      <c r="R90" s="131"/>
      <c r="S90" s="131"/>
      <c r="T90" s="131"/>
      <c r="U90" s="131"/>
      <c r="V90" s="131"/>
      <c r="W90" s="131"/>
      <c r="X90" s="131"/>
      <c r="Y90" s="131"/>
      <c r="Z90" s="131"/>
      <c r="AJ90" s="277"/>
      <c r="AK90" s="277"/>
      <c r="AL90" s="277"/>
      <c r="AM90" s="277"/>
      <c r="AN90" s="277"/>
    </row>
    <row r="91" spans="1:40" x14ac:dyDescent="0.25">
      <c r="A91" s="278"/>
      <c r="B91" s="306"/>
      <c r="C91" s="213"/>
      <c r="D91" s="213"/>
      <c r="E91" s="213"/>
      <c r="F91" s="213"/>
      <c r="G91" s="213"/>
      <c r="H91" s="213"/>
      <c r="I91" s="213"/>
      <c r="J91" s="278"/>
      <c r="K91" s="278"/>
      <c r="L91" s="278"/>
      <c r="M91" s="278"/>
      <c r="N91" s="278"/>
      <c r="O91" s="278"/>
      <c r="P91" s="278"/>
      <c r="Q91" s="213"/>
      <c r="R91" s="131"/>
      <c r="S91" s="131"/>
      <c r="T91" s="131"/>
      <c r="U91" s="131"/>
      <c r="V91" s="131"/>
      <c r="W91" s="131"/>
      <c r="X91" s="131"/>
      <c r="Y91" s="131"/>
      <c r="Z91" s="131"/>
      <c r="AJ91" s="277"/>
      <c r="AK91" s="277"/>
      <c r="AL91" s="277"/>
      <c r="AM91" s="277"/>
      <c r="AN91" s="277"/>
    </row>
    <row r="92" spans="1:40" x14ac:dyDescent="0.25">
      <c r="A92" s="626"/>
      <c r="B92" s="632" t="s">
        <v>833</v>
      </c>
      <c r="C92" s="627"/>
      <c r="D92" s="628"/>
      <c r="E92" s="627"/>
      <c r="F92" s="629"/>
      <c r="G92" s="630"/>
      <c r="H92" s="630"/>
      <c r="I92" s="631"/>
      <c r="J92" s="626"/>
      <c r="K92" s="626"/>
      <c r="L92" s="626"/>
      <c r="M92" s="626"/>
      <c r="N92" s="626"/>
      <c r="O92" s="626"/>
      <c r="P92" s="280"/>
      <c r="Q92" s="280"/>
      <c r="R92" s="131"/>
      <c r="S92" s="131"/>
      <c r="T92" s="131"/>
      <c r="U92" s="131"/>
      <c r="V92" s="131"/>
      <c r="W92" s="131"/>
      <c r="X92" s="131"/>
      <c r="Y92" s="131"/>
      <c r="Z92" s="131"/>
      <c r="AJ92" s="277"/>
      <c r="AK92" s="277"/>
      <c r="AL92" s="277"/>
      <c r="AM92" s="277"/>
      <c r="AN92" s="277"/>
    </row>
    <row r="93" spans="1:40" x14ac:dyDescent="0.25">
      <c r="A93" s="280"/>
      <c r="B93" s="362" t="s">
        <v>834</v>
      </c>
      <c r="C93" s="363"/>
      <c r="D93" s="363"/>
      <c r="E93" s="363"/>
      <c r="F93" s="363"/>
      <c r="G93" s="363"/>
      <c r="H93" s="363"/>
      <c r="I93" s="216"/>
      <c r="J93" s="280"/>
      <c r="K93" s="280"/>
      <c r="L93" s="217"/>
      <c r="M93" s="217"/>
      <c r="N93" s="280"/>
      <c r="O93" s="217"/>
      <c r="P93" s="217"/>
      <c r="Q93" s="217"/>
      <c r="V93" s="131"/>
    </row>
    <row r="94" spans="1:40" ht="45" x14ac:dyDescent="0.25">
      <c r="A94" s="280"/>
      <c r="B94" s="270" t="s">
        <v>768</v>
      </c>
      <c r="C94" s="162" t="s">
        <v>835</v>
      </c>
      <c r="D94" s="384" t="s">
        <v>809</v>
      </c>
      <c r="E94" s="247" t="s">
        <v>676</v>
      </c>
      <c r="F94" s="247" t="s">
        <v>677</v>
      </c>
      <c r="G94" s="161" t="s">
        <v>778</v>
      </c>
      <c r="H94" s="161" t="s">
        <v>779</v>
      </c>
      <c r="I94" s="247" t="s">
        <v>780</v>
      </c>
      <c r="J94" s="280"/>
      <c r="K94" s="280"/>
      <c r="L94" s="217"/>
      <c r="M94" s="217"/>
      <c r="N94" s="280"/>
      <c r="O94" s="217"/>
      <c r="P94" s="217"/>
      <c r="Q94" s="217"/>
      <c r="V94" s="131"/>
    </row>
    <row r="95" spans="1:40" x14ac:dyDescent="0.25">
      <c r="A95" s="280"/>
      <c r="B95" s="322" t="s">
        <v>1130</v>
      </c>
      <c r="C95" s="146">
        <f>'Inputs and eligible population'!F119</f>
        <v>15</v>
      </c>
      <c r="D95" s="126">
        <f>($C95/60)*D53</f>
        <v>0</v>
      </c>
      <c r="E95" s="126">
        <f t="shared" ref="E95:I95" si="42">($C95/60)*E53</f>
        <v>302.26434251593406</v>
      </c>
      <c r="F95" s="126">
        <f t="shared" si="42"/>
        <v>610.35743421936752</v>
      </c>
      <c r="G95" s="126">
        <f t="shared" si="42"/>
        <v>684.71375898254257</v>
      </c>
      <c r="H95" s="126">
        <f t="shared" si="42"/>
        <v>691.31563721455518</v>
      </c>
      <c r="I95" s="126">
        <f t="shared" si="42"/>
        <v>697.9811694853812</v>
      </c>
      <c r="J95" s="280"/>
      <c r="K95" s="280"/>
      <c r="L95" s="217"/>
      <c r="M95" s="217"/>
      <c r="N95" s="280"/>
      <c r="O95" s="217"/>
      <c r="P95" s="217"/>
      <c r="Q95" s="217"/>
      <c r="V95" s="131"/>
    </row>
    <row r="96" spans="1:40" x14ac:dyDescent="0.25">
      <c r="A96" s="280"/>
      <c r="B96" s="322" t="s">
        <v>1131</v>
      </c>
      <c r="C96" s="146">
        <f>'Inputs and eligible population'!H119</f>
        <v>15</v>
      </c>
      <c r="D96" s="126">
        <f t="shared" ref="D96:I99" si="43">($C96/60)*D54</f>
        <v>89.813339824499991</v>
      </c>
      <c r="E96" s="126">
        <f t="shared" si="43"/>
        <v>362.71721101912095</v>
      </c>
      <c r="F96" s="126">
        <f t="shared" si="43"/>
        <v>549.32169079743073</v>
      </c>
      <c r="G96" s="126">
        <f t="shared" si="43"/>
        <v>616.24238308428835</v>
      </c>
      <c r="H96" s="126">
        <f t="shared" si="43"/>
        <v>622.18407349309973</v>
      </c>
      <c r="I96" s="126">
        <f t="shared" si="43"/>
        <v>628.18305253684309</v>
      </c>
      <c r="J96" s="280"/>
      <c r="K96" s="280"/>
      <c r="L96" s="217"/>
      <c r="M96" s="217"/>
      <c r="N96" s="280"/>
      <c r="O96" s="217"/>
      <c r="P96" s="217"/>
      <c r="Q96" s="217"/>
      <c r="V96" s="131"/>
    </row>
    <row r="97" spans="1:40" x14ac:dyDescent="0.25">
      <c r="A97" s="280"/>
      <c r="B97" s="322" t="s">
        <v>1132</v>
      </c>
      <c r="C97" s="146">
        <f>'Inputs and eligible population'!J119</f>
        <v>15</v>
      </c>
      <c r="D97" s="126">
        <f t="shared" si="43"/>
        <v>1422.0445472212498</v>
      </c>
      <c r="E97" s="126">
        <f t="shared" si="43"/>
        <v>982.35911317678574</v>
      </c>
      <c r="F97" s="126">
        <f t="shared" si="43"/>
        <v>610.35743421936763</v>
      </c>
      <c r="G97" s="126">
        <f t="shared" si="43"/>
        <v>513.53531923690696</v>
      </c>
      <c r="H97" s="126">
        <f t="shared" si="43"/>
        <v>518.48672791091644</v>
      </c>
      <c r="I97" s="126">
        <f t="shared" si="43"/>
        <v>523.48587711403593</v>
      </c>
      <c r="J97" s="280"/>
      <c r="K97" s="280"/>
      <c r="L97" s="217"/>
      <c r="M97" s="217"/>
      <c r="N97" s="280"/>
      <c r="O97" s="217"/>
      <c r="P97" s="217"/>
      <c r="Q97" s="217"/>
      <c r="V97" s="131"/>
    </row>
    <row r="98" spans="1:40" x14ac:dyDescent="0.25">
      <c r="A98" s="280"/>
      <c r="B98" s="322" t="s">
        <v>1128</v>
      </c>
      <c r="C98" s="146">
        <f>'Inputs and eligible population'!G119</f>
        <v>15</v>
      </c>
      <c r="D98" s="126">
        <f t="shared" si="43"/>
        <v>0</v>
      </c>
      <c r="E98" s="126">
        <f t="shared" si="43"/>
        <v>598.48339818154955</v>
      </c>
      <c r="F98" s="126">
        <f t="shared" si="43"/>
        <v>1208.5077197543478</v>
      </c>
      <c r="G98" s="126">
        <f t="shared" si="43"/>
        <v>1355.7332427854344</v>
      </c>
      <c r="H98" s="126">
        <f t="shared" si="43"/>
        <v>1368.8049616848193</v>
      </c>
      <c r="I98" s="126">
        <f t="shared" si="43"/>
        <v>1382.0027155810549</v>
      </c>
      <c r="J98" s="280"/>
      <c r="K98" s="280"/>
      <c r="L98" s="217"/>
      <c r="M98" s="217"/>
      <c r="N98" s="280"/>
      <c r="O98" s="217"/>
      <c r="P98" s="217"/>
      <c r="Q98" s="217"/>
      <c r="V98" s="131"/>
    </row>
    <row r="99" spans="1:40" x14ac:dyDescent="0.25">
      <c r="A99" s="280"/>
      <c r="B99" s="321" t="s">
        <v>1129</v>
      </c>
      <c r="C99" s="146">
        <f>'Inputs and eligible population'!I119</f>
        <v>15</v>
      </c>
      <c r="D99" s="126">
        <f t="shared" si="43"/>
        <v>97.69695520909498</v>
      </c>
      <c r="E99" s="126">
        <f t="shared" si="43"/>
        <v>394.55572176413261</v>
      </c>
      <c r="F99" s="126">
        <f t="shared" si="43"/>
        <v>597.53992810076079</v>
      </c>
      <c r="G99" s="126">
        <f t="shared" si="43"/>
        <v>670.3347700439092</v>
      </c>
      <c r="H99" s="126">
        <f t="shared" si="43"/>
        <v>676.79800883304949</v>
      </c>
      <c r="I99" s="126">
        <f t="shared" si="43"/>
        <v>683.32356492618817</v>
      </c>
      <c r="J99" s="280"/>
      <c r="K99" s="280"/>
      <c r="L99" s="217"/>
      <c r="M99" s="217"/>
      <c r="N99" s="280"/>
      <c r="O99" s="217"/>
      <c r="P99" s="217"/>
      <c r="Q99" s="217"/>
      <c r="V99" s="131"/>
    </row>
    <row r="100" spans="1:40" x14ac:dyDescent="0.25">
      <c r="A100" s="280"/>
      <c r="B100" s="271"/>
      <c r="C100" s="304"/>
      <c r="D100" s="182">
        <f t="shared" ref="D100:I100" si="44">SUM(D95:D99)</f>
        <v>1609.5548422548447</v>
      </c>
      <c r="E100" s="182">
        <f t="shared" si="44"/>
        <v>2640.3797866575228</v>
      </c>
      <c r="F100" s="182">
        <f t="shared" si="44"/>
        <v>3576.0842070912745</v>
      </c>
      <c r="G100" s="182">
        <f t="shared" si="44"/>
        <v>3840.5594741330815</v>
      </c>
      <c r="H100" s="182">
        <f t="shared" si="44"/>
        <v>3877.5894091364403</v>
      </c>
      <c r="I100" s="182">
        <f t="shared" si="44"/>
        <v>3914.9763796435032</v>
      </c>
      <c r="J100" s="280"/>
      <c r="K100" s="280"/>
      <c r="L100" s="217"/>
      <c r="M100" s="217"/>
      <c r="N100" s="280"/>
      <c r="O100" s="217"/>
      <c r="P100" s="217"/>
      <c r="Q100" s="217"/>
      <c r="V100" s="131"/>
    </row>
    <row r="101" spans="1:40" x14ac:dyDescent="0.25">
      <c r="A101" s="280"/>
      <c r="B101" s="298"/>
      <c r="C101" s="218"/>
      <c r="D101" s="276" t="s">
        <v>805</v>
      </c>
      <c r="E101" s="182">
        <f>E100-$D$100</f>
        <v>1030.8249444026781</v>
      </c>
      <c r="F101" s="182">
        <f>F100-$D$100</f>
        <v>1966.5293648364297</v>
      </c>
      <c r="G101" s="182">
        <f>G100-$D$100</f>
        <v>2231.004631878237</v>
      </c>
      <c r="H101" s="182">
        <f>H100-$D$100</f>
        <v>2268.0345668815953</v>
      </c>
      <c r="I101" s="182">
        <f>I100-$D$100</f>
        <v>2305.4215373886582</v>
      </c>
      <c r="J101" s="280"/>
      <c r="K101" s="280"/>
      <c r="L101" s="217"/>
      <c r="M101" s="217"/>
      <c r="N101" s="280"/>
      <c r="O101" s="217"/>
      <c r="P101" s="217"/>
      <c r="Q101" s="217"/>
      <c r="V101" s="131"/>
    </row>
    <row r="102" spans="1:40" x14ac:dyDescent="0.25">
      <c r="A102" s="280"/>
      <c r="B102" s="307"/>
      <c r="C102" s="1001"/>
      <c r="D102" s="217"/>
      <c r="E102" s="217"/>
      <c r="F102" s="217"/>
      <c r="G102" s="217"/>
      <c r="H102" s="217"/>
      <c r="I102" s="217"/>
      <c r="J102" s="217"/>
      <c r="K102" s="217"/>
      <c r="L102" s="217"/>
      <c r="M102" s="217"/>
      <c r="N102" s="280"/>
      <c r="O102" s="217"/>
      <c r="P102" s="217"/>
      <c r="Q102" s="217"/>
      <c r="R102" s="131"/>
      <c r="S102" s="131"/>
      <c r="T102" s="131"/>
      <c r="U102" s="131"/>
      <c r="V102" s="131"/>
      <c r="W102" s="131"/>
      <c r="X102" s="131"/>
      <c r="Y102" s="131"/>
      <c r="Z102" s="131"/>
      <c r="AJ102" s="277"/>
      <c r="AK102" s="277"/>
      <c r="AL102" s="277"/>
      <c r="AM102" s="277"/>
      <c r="AN102" s="277"/>
    </row>
    <row r="103" spans="1:40" x14ac:dyDescent="0.25">
      <c r="B103"/>
    </row>
    <row r="104" spans="1:40" x14ac:dyDescent="0.25">
      <c r="B104"/>
    </row>
    <row r="105" spans="1:40" x14ac:dyDescent="0.25">
      <c r="B105"/>
    </row>
    <row r="106" spans="1:40" x14ac:dyDescent="0.25">
      <c r="B106"/>
    </row>
    <row r="107" spans="1:40" x14ac:dyDescent="0.25">
      <c r="B107"/>
    </row>
  </sheetData>
  <sheetProtection algorithmName="SHA-512" hashValue="5sU2jlRMsn/mhyeYdHHLI2/9axFAD2aRVbfgtGfCqgZtR+bGiX2iPkX/NI22rAN7W+gd8VbxyDFYalOeVfrdKQ==" saltValue="4aTl1F/ysqowfSxhgjSGZ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24"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625" t="s">
        <v>840</v>
      </c>
      <c r="B1" s="625"/>
      <c r="C1" s="625"/>
      <c r="D1" s="625"/>
      <c r="E1" s="625"/>
      <c r="F1" s="625"/>
      <c r="G1" s="625"/>
      <c r="H1" s="625"/>
      <c r="I1" s="625"/>
      <c r="J1" s="625"/>
      <c r="K1" s="625"/>
      <c r="L1" s="625"/>
      <c r="M1" s="625"/>
    </row>
    <row r="2" spans="1:24" ht="14.45" customHeight="1" thickBot="1" x14ac:dyDescent="0.3">
      <c r="A2" s="127"/>
      <c r="B2" s="127"/>
      <c r="C2" s="127"/>
      <c r="D2" s="127"/>
      <c r="E2" s="127"/>
      <c r="F2" s="127"/>
      <c r="G2" s="127"/>
      <c r="H2" s="127"/>
      <c r="I2" s="127"/>
      <c r="J2" s="127"/>
      <c r="K2" s="127"/>
      <c r="L2" s="127"/>
      <c r="M2" s="127"/>
    </row>
    <row r="3" spans="1:24" ht="14.45" customHeight="1" x14ac:dyDescent="0.25">
      <c r="A3" s="127"/>
      <c r="B3" s="633" t="s">
        <v>40</v>
      </c>
      <c r="C3" s="634"/>
      <c r="D3" s="127"/>
      <c r="E3" s="127"/>
      <c r="F3" s="127"/>
      <c r="G3" s="127"/>
      <c r="H3" s="127"/>
      <c r="I3" s="127"/>
      <c r="J3" s="127"/>
      <c r="K3" s="127"/>
      <c r="L3" s="127"/>
      <c r="M3" s="127"/>
    </row>
    <row r="4" spans="1:24" ht="14.45" customHeight="1" x14ac:dyDescent="0.25">
      <c r="A4" s="127"/>
      <c r="B4" s="635" t="s">
        <v>841</v>
      </c>
      <c r="C4" s="660" t="s">
        <v>842</v>
      </c>
      <c r="D4" s="636" t="s">
        <v>843</v>
      </c>
      <c r="E4" s="127"/>
      <c r="F4" s="127"/>
      <c r="G4" s="127"/>
      <c r="H4" s="127"/>
      <c r="I4" s="127"/>
      <c r="J4" s="127"/>
      <c r="K4" s="127"/>
      <c r="L4" s="127"/>
      <c r="M4" s="127"/>
    </row>
    <row r="5" spans="1:24" ht="14.45" customHeight="1" x14ac:dyDescent="0.25">
      <c r="A5" s="127"/>
      <c r="B5" s="635" t="s">
        <v>844</v>
      </c>
      <c r="C5" s="661">
        <v>9100</v>
      </c>
      <c r="D5" s="127"/>
      <c r="E5" s="127"/>
      <c r="F5" s="127"/>
      <c r="G5" s="127"/>
      <c r="H5" s="127"/>
      <c r="I5" s="127"/>
      <c r="J5" s="127"/>
      <c r="K5" s="127"/>
      <c r="L5" s="127"/>
      <c r="M5" s="127"/>
    </row>
    <row r="6" spans="1:24" ht="14.45" customHeight="1" x14ac:dyDescent="0.25">
      <c r="A6" s="127"/>
      <c r="B6" s="635" t="s">
        <v>845</v>
      </c>
      <c r="C6" s="662">
        <v>0.13800000000000001</v>
      </c>
      <c r="D6" s="127"/>
      <c r="E6" s="127"/>
      <c r="F6" s="127"/>
      <c r="G6" s="127"/>
      <c r="H6" s="127"/>
      <c r="I6" s="127"/>
      <c r="J6" s="127"/>
      <c r="K6" s="127"/>
      <c r="L6" s="127"/>
      <c r="M6" s="127"/>
    </row>
    <row r="7" spans="1:24" ht="14.45" customHeight="1" x14ac:dyDescent="0.25">
      <c r="A7" s="127"/>
      <c r="B7" s="635" t="s">
        <v>846</v>
      </c>
      <c r="C7" s="662">
        <v>0.23780000000000001</v>
      </c>
      <c r="D7" s="127"/>
      <c r="E7" s="127"/>
      <c r="F7" s="127"/>
      <c r="G7" s="127"/>
      <c r="H7" s="127"/>
      <c r="I7" s="127"/>
      <c r="J7" s="127"/>
      <c r="K7" s="127"/>
      <c r="L7" s="127"/>
      <c r="M7" s="127"/>
    </row>
    <row r="8" spans="1:24" ht="14.45" customHeight="1" x14ac:dyDescent="0.25">
      <c r="A8" s="127"/>
      <c r="B8" s="635" t="s">
        <v>847</v>
      </c>
      <c r="C8" s="662">
        <v>5.0000000000000001E-3</v>
      </c>
      <c r="D8" s="127"/>
      <c r="E8" s="127"/>
      <c r="F8" s="127"/>
      <c r="G8" s="127"/>
      <c r="H8" s="127"/>
      <c r="I8" s="127"/>
      <c r="J8" s="127"/>
      <c r="K8" s="127"/>
      <c r="L8" s="127"/>
      <c r="M8" s="127"/>
    </row>
    <row r="9" spans="1:24" ht="14.45" customHeight="1" thickBot="1" x14ac:dyDescent="0.3">
      <c r="A9" s="127"/>
      <c r="B9" s="637" t="s">
        <v>848</v>
      </c>
      <c r="C9" s="663">
        <v>0</v>
      </c>
      <c r="D9" s="127"/>
      <c r="E9" s="127"/>
      <c r="F9" s="127"/>
      <c r="G9" s="127"/>
      <c r="H9" s="127"/>
      <c r="I9" s="127"/>
      <c r="J9" s="127"/>
      <c r="K9" s="127"/>
      <c r="L9" s="127"/>
      <c r="M9" s="127"/>
      <c r="R9" s="638"/>
    </row>
    <row r="10" spans="1:24" ht="15.75" thickBot="1" x14ac:dyDescent="0.3">
      <c r="P10" s="639"/>
      <c r="R10" s="639"/>
    </row>
    <row r="11" spans="1:24" ht="109.5" customHeight="1" thickBot="1" x14ac:dyDescent="0.3">
      <c r="A11" s="640" t="s">
        <v>849</v>
      </c>
      <c r="B11" s="641" t="s">
        <v>850</v>
      </c>
      <c r="C11" s="642" t="s">
        <v>851</v>
      </c>
      <c r="D11" s="642" t="s">
        <v>852</v>
      </c>
      <c r="E11" s="642" t="s">
        <v>853</v>
      </c>
      <c r="F11" s="642" t="s">
        <v>854</v>
      </c>
      <c r="G11" s="643" t="s">
        <v>855</v>
      </c>
      <c r="H11" s="642" t="s">
        <v>856</v>
      </c>
      <c r="I11" s="644" t="s">
        <v>857</v>
      </c>
      <c r="J11" s="645" t="s">
        <v>858</v>
      </c>
      <c r="K11" s="646" t="s">
        <v>820</v>
      </c>
      <c r="L11" s="647" t="s">
        <v>859</v>
      </c>
      <c r="M11" s="648" t="s">
        <v>860</v>
      </c>
      <c r="O11" t="s">
        <v>842</v>
      </c>
      <c r="P11" t="s">
        <v>861</v>
      </c>
      <c r="Q11" t="s">
        <v>862</v>
      </c>
      <c r="R11" t="s">
        <v>863</v>
      </c>
    </row>
    <row r="12" spans="1:24" x14ac:dyDescent="0.25">
      <c r="A12" s="649">
        <v>2</v>
      </c>
      <c r="B12" s="650" t="s">
        <v>864</v>
      </c>
      <c r="C12" s="743">
        <f>HLOOKUP($C$4,$O$11:$R$41,2,FALSE)</f>
        <v>23615</v>
      </c>
      <c r="D12" s="651">
        <f>C12*$C$9</f>
        <v>0</v>
      </c>
      <c r="E12" s="651">
        <f>C12*(100%+$C$9)</f>
        <v>23615</v>
      </c>
      <c r="F12" s="651">
        <f>(E12-$C$5)*$C$6</f>
        <v>2003.0700000000002</v>
      </c>
      <c r="G12" s="652">
        <f>E12*$C$8</f>
        <v>118.075</v>
      </c>
      <c r="H12" s="651">
        <f>E12*$C$7</f>
        <v>5615.6469999999999</v>
      </c>
      <c r="I12" s="653">
        <f>SUM(E12:H12)</f>
        <v>31351.792000000001</v>
      </c>
      <c r="J12" s="747">
        <v>1560</v>
      </c>
      <c r="K12" s="654">
        <f>ROUND(I12/J12,2)</f>
        <v>20.100000000000001</v>
      </c>
      <c r="L12" s="655">
        <v>0.41</v>
      </c>
      <c r="M12" s="656">
        <v>0.83</v>
      </c>
      <c r="O12" s="638">
        <v>23615</v>
      </c>
      <c r="P12" s="277">
        <v>29029</v>
      </c>
      <c r="Q12">
        <v>28166</v>
      </c>
      <c r="R12">
        <v>24873</v>
      </c>
      <c r="V12" s="168"/>
      <c r="W12" s="308"/>
      <c r="X12" s="153"/>
    </row>
    <row r="13" spans="1:24" x14ac:dyDescent="0.25">
      <c r="A13" s="437">
        <v>2</v>
      </c>
      <c r="B13" s="428" t="s">
        <v>865</v>
      </c>
      <c r="C13" s="744">
        <f>HLOOKUP($C$4,$O$11:$R$41,3,FALSE)</f>
        <v>23615</v>
      </c>
      <c r="D13" s="425">
        <f t="shared" ref="D13:D47" si="0">C13*$C$9</f>
        <v>0</v>
      </c>
      <c r="E13" s="425">
        <f t="shared" ref="E13:E47" si="1">C13*(100%+$C$9)</f>
        <v>23615</v>
      </c>
      <c r="F13" s="425">
        <f t="shared" ref="F13:F47" si="2">(E13-$C$5)*$C$6</f>
        <v>2003.0700000000002</v>
      </c>
      <c r="G13" s="429">
        <f t="shared" ref="G13:G47" si="3">E13*$C$8</f>
        <v>118.075</v>
      </c>
      <c r="H13" s="425">
        <f t="shared" ref="H13:H47" si="4">E13*$C$7</f>
        <v>5615.6469999999999</v>
      </c>
      <c r="I13" s="653">
        <f t="shared" ref="I13:I47" si="5">SUM(E13:H13)</f>
        <v>31351.792000000001</v>
      </c>
      <c r="J13" s="309">
        <v>1560</v>
      </c>
      <c r="K13" s="654">
        <f t="shared" ref="K13:K47" si="6">ROUND(I13/J13,2)</f>
        <v>20.100000000000001</v>
      </c>
      <c r="L13" s="426">
        <v>0.41</v>
      </c>
      <c r="M13" s="620">
        <v>0.83</v>
      </c>
      <c r="O13" s="638">
        <v>23615</v>
      </c>
      <c r="P13" s="277">
        <v>29029</v>
      </c>
      <c r="Q13">
        <v>28166</v>
      </c>
      <c r="R13">
        <v>24873</v>
      </c>
      <c r="V13" s="486" t="s">
        <v>866</v>
      </c>
      <c r="X13" s="155"/>
    </row>
    <row r="14" spans="1:24" x14ac:dyDescent="0.25">
      <c r="A14" s="437">
        <v>3</v>
      </c>
      <c r="B14" s="428" t="s">
        <v>867</v>
      </c>
      <c r="C14" s="744">
        <f>HLOOKUP($C$4,$O$11:$R$41,4,FALSE)</f>
        <v>24071</v>
      </c>
      <c r="D14" s="425">
        <f t="shared" si="0"/>
        <v>0</v>
      </c>
      <c r="E14" s="425">
        <f t="shared" si="1"/>
        <v>24071</v>
      </c>
      <c r="F14" s="425">
        <f t="shared" si="2"/>
        <v>2065.998</v>
      </c>
      <c r="G14" s="429">
        <f t="shared" si="3"/>
        <v>120.355</v>
      </c>
      <c r="H14" s="425">
        <f t="shared" si="4"/>
        <v>5724.0838000000003</v>
      </c>
      <c r="I14" s="653">
        <f t="shared" si="5"/>
        <v>31981.436799999999</v>
      </c>
      <c r="J14" s="309">
        <v>1560</v>
      </c>
      <c r="K14" s="654">
        <f t="shared" si="6"/>
        <v>20.5</v>
      </c>
      <c r="L14" s="426">
        <v>0.35</v>
      </c>
      <c r="M14" s="620">
        <v>0.69</v>
      </c>
      <c r="O14" s="638">
        <v>24071</v>
      </c>
      <c r="P14" s="277">
        <v>29485</v>
      </c>
      <c r="Q14">
        <v>28622</v>
      </c>
      <c r="R14">
        <v>25329</v>
      </c>
      <c r="S14" t="s">
        <v>842</v>
      </c>
      <c r="V14" s="487" t="s">
        <v>868</v>
      </c>
      <c r="W14" s="749">
        <v>260</v>
      </c>
      <c r="X14" s="155"/>
    </row>
    <row r="15" spans="1:24" x14ac:dyDescent="0.25">
      <c r="A15" s="437">
        <v>3</v>
      </c>
      <c r="B15" s="428" t="s">
        <v>869</v>
      </c>
      <c r="C15" s="744">
        <f>HLOOKUP($C$4,$O$11:$R$41,5,FALSE)</f>
        <v>25674</v>
      </c>
      <c r="D15" s="425">
        <f t="shared" si="0"/>
        <v>0</v>
      </c>
      <c r="E15" s="425">
        <f t="shared" si="1"/>
        <v>25674</v>
      </c>
      <c r="F15" s="425">
        <f t="shared" si="2"/>
        <v>2287.212</v>
      </c>
      <c r="G15" s="429">
        <f t="shared" si="3"/>
        <v>128.37</v>
      </c>
      <c r="H15" s="425">
        <f t="shared" si="4"/>
        <v>6105.2772000000004</v>
      </c>
      <c r="I15" s="653">
        <f t="shared" si="5"/>
        <v>34194.859199999999</v>
      </c>
      <c r="J15" s="309">
        <v>1560</v>
      </c>
      <c r="K15" s="654">
        <f t="shared" si="6"/>
        <v>21.92</v>
      </c>
      <c r="L15" s="426">
        <v>0.35</v>
      </c>
      <c r="M15" s="620">
        <v>0.69</v>
      </c>
      <c r="O15" s="638">
        <v>25674</v>
      </c>
      <c r="P15" s="277">
        <v>31088</v>
      </c>
      <c r="Q15">
        <v>30225</v>
      </c>
      <c r="R15">
        <v>26958</v>
      </c>
      <c r="S15" t="s">
        <v>870</v>
      </c>
      <c r="V15" s="487" t="s">
        <v>871</v>
      </c>
      <c r="W15" s="749">
        <v>-40</v>
      </c>
      <c r="X15" s="155"/>
    </row>
    <row r="16" spans="1:24" x14ac:dyDescent="0.25">
      <c r="A16" s="437">
        <v>4</v>
      </c>
      <c r="B16" s="428" t="s">
        <v>872</v>
      </c>
      <c r="C16" s="744">
        <f>HLOOKUP($C$4,$O$11:$R$41,6,FALSE)</f>
        <v>26530</v>
      </c>
      <c r="D16" s="425">
        <f t="shared" si="0"/>
        <v>0</v>
      </c>
      <c r="E16" s="425">
        <f t="shared" si="1"/>
        <v>26530</v>
      </c>
      <c r="F16" s="425">
        <f t="shared" si="2"/>
        <v>2405.34</v>
      </c>
      <c r="G16" s="429">
        <f t="shared" si="3"/>
        <v>132.65</v>
      </c>
      <c r="H16" s="425">
        <f t="shared" si="4"/>
        <v>6308.8340000000007</v>
      </c>
      <c r="I16" s="653">
        <f t="shared" si="5"/>
        <v>35376.824000000001</v>
      </c>
      <c r="J16" s="309">
        <v>1560</v>
      </c>
      <c r="K16" s="654">
        <f t="shared" si="6"/>
        <v>22.68</v>
      </c>
      <c r="L16" s="426">
        <v>0.3</v>
      </c>
      <c r="M16" s="620">
        <v>0.6</v>
      </c>
      <c r="O16" s="638">
        <v>26530</v>
      </c>
      <c r="P16" s="277">
        <v>31944</v>
      </c>
      <c r="Q16">
        <v>31081</v>
      </c>
      <c r="R16">
        <v>27857</v>
      </c>
      <c r="S16" t="s">
        <v>873</v>
      </c>
      <c r="V16" s="487" t="s">
        <v>874</v>
      </c>
      <c r="W16" s="749">
        <v>-2</v>
      </c>
      <c r="X16" s="155"/>
    </row>
    <row r="17" spans="1:24" x14ac:dyDescent="0.25">
      <c r="A17" s="437">
        <v>4</v>
      </c>
      <c r="B17" s="428" t="s">
        <v>875</v>
      </c>
      <c r="C17" s="744">
        <f>HLOOKUP($C$4,$O$11:$R$41,7,FALSE)</f>
        <v>29114</v>
      </c>
      <c r="D17" s="425">
        <f t="shared" si="0"/>
        <v>0</v>
      </c>
      <c r="E17" s="425">
        <f t="shared" si="1"/>
        <v>29114</v>
      </c>
      <c r="F17" s="425">
        <f t="shared" si="2"/>
        <v>2761.9320000000002</v>
      </c>
      <c r="G17" s="429">
        <f t="shared" si="3"/>
        <v>145.57</v>
      </c>
      <c r="H17" s="425">
        <f t="shared" si="4"/>
        <v>6923.3092000000006</v>
      </c>
      <c r="I17" s="653">
        <f t="shared" si="5"/>
        <v>38944.811200000004</v>
      </c>
      <c r="J17" s="309">
        <v>1560</v>
      </c>
      <c r="K17" s="654">
        <f t="shared" si="6"/>
        <v>24.96</v>
      </c>
      <c r="L17" s="426">
        <v>0.3</v>
      </c>
      <c r="M17" s="620">
        <v>0.6</v>
      </c>
      <c r="O17" s="638">
        <v>29114</v>
      </c>
      <c r="P17" s="277">
        <v>34937</v>
      </c>
      <c r="Q17">
        <v>33665</v>
      </c>
      <c r="R17">
        <v>30570</v>
      </c>
      <c r="S17" t="s">
        <v>876</v>
      </c>
      <c r="V17" s="487" t="s">
        <v>877</v>
      </c>
      <c r="W17" s="749">
        <v>-10</v>
      </c>
      <c r="X17" s="155"/>
    </row>
    <row r="18" spans="1:24" x14ac:dyDescent="0.25">
      <c r="A18" s="437">
        <v>5</v>
      </c>
      <c r="B18" s="428" t="s">
        <v>878</v>
      </c>
      <c r="C18" s="744">
        <f>HLOOKUP($C$4,$O$11:$R$41,8,FALSE)</f>
        <v>29970</v>
      </c>
      <c r="D18" s="425">
        <f t="shared" si="0"/>
        <v>0</v>
      </c>
      <c r="E18" s="425">
        <f t="shared" si="1"/>
        <v>29970</v>
      </c>
      <c r="F18" s="425">
        <f t="shared" si="2"/>
        <v>2880.0600000000004</v>
      </c>
      <c r="G18" s="429">
        <f t="shared" si="3"/>
        <v>149.85</v>
      </c>
      <c r="H18" s="425">
        <f t="shared" si="4"/>
        <v>7126.866</v>
      </c>
      <c r="I18" s="653">
        <f t="shared" si="5"/>
        <v>40126.775999999998</v>
      </c>
      <c r="J18" s="309">
        <v>1560</v>
      </c>
      <c r="K18" s="654">
        <f t="shared" si="6"/>
        <v>25.72</v>
      </c>
      <c r="L18" s="426">
        <v>0.3</v>
      </c>
      <c r="M18" s="620">
        <v>0.6</v>
      </c>
      <c r="O18" s="638">
        <v>29970</v>
      </c>
      <c r="P18" s="277">
        <v>35964</v>
      </c>
      <c r="Q18">
        <v>34521</v>
      </c>
      <c r="R18">
        <v>31469</v>
      </c>
      <c r="V18" s="487"/>
      <c r="W18" s="752">
        <v>208</v>
      </c>
      <c r="X18" s="155"/>
    </row>
    <row r="19" spans="1:24" x14ac:dyDescent="0.25">
      <c r="A19" s="437">
        <v>5</v>
      </c>
      <c r="B19" s="428" t="s">
        <v>879</v>
      </c>
      <c r="C19" s="744">
        <f>HLOOKUP($C$4,$O$11:$R$41,9,FALSE)</f>
        <v>32324</v>
      </c>
      <c r="D19" s="425">
        <f t="shared" si="0"/>
        <v>0</v>
      </c>
      <c r="E19" s="425">
        <f t="shared" si="1"/>
        <v>32324</v>
      </c>
      <c r="F19" s="425">
        <f t="shared" si="2"/>
        <v>3204.9120000000003</v>
      </c>
      <c r="G19" s="429">
        <f t="shared" si="3"/>
        <v>161.62</v>
      </c>
      <c r="H19" s="425">
        <f t="shared" si="4"/>
        <v>7686.6472000000003</v>
      </c>
      <c r="I19" s="653">
        <f t="shared" si="5"/>
        <v>43377.179199999999</v>
      </c>
      <c r="J19" s="309">
        <v>1560</v>
      </c>
      <c r="K19" s="654">
        <f t="shared" si="6"/>
        <v>27.81</v>
      </c>
      <c r="L19" s="426">
        <v>0.3</v>
      </c>
      <c r="M19" s="620">
        <v>0.6</v>
      </c>
      <c r="O19" s="638">
        <v>32324</v>
      </c>
      <c r="P19" s="277">
        <v>38789</v>
      </c>
      <c r="Q19">
        <v>37173</v>
      </c>
      <c r="R19">
        <v>33941</v>
      </c>
      <c r="V19" s="487" t="s">
        <v>880</v>
      </c>
      <c r="W19" s="753">
        <f>7.5*W18</f>
        <v>1560</v>
      </c>
      <c r="X19" s="155"/>
    </row>
    <row r="20" spans="1:24" x14ac:dyDescent="0.25">
      <c r="A20" s="437">
        <v>5</v>
      </c>
      <c r="B20" s="428" t="s">
        <v>881</v>
      </c>
      <c r="C20" s="744">
        <f>HLOOKUP($C$4,$O$11:$R$41,10,FALSE)</f>
        <v>36483</v>
      </c>
      <c r="D20" s="425">
        <f t="shared" si="0"/>
        <v>0</v>
      </c>
      <c r="E20" s="425">
        <f t="shared" si="1"/>
        <v>36483</v>
      </c>
      <c r="F20" s="425">
        <f t="shared" si="2"/>
        <v>3778.8540000000003</v>
      </c>
      <c r="G20" s="429">
        <f t="shared" si="3"/>
        <v>182.41499999999999</v>
      </c>
      <c r="H20" s="425">
        <f t="shared" si="4"/>
        <v>8675.6574000000001</v>
      </c>
      <c r="I20" s="653">
        <f t="shared" si="5"/>
        <v>49119.926399999997</v>
      </c>
      <c r="J20" s="309">
        <v>1560</v>
      </c>
      <c r="K20" s="654">
        <f t="shared" si="6"/>
        <v>31.49</v>
      </c>
      <c r="L20" s="426">
        <v>0.3</v>
      </c>
      <c r="M20" s="620">
        <v>0.6</v>
      </c>
      <c r="O20" s="638">
        <v>36483</v>
      </c>
      <c r="P20" s="277">
        <v>43780</v>
      </c>
      <c r="Q20">
        <v>41956</v>
      </c>
      <c r="R20">
        <v>38308</v>
      </c>
      <c r="V20" s="156"/>
      <c r="X20" s="155"/>
    </row>
    <row r="21" spans="1:24" x14ac:dyDescent="0.25">
      <c r="A21" s="437">
        <v>6</v>
      </c>
      <c r="B21" s="428" t="s">
        <v>882</v>
      </c>
      <c r="C21" s="744">
        <f>HLOOKUP($C$4,$O$11:$R$41,11,FALSE)</f>
        <v>37338</v>
      </c>
      <c r="D21" s="425">
        <f t="shared" si="0"/>
        <v>0</v>
      </c>
      <c r="E21" s="425">
        <f t="shared" si="1"/>
        <v>37338</v>
      </c>
      <c r="F21" s="425">
        <f t="shared" si="2"/>
        <v>3896.8440000000005</v>
      </c>
      <c r="G21" s="429">
        <f t="shared" si="3"/>
        <v>186.69</v>
      </c>
      <c r="H21" s="425">
        <f t="shared" si="4"/>
        <v>8878.9763999999996</v>
      </c>
      <c r="I21" s="653">
        <f t="shared" si="5"/>
        <v>50300.510399999999</v>
      </c>
      <c r="J21" s="309">
        <v>1560</v>
      </c>
      <c r="K21" s="654">
        <f t="shared" si="6"/>
        <v>32.24</v>
      </c>
      <c r="L21" s="426">
        <v>0.3</v>
      </c>
      <c r="M21" s="620">
        <v>0.6</v>
      </c>
      <c r="O21" s="638">
        <v>37338</v>
      </c>
      <c r="P21" s="277">
        <v>44806</v>
      </c>
      <c r="Q21">
        <v>42939</v>
      </c>
      <c r="R21">
        <v>39205</v>
      </c>
      <c r="V21" s="487"/>
      <c r="X21" s="155"/>
    </row>
    <row r="22" spans="1:24" x14ac:dyDescent="0.25">
      <c r="A22" s="437">
        <v>6</v>
      </c>
      <c r="B22" s="428" t="s">
        <v>729</v>
      </c>
      <c r="C22" s="744">
        <f>HLOOKUP($C$4,$O$11:$R$41,12,FALSE)</f>
        <v>39405</v>
      </c>
      <c r="D22" s="425">
        <f t="shared" si="0"/>
        <v>0</v>
      </c>
      <c r="E22" s="425">
        <f t="shared" si="1"/>
        <v>39405</v>
      </c>
      <c r="F22" s="425">
        <f t="shared" si="2"/>
        <v>4182.09</v>
      </c>
      <c r="G22" s="429">
        <f t="shared" si="3"/>
        <v>197.02500000000001</v>
      </c>
      <c r="H22" s="425">
        <f t="shared" si="4"/>
        <v>9370.509</v>
      </c>
      <c r="I22" s="653">
        <f t="shared" si="5"/>
        <v>53154.623999999996</v>
      </c>
      <c r="J22" s="309">
        <v>1560</v>
      </c>
      <c r="K22" s="654">
        <f t="shared" si="6"/>
        <v>34.07</v>
      </c>
      <c r="L22" s="426">
        <v>0.3</v>
      </c>
      <c r="M22" s="620">
        <v>0.6</v>
      </c>
      <c r="O22" s="638">
        <v>39405</v>
      </c>
      <c r="P22" s="277">
        <v>47286</v>
      </c>
      <c r="Q22">
        <v>45140</v>
      </c>
      <c r="R22">
        <v>41376</v>
      </c>
      <c r="V22" s="486" t="s">
        <v>883</v>
      </c>
      <c r="X22" s="155"/>
    </row>
    <row r="23" spans="1:24" x14ac:dyDescent="0.25">
      <c r="A23" s="437">
        <v>6</v>
      </c>
      <c r="B23" s="428" t="s">
        <v>884</v>
      </c>
      <c r="C23" s="744">
        <f>HLOOKUP($C$4,$O$11:$R$41,13,FALSE)</f>
        <v>44962</v>
      </c>
      <c r="D23" s="425">
        <f t="shared" si="0"/>
        <v>0</v>
      </c>
      <c r="E23" s="425">
        <f t="shared" si="1"/>
        <v>44962</v>
      </c>
      <c r="F23" s="425">
        <f t="shared" si="2"/>
        <v>4948.9560000000001</v>
      </c>
      <c r="G23" s="429">
        <f t="shared" si="3"/>
        <v>224.81</v>
      </c>
      <c r="H23" s="425">
        <f t="shared" si="4"/>
        <v>10691.963600000001</v>
      </c>
      <c r="I23" s="653">
        <f t="shared" si="5"/>
        <v>60827.729599999999</v>
      </c>
      <c r="J23" s="309">
        <v>1560</v>
      </c>
      <c r="K23" s="654">
        <f t="shared" si="6"/>
        <v>38.99</v>
      </c>
      <c r="L23" s="426">
        <v>0.3</v>
      </c>
      <c r="M23" s="620">
        <v>0.6</v>
      </c>
      <c r="O23" s="638">
        <v>44962</v>
      </c>
      <c r="P23" s="277">
        <v>53134</v>
      </c>
      <c r="Q23">
        <v>50697</v>
      </c>
      <c r="R23">
        <v>47084</v>
      </c>
      <c r="V23" s="487" t="s">
        <v>885</v>
      </c>
      <c r="W23" s="749">
        <v>43</v>
      </c>
      <c r="X23" s="155"/>
    </row>
    <row r="24" spans="1:24" x14ac:dyDescent="0.25">
      <c r="A24" s="437">
        <v>7</v>
      </c>
      <c r="B24" s="428" t="s">
        <v>886</v>
      </c>
      <c r="C24" s="744">
        <f>HLOOKUP($C$4,$O$11:$R$41,14,FALSE)</f>
        <v>46148</v>
      </c>
      <c r="D24" s="425">
        <f t="shared" si="0"/>
        <v>0</v>
      </c>
      <c r="E24" s="425">
        <f t="shared" si="1"/>
        <v>46148</v>
      </c>
      <c r="F24" s="425">
        <f t="shared" si="2"/>
        <v>5112.6240000000007</v>
      </c>
      <c r="G24" s="429">
        <f t="shared" si="3"/>
        <v>230.74</v>
      </c>
      <c r="H24" s="425">
        <f t="shared" si="4"/>
        <v>10973.994400000001</v>
      </c>
      <c r="I24" s="653">
        <f t="shared" si="5"/>
        <v>62465.358400000005</v>
      </c>
      <c r="J24" s="309">
        <v>1560</v>
      </c>
      <c r="K24" s="654">
        <f t="shared" si="6"/>
        <v>40.04</v>
      </c>
      <c r="L24" s="426">
        <v>0.3</v>
      </c>
      <c r="M24" s="620">
        <v>0.6</v>
      </c>
      <c r="O24" s="638">
        <v>46148</v>
      </c>
      <c r="P24" s="277">
        <v>54320</v>
      </c>
      <c r="Q24">
        <v>51883</v>
      </c>
      <c r="R24">
        <v>48270</v>
      </c>
      <c r="V24" s="487"/>
      <c r="W24" s="749"/>
      <c r="X24" s="155"/>
    </row>
    <row r="25" spans="1:24" x14ac:dyDescent="0.25">
      <c r="A25" s="437">
        <v>7</v>
      </c>
      <c r="B25" s="428" t="s">
        <v>724</v>
      </c>
      <c r="C25" s="744">
        <f>HLOOKUP($C$4,$O$11:$R$41,15,FALSE)</f>
        <v>48526</v>
      </c>
      <c r="D25" s="425">
        <f t="shared" si="0"/>
        <v>0</v>
      </c>
      <c r="E25" s="425">
        <f t="shared" si="1"/>
        <v>48526</v>
      </c>
      <c r="F25" s="425">
        <f t="shared" si="2"/>
        <v>5440.7880000000005</v>
      </c>
      <c r="G25" s="429">
        <f t="shared" si="3"/>
        <v>242.63</v>
      </c>
      <c r="H25" s="425">
        <f t="shared" si="4"/>
        <v>11539.4828</v>
      </c>
      <c r="I25" s="653">
        <f t="shared" si="5"/>
        <v>65748.900800000003</v>
      </c>
      <c r="J25" s="309">
        <v>1560</v>
      </c>
      <c r="K25" s="654">
        <f t="shared" si="6"/>
        <v>42.15</v>
      </c>
      <c r="L25" s="426">
        <v>0.3</v>
      </c>
      <c r="M25" s="620">
        <v>0.6</v>
      </c>
      <c r="O25" s="638">
        <v>48526</v>
      </c>
      <c r="P25" s="277">
        <v>56698</v>
      </c>
      <c r="Q25">
        <v>54261</v>
      </c>
      <c r="R25">
        <v>50648</v>
      </c>
      <c r="V25" s="487" t="s">
        <v>887</v>
      </c>
      <c r="W25" s="749">
        <v>10</v>
      </c>
      <c r="X25" s="155"/>
    </row>
    <row r="26" spans="1:24" x14ac:dyDescent="0.25">
      <c r="A26" s="437">
        <v>7</v>
      </c>
      <c r="B26" s="428" t="s">
        <v>888</v>
      </c>
      <c r="C26" s="744">
        <f>HLOOKUP($C$4,$O$11:$R$41,16,FALSE)</f>
        <v>52809</v>
      </c>
      <c r="D26" s="425">
        <f t="shared" si="0"/>
        <v>0</v>
      </c>
      <c r="E26" s="425">
        <f t="shared" si="1"/>
        <v>52809</v>
      </c>
      <c r="F26" s="425">
        <f t="shared" si="2"/>
        <v>6031.8420000000006</v>
      </c>
      <c r="G26" s="429">
        <f t="shared" si="3"/>
        <v>264.04500000000002</v>
      </c>
      <c r="H26" s="425">
        <f t="shared" si="4"/>
        <v>12557.9802</v>
      </c>
      <c r="I26" s="653">
        <f t="shared" si="5"/>
        <v>71662.867200000008</v>
      </c>
      <c r="J26" s="309">
        <v>1560</v>
      </c>
      <c r="K26" s="654">
        <f t="shared" si="6"/>
        <v>45.94</v>
      </c>
      <c r="L26" s="426">
        <v>0.3</v>
      </c>
      <c r="M26" s="620">
        <v>0.6</v>
      </c>
      <c r="O26" s="638">
        <v>52809</v>
      </c>
      <c r="P26" s="277">
        <v>60981</v>
      </c>
      <c r="Q26">
        <v>58544</v>
      </c>
      <c r="R26">
        <v>54931</v>
      </c>
      <c r="V26" s="487" t="s">
        <v>889</v>
      </c>
      <c r="W26" s="749">
        <v>-2</v>
      </c>
      <c r="X26" s="155"/>
    </row>
    <row r="27" spans="1:24" x14ac:dyDescent="0.25">
      <c r="A27" s="437" t="s">
        <v>890</v>
      </c>
      <c r="B27" s="428" t="s">
        <v>728</v>
      </c>
      <c r="C27" s="744">
        <f>HLOOKUP($C$4,$O$11:$R$41,17,FALSE)</f>
        <v>53754.676500000001</v>
      </c>
      <c r="D27" s="425">
        <f t="shared" si="0"/>
        <v>0</v>
      </c>
      <c r="E27" s="425">
        <f t="shared" si="1"/>
        <v>53754.676500000001</v>
      </c>
      <c r="F27" s="425">
        <f t="shared" si="2"/>
        <v>6162.3453570000011</v>
      </c>
      <c r="G27" s="429">
        <f t="shared" si="3"/>
        <v>268.77338250000003</v>
      </c>
      <c r="H27" s="425">
        <f t="shared" si="4"/>
        <v>12782.862071700001</v>
      </c>
      <c r="I27" s="653">
        <f t="shared" si="5"/>
        <v>72968.657311200004</v>
      </c>
      <c r="J27" s="309">
        <v>1560</v>
      </c>
      <c r="K27" s="654">
        <f t="shared" si="6"/>
        <v>46.77</v>
      </c>
      <c r="L27" s="426">
        <v>0.3</v>
      </c>
      <c r="M27" s="620">
        <v>0.6</v>
      </c>
      <c r="O27" s="638">
        <v>53754.676500000001</v>
      </c>
      <c r="P27" s="277">
        <v>61927</v>
      </c>
      <c r="Q27">
        <v>59490</v>
      </c>
      <c r="R27">
        <v>55877</v>
      </c>
      <c r="V27" s="487"/>
      <c r="W27" s="752">
        <v>8</v>
      </c>
      <c r="X27" s="155"/>
    </row>
    <row r="28" spans="1:24" x14ac:dyDescent="0.25">
      <c r="A28" s="437" t="s">
        <v>890</v>
      </c>
      <c r="B28" s="428" t="s">
        <v>730</v>
      </c>
      <c r="C28" s="744">
        <f>HLOOKUP($C$4,$O$11:$R$41,18,FALSE)</f>
        <v>56454</v>
      </c>
      <c r="D28" s="425">
        <f t="shared" si="0"/>
        <v>0</v>
      </c>
      <c r="E28" s="425">
        <f t="shared" si="1"/>
        <v>56454</v>
      </c>
      <c r="F28" s="425">
        <f t="shared" si="2"/>
        <v>6534.8520000000008</v>
      </c>
      <c r="G28" s="429">
        <f t="shared" si="3"/>
        <v>282.27</v>
      </c>
      <c r="H28" s="425">
        <f t="shared" si="4"/>
        <v>13424.761200000001</v>
      </c>
      <c r="I28" s="653">
        <f t="shared" si="5"/>
        <v>76695.883199999997</v>
      </c>
      <c r="J28" s="309">
        <v>1560</v>
      </c>
      <c r="K28" s="654">
        <f t="shared" si="6"/>
        <v>49.16</v>
      </c>
      <c r="L28" s="426">
        <v>0.3</v>
      </c>
      <c r="M28" s="620">
        <v>0.6</v>
      </c>
      <c r="O28" s="638">
        <v>56454</v>
      </c>
      <c r="P28" s="277">
        <v>64626</v>
      </c>
      <c r="Q28">
        <v>62189</v>
      </c>
      <c r="R28">
        <v>58576</v>
      </c>
      <c r="V28" s="487" t="s">
        <v>891</v>
      </c>
      <c r="W28" s="753">
        <f>W27*4*W23</f>
        <v>1376</v>
      </c>
      <c r="X28" s="155"/>
    </row>
    <row r="29" spans="1:24" x14ac:dyDescent="0.25">
      <c r="A29" s="437" t="s">
        <v>890</v>
      </c>
      <c r="B29" s="428" t="s">
        <v>892</v>
      </c>
      <c r="C29" s="744">
        <f>HLOOKUP($C$4,$O$11:$R$41,19,FALSE)</f>
        <v>60504</v>
      </c>
      <c r="D29" s="425">
        <f t="shared" si="0"/>
        <v>0</v>
      </c>
      <c r="E29" s="425">
        <f t="shared" si="1"/>
        <v>60504</v>
      </c>
      <c r="F29" s="425">
        <f t="shared" si="2"/>
        <v>7093.7520000000004</v>
      </c>
      <c r="G29" s="429">
        <f t="shared" si="3"/>
        <v>302.52</v>
      </c>
      <c r="H29" s="425">
        <f t="shared" si="4"/>
        <v>14387.851200000001</v>
      </c>
      <c r="I29" s="653">
        <f t="shared" si="5"/>
        <v>82288.123200000016</v>
      </c>
      <c r="J29" s="309">
        <v>1560</v>
      </c>
      <c r="K29" s="654">
        <f t="shared" si="6"/>
        <v>52.75</v>
      </c>
      <c r="L29" s="426">
        <v>0.3</v>
      </c>
      <c r="M29" s="620">
        <v>0.6</v>
      </c>
      <c r="O29" s="638">
        <v>60504</v>
      </c>
      <c r="P29" s="277">
        <v>68676</v>
      </c>
      <c r="Q29">
        <v>66239</v>
      </c>
      <c r="R29">
        <v>62626</v>
      </c>
      <c r="V29" s="156"/>
      <c r="X29" s="155"/>
    </row>
    <row r="30" spans="1:24" x14ac:dyDescent="0.25">
      <c r="A30" s="437" t="s">
        <v>893</v>
      </c>
      <c r="B30" s="428" t="s">
        <v>894</v>
      </c>
      <c r="C30" s="744">
        <f>HLOOKUP($C$4,$O$11:$R$41,20,FALSE)</f>
        <v>62215</v>
      </c>
      <c r="D30" s="425">
        <f t="shared" si="0"/>
        <v>0</v>
      </c>
      <c r="E30" s="425">
        <f t="shared" si="1"/>
        <v>62215</v>
      </c>
      <c r="F30" s="425">
        <f t="shared" si="2"/>
        <v>7329.8700000000008</v>
      </c>
      <c r="G30" s="429">
        <f t="shared" si="3"/>
        <v>311.07499999999999</v>
      </c>
      <c r="H30" s="425">
        <f t="shared" si="4"/>
        <v>14794.727000000001</v>
      </c>
      <c r="I30" s="653">
        <f t="shared" si="5"/>
        <v>84650.671999999991</v>
      </c>
      <c r="J30" s="309">
        <v>1560</v>
      </c>
      <c r="K30" s="654">
        <f t="shared" si="6"/>
        <v>54.26</v>
      </c>
      <c r="L30" s="426">
        <v>0.3</v>
      </c>
      <c r="M30" s="620">
        <v>0.6</v>
      </c>
      <c r="O30" s="638">
        <v>62215</v>
      </c>
      <c r="P30" s="277">
        <v>70387</v>
      </c>
      <c r="Q30">
        <v>67950</v>
      </c>
      <c r="R30">
        <v>64337</v>
      </c>
      <c r="V30" s="487"/>
      <c r="X30" s="155"/>
    </row>
    <row r="31" spans="1:24" x14ac:dyDescent="0.25">
      <c r="A31" s="437" t="s">
        <v>893</v>
      </c>
      <c r="B31" s="428" t="s">
        <v>895</v>
      </c>
      <c r="C31" s="744">
        <f>HLOOKUP($C$4,$O$11:$R$41,21,FALSE)</f>
        <v>66246</v>
      </c>
      <c r="D31" s="425">
        <f t="shared" si="0"/>
        <v>0</v>
      </c>
      <c r="E31" s="425">
        <f t="shared" si="1"/>
        <v>66246</v>
      </c>
      <c r="F31" s="425">
        <f t="shared" si="2"/>
        <v>7886.148000000001</v>
      </c>
      <c r="G31" s="429">
        <f t="shared" si="3"/>
        <v>331.23</v>
      </c>
      <c r="H31" s="425">
        <f t="shared" si="4"/>
        <v>15753.2988</v>
      </c>
      <c r="I31" s="653">
        <f t="shared" si="5"/>
        <v>90216.676800000001</v>
      </c>
      <c r="J31" s="309">
        <v>1560</v>
      </c>
      <c r="K31" s="654">
        <f t="shared" si="6"/>
        <v>57.83</v>
      </c>
      <c r="L31" s="426">
        <v>0.3</v>
      </c>
      <c r="M31" s="620">
        <v>0.6</v>
      </c>
      <c r="O31" s="638">
        <v>66246</v>
      </c>
      <c r="P31" s="277">
        <v>74418</v>
      </c>
      <c r="Q31">
        <v>71981</v>
      </c>
      <c r="R31">
        <v>68368</v>
      </c>
      <c r="V31" s="486" t="s">
        <v>896</v>
      </c>
      <c r="X31" s="155"/>
    </row>
    <row r="32" spans="1:24" x14ac:dyDescent="0.25">
      <c r="A32" s="437" t="s">
        <v>893</v>
      </c>
      <c r="B32" s="428" t="s">
        <v>897</v>
      </c>
      <c r="C32" s="744">
        <f>HLOOKUP($C$4,$O$11:$R$41,22,FALSE)</f>
        <v>72293</v>
      </c>
      <c r="D32" s="425">
        <f t="shared" si="0"/>
        <v>0</v>
      </c>
      <c r="E32" s="425">
        <f t="shared" si="1"/>
        <v>72293</v>
      </c>
      <c r="F32" s="425">
        <f t="shared" si="2"/>
        <v>8720.634</v>
      </c>
      <c r="G32" s="429">
        <f t="shared" si="3"/>
        <v>361.46500000000003</v>
      </c>
      <c r="H32" s="425">
        <f t="shared" si="4"/>
        <v>17191.275400000002</v>
      </c>
      <c r="I32" s="653">
        <f t="shared" si="5"/>
        <v>98566.374400000001</v>
      </c>
      <c r="J32" s="309">
        <v>1560</v>
      </c>
      <c r="K32" s="654">
        <f t="shared" si="6"/>
        <v>63.18</v>
      </c>
      <c r="L32" s="426">
        <v>0.3</v>
      </c>
      <c r="M32" s="620">
        <v>0.6</v>
      </c>
      <c r="O32" s="638">
        <v>72293</v>
      </c>
      <c r="P32" s="277">
        <v>80465</v>
      </c>
      <c r="Q32">
        <v>78028</v>
      </c>
      <c r="R32">
        <v>74415</v>
      </c>
      <c r="V32" s="487" t="s">
        <v>898</v>
      </c>
      <c r="W32" s="749">
        <v>44.7</v>
      </c>
      <c r="X32" s="155"/>
    </row>
    <row r="33" spans="1:24" x14ac:dyDescent="0.25">
      <c r="A33" s="437" t="s">
        <v>899</v>
      </c>
      <c r="B33" s="428" t="s">
        <v>900</v>
      </c>
      <c r="C33" s="744">
        <f>HLOOKUP($C$4,$O$11:$R$41,23,FALSE)</f>
        <v>74290</v>
      </c>
      <c r="D33" s="425">
        <f t="shared" si="0"/>
        <v>0</v>
      </c>
      <c r="E33" s="425">
        <f t="shared" si="1"/>
        <v>74290</v>
      </c>
      <c r="F33" s="425">
        <f t="shared" si="2"/>
        <v>8996.2200000000012</v>
      </c>
      <c r="G33" s="429">
        <f t="shared" si="3"/>
        <v>371.45</v>
      </c>
      <c r="H33" s="425">
        <f t="shared" si="4"/>
        <v>17666.162</v>
      </c>
      <c r="I33" s="653">
        <f t="shared" si="5"/>
        <v>101323.83199999999</v>
      </c>
      <c r="J33" s="309">
        <v>1560</v>
      </c>
      <c r="K33" s="654">
        <f t="shared" si="6"/>
        <v>64.95</v>
      </c>
      <c r="L33" s="426">
        <v>0.3</v>
      </c>
      <c r="M33" s="620">
        <v>0.6</v>
      </c>
      <c r="O33" s="638">
        <v>74290</v>
      </c>
      <c r="P33" s="277">
        <v>82462</v>
      </c>
      <c r="Q33">
        <v>80025</v>
      </c>
      <c r="R33">
        <v>76412</v>
      </c>
      <c r="V33" s="487" t="s">
        <v>901</v>
      </c>
      <c r="W33" s="749">
        <v>48</v>
      </c>
      <c r="X33" s="155"/>
    </row>
    <row r="34" spans="1:24" x14ac:dyDescent="0.25">
      <c r="A34" s="437" t="s">
        <v>899</v>
      </c>
      <c r="B34" s="428" t="s">
        <v>902</v>
      </c>
      <c r="C34" s="744">
        <f>HLOOKUP($C$4,$O$11:$R$41,24,FALSE)</f>
        <v>78814</v>
      </c>
      <c r="D34" s="425">
        <f t="shared" si="0"/>
        <v>0</v>
      </c>
      <c r="E34" s="425">
        <f t="shared" si="1"/>
        <v>78814</v>
      </c>
      <c r="F34" s="425">
        <f t="shared" si="2"/>
        <v>9620.5320000000011</v>
      </c>
      <c r="G34" s="429">
        <f t="shared" si="3"/>
        <v>394.07</v>
      </c>
      <c r="H34" s="425">
        <f t="shared" si="4"/>
        <v>18741.9692</v>
      </c>
      <c r="I34" s="653">
        <f t="shared" si="5"/>
        <v>107570.57120000001</v>
      </c>
      <c r="J34" s="309">
        <v>1560</v>
      </c>
      <c r="K34" s="654">
        <f t="shared" si="6"/>
        <v>68.959999999999994</v>
      </c>
      <c r="L34" s="426">
        <v>0.3</v>
      </c>
      <c r="M34" s="620">
        <v>0.6</v>
      </c>
      <c r="O34" s="638">
        <v>78814</v>
      </c>
      <c r="P34" s="277">
        <v>86986</v>
      </c>
      <c r="Q34">
        <v>84549</v>
      </c>
      <c r="R34">
        <v>80936</v>
      </c>
      <c r="V34" s="487" t="s">
        <v>903</v>
      </c>
      <c r="W34" s="749">
        <v>2145.6</v>
      </c>
      <c r="X34" s="155"/>
    </row>
    <row r="35" spans="1:24" x14ac:dyDescent="0.25">
      <c r="A35" s="437" t="s">
        <v>899</v>
      </c>
      <c r="B35" s="428" t="s">
        <v>904</v>
      </c>
      <c r="C35" s="744">
        <f>HLOOKUP($C$4,$O$11:$R$41,25,FALSE)</f>
        <v>85601</v>
      </c>
      <c r="D35" s="425">
        <f t="shared" si="0"/>
        <v>0</v>
      </c>
      <c r="E35" s="425">
        <f t="shared" si="1"/>
        <v>85601</v>
      </c>
      <c r="F35" s="425">
        <f t="shared" si="2"/>
        <v>10557.138000000001</v>
      </c>
      <c r="G35" s="429">
        <f t="shared" si="3"/>
        <v>428.005</v>
      </c>
      <c r="H35" s="425">
        <f t="shared" si="4"/>
        <v>20355.917799999999</v>
      </c>
      <c r="I35" s="653">
        <f t="shared" si="5"/>
        <v>116942.06080000001</v>
      </c>
      <c r="J35" s="309">
        <v>1560</v>
      </c>
      <c r="K35" s="654">
        <f t="shared" si="6"/>
        <v>74.959999999999994</v>
      </c>
      <c r="L35" s="426">
        <v>0.3</v>
      </c>
      <c r="M35" s="620">
        <v>0.6</v>
      </c>
      <c r="O35" s="638">
        <v>85601</v>
      </c>
      <c r="P35" s="277">
        <v>93773</v>
      </c>
      <c r="Q35">
        <v>91336</v>
      </c>
      <c r="R35">
        <v>87723</v>
      </c>
      <c r="V35" s="487" t="s">
        <v>905</v>
      </c>
      <c r="W35" s="750">
        <v>0.6</v>
      </c>
      <c r="X35" s="155"/>
    </row>
    <row r="36" spans="1:24" x14ac:dyDescent="0.25">
      <c r="A36" s="437" t="s">
        <v>906</v>
      </c>
      <c r="B36" s="428" t="s">
        <v>907</v>
      </c>
      <c r="C36" s="744">
        <f>HLOOKUP($C$4,$O$11:$R$41,26,FALSE)</f>
        <v>88168</v>
      </c>
      <c r="D36" s="425">
        <f t="shared" si="0"/>
        <v>0</v>
      </c>
      <c r="E36" s="425">
        <f t="shared" si="1"/>
        <v>88168</v>
      </c>
      <c r="F36" s="425">
        <f t="shared" si="2"/>
        <v>10911.384</v>
      </c>
      <c r="G36" s="429">
        <f t="shared" si="3"/>
        <v>440.84000000000003</v>
      </c>
      <c r="H36" s="425">
        <f t="shared" si="4"/>
        <v>20966.350399999999</v>
      </c>
      <c r="I36" s="653">
        <f t="shared" si="5"/>
        <v>120486.5744</v>
      </c>
      <c r="J36" s="309">
        <v>1560</v>
      </c>
      <c r="K36" s="654">
        <f t="shared" si="6"/>
        <v>77.23</v>
      </c>
      <c r="L36" s="426">
        <v>0.3</v>
      </c>
      <c r="M36" s="620">
        <v>0.6</v>
      </c>
      <c r="O36" s="638">
        <v>88168</v>
      </c>
      <c r="P36" s="277">
        <v>96340</v>
      </c>
      <c r="Q36">
        <v>93903</v>
      </c>
      <c r="R36">
        <v>90290</v>
      </c>
      <c r="V36" s="487" t="s">
        <v>908</v>
      </c>
      <c r="W36" s="751">
        <f>ROUND(W35*W34,0)</f>
        <v>1287</v>
      </c>
      <c r="X36" s="155"/>
    </row>
    <row r="37" spans="1:24" x14ac:dyDescent="0.25">
      <c r="A37" s="437" t="s">
        <v>906</v>
      </c>
      <c r="B37" s="428" t="s">
        <v>909</v>
      </c>
      <c r="C37" s="744">
        <f>HLOOKUP($C$4,$O$11:$R$41,27,FALSE)</f>
        <v>93572</v>
      </c>
      <c r="D37" s="425">
        <f t="shared" si="0"/>
        <v>0</v>
      </c>
      <c r="E37" s="425">
        <f t="shared" si="1"/>
        <v>93572</v>
      </c>
      <c r="F37" s="425">
        <f t="shared" si="2"/>
        <v>11657.136</v>
      </c>
      <c r="G37" s="429">
        <f t="shared" si="3"/>
        <v>467.86</v>
      </c>
      <c r="H37" s="425">
        <f t="shared" si="4"/>
        <v>22251.421600000001</v>
      </c>
      <c r="I37" s="653">
        <f t="shared" si="5"/>
        <v>127948.4176</v>
      </c>
      <c r="J37" s="309">
        <v>1560</v>
      </c>
      <c r="K37" s="654">
        <f t="shared" si="6"/>
        <v>82.02</v>
      </c>
      <c r="L37" s="426">
        <v>0.3</v>
      </c>
      <c r="M37" s="620">
        <v>0.6</v>
      </c>
      <c r="O37" s="638">
        <v>93572</v>
      </c>
      <c r="P37" s="277">
        <v>101744</v>
      </c>
      <c r="Q37">
        <v>99307</v>
      </c>
      <c r="R37">
        <v>95694</v>
      </c>
      <c r="V37" s="157"/>
      <c r="W37" s="158"/>
      <c r="X37" s="159"/>
    </row>
    <row r="38" spans="1:24" x14ac:dyDescent="0.25">
      <c r="A38" s="437" t="s">
        <v>906</v>
      </c>
      <c r="B38" s="428" t="s">
        <v>910</v>
      </c>
      <c r="C38" s="744">
        <f>HLOOKUP($C$4,$O$11:$R$41,28,FALSE)</f>
        <v>101677</v>
      </c>
      <c r="D38" s="425">
        <f t="shared" si="0"/>
        <v>0</v>
      </c>
      <c r="E38" s="425">
        <f t="shared" si="1"/>
        <v>101677</v>
      </c>
      <c r="F38" s="425">
        <f t="shared" si="2"/>
        <v>12775.626</v>
      </c>
      <c r="G38" s="429">
        <f t="shared" si="3"/>
        <v>508.38499999999999</v>
      </c>
      <c r="H38" s="425">
        <f t="shared" si="4"/>
        <v>24178.7906</v>
      </c>
      <c r="I38" s="653">
        <f t="shared" si="5"/>
        <v>139139.80160000001</v>
      </c>
      <c r="J38" s="309">
        <v>1560</v>
      </c>
      <c r="K38" s="654">
        <f t="shared" si="6"/>
        <v>89.19</v>
      </c>
      <c r="L38" s="426">
        <v>0.3</v>
      </c>
      <c r="M38" s="620">
        <v>0.6</v>
      </c>
      <c r="O38" s="638">
        <v>101677</v>
      </c>
      <c r="P38" s="277">
        <v>109849</v>
      </c>
      <c r="Q38">
        <v>107412</v>
      </c>
      <c r="R38">
        <v>103799</v>
      </c>
    </row>
    <row r="39" spans="1:24" x14ac:dyDescent="0.25">
      <c r="A39" s="437">
        <v>9</v>
      </c>
      <c r="B39" s="428" t="s">
        <v>911</v>
      </c>
      <c r="C39" s="744">
        <f>HLOOKUP($C$4,$O$11:$R$41,29,FALSE)</f>
        <v>105385</v>
      </c>
      <c r="D39" s="425">
        <f t="shared" si="0"/>
        <v>0</v>
      </c>
      <c r="E39" s="425">
        <f t="shared" si="1"/>
        <v>105385</v>
      </c>
      <c r="F39" s="425">
        <f t="shared" si="2"/>
        <v>13287.330000000002</v>
      </c>
      <c r="G39" s="429">
        <f t="shared" si="3"/>
        <v>526.92499999999995</v>
      </c>
      <c r="H39" s="425">
        <f t="shared" si="4"/>
        <v>25060.553</v>
      </c>
      <c r="I39" s="653">
        <f t="shared" si="5"/>
        <v>144259.80800000002</v>
      </c>
      <c r="J39" s="309">
        <v>1560</v>
      </c>
      <c r="K39" s="654">
        <f t="shared" si="6"/>
        <v>92.47</v>
      </c>
      <c r="L39" s="426">
        <v>0.3</v>
      </c>
      <c r="M39" s="620">
        <v>0.6</v>
      </c>
      <c r="O39" s="638">
        <v>105385</v>
      </c>
      <c r="P39" s="277">
        <v>113557</v>
      </c>
      <c r="Q39">
        <v>111120</v>
      </c>
      <c r="R39">
        <v>107507</v>
      </c>
    </row>
    <row r="40" spans="1:24" x14ac:dyDescent="0.25">
      <c r="A40" s="437">
        <v>9</v>
      </c>
      <c r="B40" s="428" t="s">
        <v>912</v>
      </c>
      <c r="C40" s="744">
        <f>HLOOKUP($C$4,$O$11:$R$41,30,FALSE)</f>
        <v>111740</v>
      </c>
      <c r="D40" s="425">
        <f t="shared" si="0"/>
        <v>0</v>
      </c>
      <c r="E40" s="425">
        <f t="shared" si="1"/>
        <v>111740</v>
      </c>
      <c r="F40" s="425">
        <f t="shared" si="2"/>
        <v>14164.320000000002</v>
      </c>
      <c r="G40" s="429">
        <f t="shared" si="3"/>
        <v>558.70000000000005</v>
      </c>
      <c r="H40" s="425">
        <f t="shared" si="4"/>
        <v>26571.772000000001</v>
      </c>
      <c r="I40" s="653">
        <f t="shared" si="5"/>
        <v>153034.79200000002</v>
      </c>
      <c r="J40" s="309">
        <v>1560</v>
      </c>
      <c r="K40" s="654">
        <f t="shared" si="6"/>
        <v>98.1</v>
      </c>
      <c r="L40" s="426">
        <v>0.3</v>
      </c>
      <c r="M40" s="620">
        <v>0.6</v>
      </c>
      <c r="O40" s="638">
        <v>111740</v>
      </c>
      <c r="P40" s="277">
        <v>119912</v>
      </c>
      <c r="Q40">
        <v>117475</v>
      </c>
      <c r="R40">
        <v>113862</v>
      </c>
    </row>
    <row r="41" spans="1:24" x14ac:dyDescent="0.25">
      <c r="A41" s="437">
        <v>9</v>
      </c>
      <c r="B41" s="428" t="s">
        <v>913</v>
      </c>
      <c r="C41" s="744">
        <f>HLOOKUP($C$4,$O$11:$R$41,31,FALSE)</f>
        <v>121271</v>
      </c>
      <c r="D41" s="425">
        <f t="shared" si="0"/>
        <v>0</v>
      </c>
      <c r="E41" s="425">
        <f t="shared" si="1"/>
        <v>121271</v>
      </c>
      <c r="F41" s="425">
        <f t="shared" si="2"/>
        <v>15479.598000000002</v>
      </c>
      <c r="G41" s="429">
        <f t="shared" si="3"/>
        <v>606.35500000000002</v>
      </c>
      <c r="H41" s="425">
        <f t="shared" si="4"/>
        <v>28838.2438</v>
      </c>
      <c r="I41" s="653">
        <f t="shared" si="5"/>
        <v>166195.19680000001</v>
      </c>
      <c r="J41" s="309">
        <v>1560</v>
      </c>
      <c r="K41" s="654">
        <f t="shared" si="6"/>
        <v>106.54</v>
      </c>
      <c r="L41" s="426">
        <v>0.3</v>
      </c>
      <c r="M41" s="620">
        <v>0.6</v>
      </c>
      <c r="O41" s="638">
        <v>121271</v>
      </c>
      <c r="P41" s="277">
        <v>129443</v>
      </c>
      <c r="Q41">
        <v>127006</v>
      </c>
      <c r="R41">
        <v>123393</v>
      </c>
    </row>
    <row r="42" spans="1:24" x14ac:dyDescent="0.25">
      <c r="A42" s="437" t="s">
        <v>896</v>
      </c>
      <c r="B42" s="146" t="s">
        <v>914</v>
      </c>
      <c r="C42" s="744">
        <v>73113</v>
      </c>
      <c r="D42" s="425">
        <f t="shared" si="0"/>
        <v>0</v>
      </c>
      <c r="E42" s="425">
        <f t="shared" si="1"/>
        <v>73113</v>
      </c>
      <c r="F42" s="425">
        <f t="shared" si="2"/>
        <v>8833.7939999999999</v>
      </c>
      <c r="G42" s="429">
        <f t="shared" si="3"/>
        <v>365.565</v>
      </c>
      <c r="H42" s="425">
        <f>C42*0.2068</f>
        <v>15119.768400000001</v>
      </c>
      <c r="I42" s="653">
        <f t="shared" si="5"/>
        <v>97432.127399999998</v>
      </c>
      <c r="J42" s="309">
        <f>W36</f>
        <v>1287</v>
      </c>
      <c r="K42" s="654">
        <f t="shared" si="6"/>
        <v>75.7</v>
      </c>
      <c r="L42" s="427">
        <v>0</v>
      </c>
      <c r="M42" s="621">
        <v>0</v>
      </c>
    </row>
    <row r="43" spans="1:24" x14ac:dyDescent="0.25">
      <c r="A43" s="437" t="s">
        <v>896</v>
      </c>
      <c r="B43" s="146" t="s">
        <v>915</v>
      </c>
      <c r="C43" s="744">
        <f>(C42+C44)/2</f>
        <v>91721.5</v>
      </c>
      <c r="D43" s="425">
        <f t="shared" si="0"/>
        <v>0</v>
      </c>
      <c r="E43" s="425">
        <f t="shared" si="1"/>
        <v>91721.5</v>
      </c>
      <c r="F43" s="425">
        <f t="shared" si="2"/>
        <v>11401.767000000002</v>
      </c>
      <c r="G43" s="429">
        <f t="shared" si="3"/>
        <v>458.60750000000002</v>
      </c>
      <c r="H43" s="425">
        <f>C43*0.2068</f>
        <v>18968.0062</v>
      </c>
      <c r="I43" s="653">
        <f t="shared" si="5"/>
        <v>122549.88070000001</v>
      </c>
      <c r="J43" s="309">
        <f>W36</f>
        <v>1287</v>
      </c>
      <c r="K43" s="654">
        <f t="shared" si="6"/>
        <v>95.22</v>
      </c>
      <c r="L43" s="427">
        <v>0</v>
      </c>
      <c r="M43" s="621">
        <v>0</v>
      </c>
    </row>
    <row r="44" spans="1:24" x14ac:dyDescent="0.25">
      <c r="A44" s="657" t="s">
        <v>896</v>
      </c>
      <c r="B44" s="658" t="s">
        <v>915</v>
      </c>
      <c r="C44" s="745">
        <v>110330</v>
      </c>
      <c r="D44" s="491">
        <f t="shared" si="0"/>
        <v>0</v>
      </c>
      <c r="E44" s="425">
        <f t="shared" si="1"/>
        <v>110330</v>
      </c>
      <c r="F44" s="425">
        <f t="shared" si="2"/>
        <v>13969.740000000002</v>
      </c>
      <c r="G44" s="429">
        <f t="shared" si="3"/>
        <v>551.65</v>
      </c>
      <c r="H44" s="491">
        <f>C44*0.2068</f>
        <v>22816.244000000002</v>
      </c>
      <c r="I44" s="653">
        <f t="shared" si="5"/>
        <v>147667.63399999999</v>
      </c>
      <c r="J44" s="309">
        <f>W36</f>
        <v>1287</v>
      </c>
      <c r="K44" s="654">
        <f t="shared" si="6"/>
        <v>114.74</v>
      </c>
      <c r="L44" s="427">
        <v>0</v>
      </c>
      <c r="M44" s="621">
        <v>0</v>
      </c>
    </row>
    <row r="45" spans="1:24" x14ac:dyDescent="0.25">
      <c r="A45" s="437" t="s">
        <v>883</v>
      </c>
      <c r="B45" s="146" t="s">
        <v>916</v>
      </c>
      <c r="C45" s="744">
        <v>105504</v>
      </c>
      <c r="D45" s="425">
        <f t="shared" si="0"/>
        <v>0</v>
      </c>
      <c r="E45" s="425">
        <f t="shared" si="1"/>
        <v>105504</v>
      </c>
      <c r="F45" s="425">
        <f t="shared" si="2"/>
        <v>13303.752</v>
      </c>
      <c r="G45" s="429">
        <f t="shared" si="3"/>
        <v>527.52</v>
      </c>
      <c r="H45" s="425">
        <f t="shared" si="4"/>
        <v>25088.851200000001</v>
      </c>
      <c r="I45" s="653">
        <f t="shared" si="5"/>
        <v>144424.1232</v>
      </c>
      <c r="J45" s="309">
        <v>1376</v>
      </c>
      <c r="K45" s="654">
        <f t="shared" si="6"/>
        <v>104.96</v>
      </c>
      <c r="L45" s="427">
        <v>0</v>
      </c>
      <c r="M45" s="621">
        <v>0</v>
      </c>
    </row>
    <row r="46" spans="1:24" x14ac:dyDescent="0.25">
      <c r="A46" s="437" t="s">
        <v>883</v>
      </c>
      <c r="B46" s="146" t="s">
        <v>719</v>
      </c>
      <c r="C46" s="744">
        <f>(4*114894+6*126018)/10</f>
        <v>121568.4</v>
      </c>
      <c r="D46" s="425">
        <f t="shared" si="0"/>
        <v>0</v>
      </c>
      <c r="E46" s="425">
        <f t="shared" si="1"/>
        <v>121568.4</v>
      </c>
      <c r="F46" s="425">
        <f t="shared" si="2"/>
        <v>15520.6392</v>
      </c>
      <c r="G46" s="429">
        <f t="shared" si="3"/>
        <v>607.84199999999998</v>
      </c>
      <c r="H46" s="425">
        <f t="shared" si="4"/>
        <v>28908.965520000002</v>
      </c>
      <c r="I46" s="653">
        <f t="shared" si="5"/>
        <v>166605.84672</v>
      </c>
      <c r="J46" s="309">
        <v>1376</v>
      </c>
      <c r="K46" s="654">
        <f t="shared" si="6"/>
        <v>121.08</v>
      </c>
      <c r="L46" s="427">
        <v>0</v>
      </c>
      <c r="M46" s="621">
        <v>0</v>
      </c>
    </row>
    <row r="47" spans="1:24" ht="15.75" thickBot="1" x14ac:dyDescent="0.3">
      <c r="A47" s="438" t="s">
        <v>883</v>
      </c>
      <c r="B47" s="430" t="s">
        <v>917</v>
      </c>
      <c r="C47" s="746">
        <v>139882</v>
      </c>
      <c r="D47" s="431">
        <f t="shared" si="0"/>
        <v>0</v>
      </c>
      <c r="E47" s="431">
        <f t="shared" si="1"/>
        <v>139882</v>
      </c>
      <c r="F47" s="431">
        <f t="shared" si="2"/>
        <v>18047.916000000001</v>
      </c>
      <c r="G47" s="659">
        <f t="shared" si="3"/>
        <v>699.41</v>
      </c>
      <c r="H47" s="431">
        <f t="shared" si="4"/>
        <v>33263.939600000005</v>
      </c>
      <c r="I47" s="432">
        <f t="shared" si="5"/>
        <v>191893.26560000001</v>
      </c>
      <c r="J47" s="748">
        <v>1376</v>
      </c>
      <c r="K47" s="622">
        <f t="shared" si="6"/>
        <v>139.46</v>
      </c>
      <c r="L47" s="623">
        <v>0</v>
      </c>
      <c r="M47" s="624">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wUKVoKLrnYM7nAdQUGEm0uMOl2sogG4cnyQfGO/9cF8AQFTq45VVHyXmYM3ixRKBTvp6o3mGmEW8qsdJYevSwA==" saltValue="BK41TRYzWVAik+z2lYX8Qw==" spinCount="100000" sheet="1" objects="1" scenarios="1"/>
  <protectedRanges>
    <protectedRange sqref="C4:C9 C12:C47 J12:J47"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55" zoomScaleNormal="55" workbookViewId="0"/>
  </sheetViews>
  <sheetFormatPr defaultColWidth="9.140625" defaultRowHeight="15" x14ac:dyDescent="0.2"/>
  <cols>
    <col min="1" max="1" width="28.85546875" style="669" customWidth="1"/>
    <col min="2" max="2" width="7.140625" style="738" customWidth="1"/>
    <col min="3" max="3" width="8.140625" style="669" customWidth="1"/>
    <col min="4" max="5" width="8.140625" style="740" customWidth="1"/>
    <col min="6" max="8" width="8.140625" style="738" customWidth="1"/>
    <col min="9" max="13" width="8.140625" style="669" customWidth="1"/>
    <col min="14" max="14" width="8.85546875" style="669" customWidth="1"/>
    <col min="15" max="24" width="8.140625" style="669" customWidth="1"/>
    <col min="25" max="25" width="12.140625" style="669" customWidth="1"/>
    <col min="26" max="43" width="8.140625" style="669" customWidth="1"/>
    <col min="44" max="16384" width="9.140625" style="669"/>
  </cols>
  <sheetData>
    <row r="1" spans="1:51" ht="30.6" customHeight="1" x14ac:dyDescent="0.2">
      <c r="A1" s="664" t="s">
        <v>918</v>
      </c>
      <c r="B1" s="665"/>
      <c r="C1" s="665"/>
      <c r="D1" s="665"/>
      <c r="E1" s="665"/>
      <c r="F1" s="665"/>
      <c r="G1" s="665"/>
      <c r="H1" s="665"/>
      <c r="I1" s="665"/>
      <c r="J1" s="665"/>
      <c r="K1" s="665"/>
      <c r="L1" s="665"/>
      <c r="M1" s="665"/>
      <c r="N1" s="665"/>
      <c r="O1" s="666"/>
      <c r="P1" s="666"/>
      <c r="Q1" s="666"/>
      <c r="R1" s="666"/>
      <c r="S1" s="666"/>
      <c r="T1" s="666"/>
      <c r="U1" s="666"/>
      <c r="V1" s="666"/>
      <c r="W1" s="666"/>
      <c r="X1" s="666"/>
      <c r="Y1" s="666"/>
      <c r="Z1" s="666"/>
      <c r="AA1" s="666"/>
      <c r="AB1" s="666"/>
      <c r="AC1" s="666"/>
      <c r="AD1" s="666"/>
      <c r="AE1" s="666"/>
      <c r="AF1" s="666"/>
      <c r="AG1" s="667"/>
      <c r="AH1" s="667"/>
      <c r="AI1" s="667"/>
      <c r="AJ1" s="667"/>
      <c r="AK1" s="667"/>
      <c r="AL1" s="667"/>
      <c r="AM1" s="668"/>
      <c r="AN1" s="668"/>
      <c r="AO1" s="668"/>
      <c r="AP1" s="668"/>
      <c r="AQ1" s="668"/>
      <c r="AR1" s="668"/>
      <c r="AS1" s="668"/>
      <c r="AT1" s="668"/>
      <c r="AU1" s="668"/>
      <c r="AV1" s="668"/>
      <c r="AW1" s="668"/>
      <c r="AX1" s="668"/>
      <c r="AY1" s="668"/>
    </row>
    <row r="2" spans="1:51" ht="15.75" customHeight="1" x14ac:dyDescent="0.25">
      <c r="A2" s="670"/>
      <c r="B2" s="671"/>
      <c r="C2" s="548"/>
      <c r="D2" s="51"/>
      <c r="E2" s="1"/>
      <c r="F2" s="1"/>
      <c r="G2" s="1"/>
      <c r="H2" s="741" t="s">
        <v>35</v>
      </c>
      <c r="I2" s="742"/>
      <c r="J2" s="742"/>
      <c r="K2" s="742"/>
      <c r="L2" s="742"/>
      <c r="M2" s="672"/>
      <c r="N2" s="672"/>
      <c r="O2" s="672"/>
      <c r="P2" s="672"/>
      <c r="Q2" s="672"/>
      <c r="R2" s="672"/>
      <c r="S2" s="672"/>
      <c r="T2" s="672"/>
      <c r="U2" s="672"/>
      <c r="V2" s="672"/>
      <c r="W2" s="672"/>
      <c r="X2" s="672"/>
      <c r="Y2" s="672"/>
      <c r="Z2" s="672"/>
      <c r="AA2" s="672"/>
      <c r="AB2" s="672"/>
      <c r="AC2" s="667"/>
      <c r="AD2" s="667"/>
      <c r="AE2" s="667"/>
      <c r="AF2" s="667"/>
      <c r="AG2" s="667"/>
      <c r="AH2" s="667"/>
      <c r="AI2" s="667"/>
      <c r="AJ2" s="667"/>
      <c r="AK2" s="667"/>
      <c r="AL2" s="667"/>
      <c r="AM2" s="668"/>
      <c r="AN2" s="668"/>
      <c r="AO2" s="668"/>
      <c r="AP2" s="668"/>
      <c r="AQ2" s="668"/>
      <c r="AR2" s="668"/>
      <c r="AS2" s="668"/>
      <c r="AT2" s="668"/>
      <c r="AU2" s="668"/>
      <c r="AV2" s="668"/>
      <c r="AW2" s="668"/>
      <c r="AX2" s="668"/>
      <c r="AY2" s="668"/>
    </row>
    <row r="3" spans="1:51" ht="15.75" x14ac:dyDescent="0.25">
      <c r="A3" s="673"/>
      <c r="B3" s="671"/>
      <c r="C3" s="674" t="s">
        <v>919</v>
      </c>
      <c r="D3" s="674"/>
      <c r="E3" s="1"/>
      <c r="F3" s="1"/>
      <c r="G3" s="1"/>
      <c r="H3" s="672"/>
      <c r="I3" s="672"/>
      <c r="J3" s="672"/>
      <c r="K3" s="672"/>
      <c r="L3" s="672"/>
      <c r="M3" s="672"/>
      <c r="N3" s="672"/>
      <c r="O3" s="672"/>
      <c r="P3" s="672"/>
      <c r="Q3" s="675" t="s">
        <v>920</v>
      </c>
      <c r="R3" s="672"/>
      <c r="S3" s="1"/>
      <c r="T3" s="1"/>
      <c r="U3" s="1"/>
      <c r="V3" s="1"/>
      <c r="W3" s="672"/>
      <c r="X3" s="672"/>
      <c r="Y3" s="672"/>
      <c r="Z3" s="672"/>
      <c r="AA3" s="672"/>
      <c r="AB3" s="672"/>
      <c r="AC3" s="667"/>
      <c r="AD3" s="667"/>
      <c r="AE3" s="667"/>
      <c r="AF3" s="667"/>
      <c r="AG3" s="667"/>
      <c r="AH3" s="667"/>
      <c r="AI3" s="667"/>
      <c r="AJ3" s="667"/>
      <c r="AK3" s="667"/>
      <c r="AL3" s="667"/>
      <c r="AM3" s="668"/>
      <c r="AN3" s="668"/>
      <c r="AO3" s="668"/>
      <c r="AP3" s="668"/>
      <c r="AQ3" s="668"/>
      <c r="AR3" s="668"/>
      <c r="AS3" s="668"/>
      <c r="AT3" s="668"/>
      <c r="AU3" s="668"/>
      <c r="AV3" s="668"/>
      <c r="AW3" s="668"/>
      <c r="AX3" s="668"/>
      <c r="AY3" s="668"/>
    </row>
    <row r="4" spans="1:51" x14ac:dyDescent="0.2">
      <c r="A4" s="673"/>
      <c r="B4" s="671"/>
      <c r="C4" s="548" t="s">
        <v>921</v>
      </c>
      <c r="D4" s="51"/>
      <c r="E4" s="1"/>
      <c r="F4" s="1"/>
      <c r="G4" s="1"/>
      <c r="H4" s="672"/>
      <c r="I4" s="672"/>
      <c r="J4" s="672"/>
      <c r="K4" s="672"/>
      <c r="L4" s="672"/>
      <c r="M4" s="672"/>
      <c r="N4" s="672"/>
      <c r="O4" s="672"/>
      <c r="P4" s="672"/>
      <c r="Q4" s="676" t="s">
        <v>922</v>
      </c>
      <c r="R4" s="672"/>
      <c r="S4" s="672"/>
      <c r="T4" s="672"/>
      <c r="U4" s="672"/>
      <c r="V4" s="672"/>
      <c r="W4" s="672"/>
      <c r="X4" s="672"/>
      <c r="Y4" s="672"/>
      <c r="Z4" s="672"/>
      <c r="AA4" s="672"/>
      <c r="AB4" s="672"/>
      <c r="AC4" s="667"/>
      <c r="AD4" s="667"/>
      <c r="AE4" s="667"/>
      <c r="AF4" s="667"/>
      <c r="AG4" s="667"/>
      <c r="AH4" s="667"/>
      <c r="AI4" s="667"/>
      <c r="AJ4" s="667"/>
      <c r="AK4" s="667"/>
      <c r="AL4" s="667"/>
      <c r="AM4" s="668"/>
      <c r="AN4" s="667"/>
      <c r="AO4" s="667"/>
      <c r="AP4" s="668"/>
      <c r="AQ4" s="668"/>
      <c r="AR4" s="668"/>
      <c r="AS4" s="668"/>
      <c r="AT4" s="668"/>
      <c r="AU4" s="668"/>
      <c r="AV4" s="668"/>
      <c r="AW4" s="668"/>
      <c r="AX4" s="668"/>
      <c r="AY4" s="668"/>
    </row>
    <row r="5" spans="1:51" ht="15.75" thickBot="1" x14ac:dyDescent="0.25">
      <c r="A5" s="677"/>
      <c r="B5" s="678"/>
      <c r="C5" s="1"/>
      <c r="D5" s="1"/>
      <c r="E5" s="1"/>
      <c r="F5" s="1"/>
      <c r="G5" s="1"/>
      <c r="H5" s="672"/>
      <c r="I5" s="672"/>
      <c r="J5" s="672"/>
      <c r="K5" s="672"/>
      <c r="L5" s="672"/>
      <c r="M5" s="672"/>
      <c r="N5" s="672"/>
      <c r="O5" s="672"/>
      <c r="P5" s="672"/>
      <c r="Q5" s="676" t="s">
        <v>923</v>
      </c>
      <c r="R5" s="672"/>
      <c r="S5" s="672"/>
      <c r="T5" s="672"/>
      <c r="U5" s="672"/>
      <c r="V5" s="672"/>
      <c r="W5" s="672"/>
      <c r="X5" s="672"/>
      <c r="Y5" s="672"/>
      <c r="Z5" s="672"/>
      <c r="AA5" s="672"/>
      <c r="AB5" s="672"/>
      <c r="AC5" s="667"/>
      <c r="AD5" s="667"/>
      <c r="AE5" s="667"/>
      <c r="AF5" s="667"/>
      <c r="AG5" s="667"/>
      <c r="AH5" s="667"/>
      <c r="AI5" s="667"/>
      <c r="AJ5" s="667"/>
      <c r="AK5" s="667"/>
      <c r="AL5" s="667"/>
      <c r="AM5" s="668"/>
      <c r="AN5" s="668"/>
      <c r="AO5" s="668"/>
      <c r="AP5" s="668"/>
      <c r="AQ5" s="668"/>
      <c r="AR5" s="668"/>
      <c r="AS5" s="668"/>
      <c r="AT5" s="668"/>
      <c r="AU5" s="668"/>
      <c r="AV5" s="668"/>
      <c r="AW5" s="668"/>
      <c r="AX5" s="668"/>
      <c r="AY5" s="668"/>
    </row>
    <row r="6" spans="1:51" ht="15.75" x14ac:dyDescent="0.25">
      <c r="A6" s="677"/>
      <c r="B6" s="678"/>
      <c r="C6" s="679"/>
      <c r="D6" s="680"/>
      <c r="E6" s="680"/>
      <c r="F6" s="680"/>
      <c r="G6" s="680"/>
      <c r="H6" s="681" t="s">
        <v>924</v>
      </c>
      <c r="I6" s="680"/>
      <c r="J6" s="680"/>
      <c r="K6" s="680"/>
      <c r="L6" s="680"/>
      <c r="M6" s="680"/>
      <c r="N6" s="682"/>
      <c r="O6" s="672"/>
      <c r="P6" s="672"/>
      <c r="Q6" s="676" t="s">
        <v>950</v>
      </c>
      <c r="R6" s="672"/>
      <c r="S6" s="672"/>
      <c r="T6" s="672"/>
      <c r="U6" s="672"/>
      <c r="V6" s="672"/>
      <c r="W6" s="672"/>
      <c r="X6" s="672"/>
      <c r="Y6" s="672"/>
      <c r="Z6" s="672"/>
      <c r="AA6" s="672"/>
      <c r="AB6" s="672"/>
      <c r="AC6" s="667"/>
      <c r="AD6" s="667"/>
      <c r="AE6" s="667"/>
      <c r="AF6" s="667"/>
      <c r="AG6" s="667"/>
      <c r="AH6" s="667"/>
      <c r="AI6" s="667"/>
      <c r="AJ6" s="667"/>
      <c r="AK6" s="667"/>
      <c r="AL6" s="667"/>
      <c r="AM6" s="668"/>
      <c r="AN6" s="668"/>
      <c r="AO6" s="668"/>
      <c r="AP6" s="668"/>
      <c r="AQ6" s="668"/>
      <c r="AR6" s="668"/>
      <c r="AS6" s="668"/>
      <c r="AT6" s="668"/>
      <c r="AU6" s="668"/>
      <c r="AV6" s="668"/>
      <c r="AW6" s="668"/>
      <c r="AX6" s="668"/>
      <c r="AY6" s="668"/>
    </row>
    <row r="7" spans="1:51" s="688" customFormat="1" ht="29.25" thickBot="1" x14ac:dyDescent="0.25">
      <c r="A7" s="677"/>
      <c r="B7" s="678"/>
      <c r="C7" s="683" t="s">
        <v>925</v>
      </c>
      <c r="D7" s="684">
        <v>2</v>
      </c>
      <c r="E7" s="685">
        <v>3</v>
      </c>
      <c r="F7" s="686">
        <v>4</v>
      </c>
      <c r="G7" s="686">
        <v>5</v>
      </c>
      <c r="H7" s="685">
        <v>6</v>
      </c>
      <c r="I7" s="686">
        <v>7</v>
      </c>
      <c r="J7" s="686">
        <v>8</v>
      </c>
      <c r="K7" s="685">
        <v>9</v>
      </c>
      <c r="L7" s="686">
        <v>10</v>
      </c>
      <c r="M7" s="686">
        <v>11</v>
      </c>
      <c r="N7" s="687">
        <v>12</v>
      </c>
      <c r="O7" s="672"/>
      <c r="P7" s="672"/>
      <c r="Q7" s="672"/>
      <c r="R7" s="672" t="s">
        <v>926</v>
      </c>
      <c r="S7" s="1"/>
      <c r="T7" s="672"/>
      <c r="U7" s="672"/>
      <c r="V7" s="672"/>
      <c r="W7" s="672"/>
      <c r="X7" s="672"/>
      <c r="Y7" s="672"/>
      <c r="Z7" s="672"/>
      <c r="AA7" s="672"/>
      <c r="AB7" s="672"/>
      <c r="AC7" s="667"/>
      <c r="AD7" s="667"/>
      <c r="AE7" s="667"/>
      <c r="AF7" s="667"/>
      <c r="AG7" s="667"/>
      <c r="AH7" s="667"/>
      <c r="AI7" s="667"/>
      <c r="AJ7" s="667"/>
      <c r="AK7" s="667"/>
      <c r="AL7" s="667"/>
      <c r="AM7" s="668"/>
      <c r="AN7" s="668"/>
      <c r="AO7" s="668"/>
      <c r="AP7" s="668"/>
      <c r="AQ7" s="668"/>
      <c r="AR7" s="668"/>
      <c r="AS7" s="668"/>
      <c r="AT7" s="668"/>
      <c r="AU7" s="677"/>
      <c r="AV7" s="677"/>
      <c r="AW7" s="677"/>
      <c r="AX7" s="677"/>
      <c r="AY7" s="677"/>
    </row>
    <row r="8" spans="1:51" s="688" customFormat="1" ht="15.75" x14ac:dyDescent="0.25">
      <c r="A8" s="677"/>
      <c r="B8" s="678"/>
      <c r="C8" s="689"/>
      <c r="D8" s="690"/>
      <c r="E8" s="691"/>
      <c r="F8" s="689"/>
      <c r="G8" s="690"/>
      <c r="H8" s="691"/>
      <c r="I8" s="692"/>
      <c r="J8" s="693"/>
      <c r="K8" s="694"/>
      <c r="L8" s="692"/>
      <c r="M8" s="693"/>
      <c r="N8" s="695">
        <v>90</v>
      </c>
      <c r="O8" s="672"/>
      <c r="P8" s="672"/>
      <c r="Q8" s="672"/>
      <c r="R8" s="672" t="s">
        <v>927</v>
      </c>
      <c r="S8" s="1"/>
      <c r="T8" s="672"/>
      <c r="U8" s="672"/>
      <c r="V8" s="672"/>
      <c r="W8" s="672"/>
      <c r="X8" s="672"/>
      <c r="Y8" s="672"/>
      <c r="Z8" s="672"/>
      <c r="AA8" s="672"/>
      <c r="AB8" s="672"/>
      <c r="AC8" s="667"/>
      <c r="AD8" s="667"/>
      <c r="AE8" s="667"/>
      <c r="AF8" s="667"/>
      <c r="AG8" s="667"/>
      <c r="AH8" s="667"/>
      <c r="AI8" s="667"/>
      <c r="AJ8" s="667"/>
      <c r="AK8" s="667"/>
      <c r="AL8" s="667"/>
      <c r="AM8" s="668"/>
      <c r="AN8" s="668"/>
      <c r="AO8" s="668"/>
      <c r="AP8" s="668"/>
      <c r="AQ8" s="668"/>
      <c r="AR8" s="668"/>
      <c r="AS8" s="668"/>
      <c r="AT8" s="668"/>
      <c r="AU8" s="677"/>
      <c r="AV8" s="677"/>
      <c r="AW8" s="677"/>
      <c r="AX8" s="677"/>
      <c r="AY8" s="677"/>
    </row>
    <row r="9" spans="1:51" s="6" customFormat="1" ht="15.6" customHeight="1" x14ac:dyDescent="0.2">
      <c r="A9" s="677"/>
      <c r="B9" s="678"/>
      <c r="C9" s="696"/>
      <c r="D9" s="696"/>
      <c r="E9" s="696"/>
      <c r="F9" s="697"/>
      <c r="G9" s="697"/>
      <c r="H9" s="697"/>
      <c r="I9" s="698"/>
      <c r="J9" s="698"/>
      <c r="K9" s="698"/>
      <c r="L9" s="699"/>
      <c r="M9" s="700">
        <v>90</v>
      </c>
      <c r="N9" s="700">
        <v>90</v>
      </c>
      <c r="O9" s="672"/>
      <c r="P9" s="672"/>
      <c r="Q9" s="672"/>
      <c r="R9" s="672" t="s">
        <v>928</v>
      </c>
      <c r="S9" s="1"/>
      <c r="T9" s="672"/>
      <c r="U9" s="672"/>
      <c r="V9" s="672"/>
      <c r="W9" s="672"/>
      <c r="X9" s="672"/>
      <c r="Y9" s="672"/>
      <c r="Z9" s="672"/>
      <c r="AA9" s="672"/>
      <c r="AB9" s="672"/>
      <c r="AC9" s="667"/>
      <c r="AD9" s="667"/>
      <c r="AE9" s="667"/>
      <c r="AF9" s="667"/>
      <c r="AG9" s="667"/>
      <c r="AH9" s="667"/>
      <c r="AI9" s="667"/>
      <c r="AJ9" s="667"/>
      <c r="AK9" s="667"/>
      <c r="AL9" s="667"/>
      <c r="AM9" s="668"/>
      <c r="AN9" s="668"/>
      <c r="AO9" s="668"/>
      <c r="AP9" s="668"/>
      <c r="AQ9" s="668"/>
      <c r="AR9" s="668"/>
      <c r="AS9" s="668"/>
      <c r="AT9" s="668"/>
      <c r="AU9" s="1"/>
      <c r="AV9" s="1"/>
      <c r="AW9" s="1"/>
      <c r="AX9" s="1"/>
      <c r="AY9" s="1"/>
    </row>
    <row r="10" spans="1:51" s="6" customFormat="1" ht="15.6" customHeight="1" x14ac:dyDescent="0.2">
      <c r="A10" s="677"/>
      <c r="B10" s="678"/>
      <c r="C10" s="696"/>
      <c r="D10" s="696"/>
      <c r="E10" s="696"/>
      <c r="F10" s="697"/>
      <c r="G10" s="697"/>
      <c r="H10" s="697"/>
      <c r="I10" s="698"/>
      <c r="J10" s="698"/>
      <c r="K10" s="698"/>
      <c r="L10" s="700">
        <v>90</v>
      </c>
      <c r="M10" s="700">
        <v>90</v>
      </c>
      <c r="N10" s="700">
        <v>90</v>
      </c>
      <c r="O10" s="672"/>
      <c r="P10" s="672"/>
      <c r="Q10" s="676" t="s">
        <v>929</v>
      </c>
      <c r="R10" s="672"/>
      <c r="S10" s="672"/>
      <c r="T10" s="672"/>
      <c r="U10" s="672"/>
      <c r="V10" s="672"/>
      <c r="W10" s="672"/>
      <c r="X10" s="672"/>
      <c r="Y10" s="672"/>
      <c r="Z10" s="672"/>
      <c r="AA10" s="672"/>
      <c r="AB10" s="672"/>
      <c r="AC10" s="667"/>
      <c r="AD10" s="667"/>
      <c r="AE10" s="667"/>
      <c r="AF10" s="667"/>
      <c r="AG10" s="667"/>
      <c r="AH10" s="667"/>
      <c r="AI10" s="667"/>
      <c r="AJ10" s="667"/>
      <c r="AK10" s="667"/>
      <c r="AL10" s="667"/>
      <c r="AM10" s="668"/>
      <c r="AN10" s="668"/>
      <c r="AO10" s="668"/>
      <c r="AP10" s="668"/>
      <c r="AQ10" s="668"/>
      <c r="AR10" s="668"/>
      <c r="AS10" s="668"/>
      <c r="AT10" s="668"/>
      <c r="AU10" s="1"/>
      <c r="AV10" s="1"/>
      <c r="AW10" s="1"/>
      <c r="AX10" s="1"/>
      <c r="AY10" s="1"/>
    </row>
    <row r="11" spans="1:51" s="6" customFormat="1" ht="15.6" customHeight="1" x14ac:dyDescent="0.2">
      <c r="A11" s="677"/>
      <c r="B11" s="678"/>
      <c r="C11" s="696"/>
      <c r="D11" s="696"/>
      <c r="E11" s="696"/>
      <c r="F11" s="697"/>
      <c r="G11" s="697"/>
      <c r="H11" s="697"/>
      <c r="I11" s="698"/>
      <c r="J11" s="698"/>
      <c r="K11" s="700">
        <v>90</v>
      </c>
      <c r="L11" s="700">
        <v>90</v>
      </c>
      <c r="M11" s="700">
        <v>90</v>
      </c>
      <c r="N11" s="700">
        <v>90</v>
      </c>
      <c r="O11" s="672"/>
      <c r="P11" s="672"/>
      <c r="Q11" s="676" t="s">
        <v>930</v>
      </c>
      <c r="R11" s="672"/>
      <c r="S11" s="672"/>
      <c r="T11" s="672"/>
      <c r="U11" s="672"/>
      <c r="V11" s="672"/>
      <c r="W11" s="672"/>
      <c r="X11" s="672"/>
      <c r="Y11" s="672"/>
      <c r="Z11" s="672"/>
      <c r="AA11" s="672"/>
      <c r="AB11" s="672"/>
      <c r="AC11" s="667"/>
      <c r="AD11" s="667"/>
      <c r="AE11" s="667"/>
      <c r="AF11" s="667"/>
      <c r="AG11" s="667"/>
      <c r="AH11" s="667"/>
      <c r="AI11" s="667"/>
      <c r="AJ11" s="667"/>
      <c r="AK11" s="667"/>
      <c r="AL11" s="667"/>
      <c r="AM11" s="668"/>
      <c r="AN11" s="668"/>
      <c r="AO11" s="668"/>
      <c r="AP11" s="668"/>
      <c r="AQ11" s="668"/>
      <c r="AR11" s="668"/>
      <c r="AS11" s="668"/>
      <c r="AT11" s="668"/>
      <c r="AU11" s="1"/>
      <c r="AV11" s="1"/>
      <c r="AW11" s="1"/>
      <c r="AX11" s="1"/>
      <c r="AY11" s="1"/>
    </row>
    <row r="12" spans="1:51" s="6" customFormat="1" ht="15.6" customHeight="1" x14ac:dyDescent="0.25">
      <c r="A12" s="677"/>
      <c r="B12" s="678"/>
      <c r="C12" s="701"/>
      <c r="D12" s="701"/>
      <c r="E12" s="701"/>
      <c r="F12" s="702"/>
      <c r="G12" s="702"/>
      <c r="H12" s="702"/>
      <c r="I12" s="703"/>
      <c r="J12" s="700">
        <v>90</v>
      </c>
      <c r="K12" s="700">
        <v>90</v>
      </c>
      <c r="L12" s="700">
        <v>90</v>
      </c>
      <c r="M12" s="700">
        <v>90</v>
      </c>
      <c r="N12" s="700">
        <v>90</v>
      </c>
      <c r="O12" s="672"/>
      <c r="P12" s="672"/>
      <c r="Q12" s="676" t="s">
        <v>931</v>
      </c>
      <c r="R12" s="672"/>
      <c r="S12" s="672"/>
      <c r="T12" s="672"/>
      <c r="U12" s="672"/>
      <c r="V12" s="672"/>
      <c r="W12" s="672"/>
      <c r="X12" s="672"/>
      <c r="Y12" s="672"/>
      <c r="Z12" s="672"/>
      <c r="AA12" s="672"/>
      <c r="AB12" s="672"/>
      <c r="AC12" s="667"/>
      <c r="AD12" s="667"/>
      <c r="AE12" s="667"/>
      <c r="AF12" s="667"/>
      <c r="AG12" s="667"/>
      <c r="AH12" s="667"/>
      <c r="AI12" s="667"/>
      <c r="AJ12" s="667"/>
      <c r="AK12" s="667"/>
      <c r="AL12" s="667"/>
      <c r="AM12" s="668"/>
      <c r="AN12" s="668"/>
      <c r="AO12" s="668"/>
      <c r="AP12" s="668"/>
      <c r="AQ12" s="668"/>
      <c r="AR12" s="668"/>
      <c r="AS12" s="668"/>
      <c r="AT12" s="668"/>
      <c r="AU12" s="1"/>
      <c r="AV12" s="1"/>
      <c r="AW12" s="1"/>
      <c r="AX12" s="1"/>
      <c r="AY12" s="1"/>
    </row>
    <row r="13" spans="1:51" s="6" customFormat="1" ht="15.6" customHeight="1" x14ac:dyDescent="0.2">
      <c r="A13" s="677"/>
      <c r="B13" s="678"/>
      <c r="C13" s="704"/>
      <c r="D13" s="705"/>
      <c r="E13" s="706"/>
      <c r="F13" s="707"/>
      <c r="G13" s="705"/>
      <c r="H13" s="706"/>
      <c r="I13" s="700">
        <v>90</v>
      </c>
      <c r="J13" s="700">
        <v>90</v>
      </c>
      <c r="K13" s="700">
        <v>90</v>
      </c>
      <c r="L13" s="700">
        <v>90</v>
      </c>
      <c r="M13" s="700">
        <v>90</v>
      </c>
      <c r="N13" s="700">
        <v>90</v>
      </c>
      <c r="O13" s="672"/>
      <c r="P13" s="672"/>
      <c r="Q13" s="676" t="s">
        <v>932</v>
      </c>
      <c r="R13" s="672"/>
      <c r="S13" s="672"/>
      <c r="T13" s="672"/>
      <c r="U13" s="672"/>
      <c r="V13" s="672"/>
      <c r="W13" s="672"/>
      <c r="X13" s="672"/>
      <c r="Y13" s="672"/>
      <c r="Z13" s="672"/>
      <c r="AA13" s="672"/>
      <c r="AB13" s="672"/>
      <c r="AC13" s="667"/>
      <c r="AD13" s="667"/>
      <c r="AE13" s="667"/>
      <c r="AF13" s="667"/>
      <c r="AG13" s="667"/>
      <c r="AH13" s="667"/>
      <c r="AI13" s="667"/>
      <c r="AJ13" s="667"/>
      <c r="AK13" s="667"/>
      <c r="AL13" s="667"/>
      <c r="AM13" s="668"/>
      <c r="AN13" s="668"/>
      <c r="AO13" s="668"/>
      <c r="AP13" s="668"/>
      <c r="AQ13" s="668"/>
      <c r="AR13" s="668"/>
      <c r="AS13" s="668"/>
      <c r="AT13" s="668"/>
      <c r="AU13" s="1"/>
      <c r="AV13" s="1"/>
      <c r="AW13" s="1"/>
      <c r="AX13" s="1"/>
      <c r="AY13" s="1"/>
    </row>
    <row r="14" spans="1:51" s="6" customFormat="1" ht="15.6" customHeight="1" x14ac:dyDescent="0.2">
      <c r="A14" s="677"/>
      <c r="B14" s="678"/>
      <c r="C14" s="698"/>
      <c r="D14" s="698"/>
      <c r="E14" s="698"/>
      <c r="F14" s="699"/>
      <c r="G14" s="699"/>
      <c r="H14" s="700">
        <v>90</v>
      </c>
      <c r="I14" s="700">
        <v>90</v>
      </c>
      <c r="J14" s="700">
        <v>90</v>
      </c>
      <c r="K14" s="700">
        <v>90</v>
      </c>
      <c r="L14" s="700">
        <v>90</v>
      </c>
      <c r="M14" s="700">
        <v>90</v>
      </c>
      <c r="N14" s="700">
        <v>90</v>
      </c>
      <c r="O14" s="672"/>
      <c r="P14" s="672"/>
      <c r="Q14" s="676" t="s">
        <v>933</v>
      </c>
      <c r="R14" s="672"/>
      <c r="S14" s="672"/>
      <c r="T14" s="672"/>
      <c r="U14" s="672"/>
      <c r="V14" s="672"/>
      <c r="W14" s="672"/>
      <c r="X14" s="672"/>
      <c r="Y14" s="672"/>
      <c r="Z14" s="672"/>
      <c r="AA14" s="672"/>
      <c r="AB14" s="672"/>
      <c r="AC14" s="667"/>
      <c r="AD14" s="667"/>
      <c r="AE14" s="667"/>
      <c r="AF14" s="667"/>
      <c r="AG14" s="667"/>
      <c r="AH14" s="667"/>
      <c r="AI14" s="667"/>
      <c r="AJ14" s="667"/>
      <c r="AK14" s="667"/>
      <c r="AL14" s="667"/>
      <c r="AM14" s="668"/>
      <c r="AN14" s="668"/>
      <c r="AO14" s="668"/>
      <c r="AP14" s="668"/>
      <c r="AQ14" s="668"/>
      <c r="AR14" s="668"/>
      <c r="AS14" s="668"/>
      <c r="AT14" s="668"/>
      <c r="AU14" s="1"/>
      <c r="AV14" s="1"/>
      <c r="AW14" s="1"/>
      <c r="AX14" s="1"/>
      <c r="AY14" s="1"/>
    </row>
    <row r="15" spans="1:51" s="6" customFormat="1" ht="15.6" customHeight="1" x14ac:dyDescent="0.2">
      <c r="A15" s="677"/>
      <c r="B15" s="678"/>
      <c r="C15" s="698"/>
      <c r="D15" s="698"/>
      <c r="E15" s="698"/>
      <c r="F15" s="699"/>
      <c r="G15" s="700">
        <v>90</v>
      </c>
      <c r="H15" s="700">
        <v>90</v>
      </c>
      <c r="I15" s="700">
        <v>90</v>
      </c>
      <c r="J15" s="700">
        <v>90</v>
      </c>
      <c r="K15" s="700">
        <v>90</v>
      </c>
      <c r="L15" s="700">
        <v>90</v>
      </c>
      <c r="M15" s="700">
        <v>90</v>
      </c>
      <c r="N15" s="700">
        <v>90</v>
      </c>
      <c r="O15" s="672"/>
      <c r="P15" s="672"/>
      <c r="Q15" s="672"/>
      <c r="R15" s="672"/>
      <c r="S15" s="672"/>
      <c r="T15" s="672"/>
      <c r="U15" s="672"/>
      <c r="V15" s="672"/>
      <c r="W15" s="672"/>
      <c r="X15" s="672"/>
      <c r="Y15" s="672"/>
      <c r="Z15" s="672"/>
      <c r="AA15" s="672"/>
      <c r="AB15" s="672"/>
      <c r="AC15" s="667"/>
      <c r="AD15" s="667"/>
      <c r="AE15" s="667"/>
      <c r="AF15" s="667"/>
      <c r="AG15" s="667"/>
      <c r="AH15" s="667"/>
      <c r="AI15" s="667"/>
      <c r="AJ15" s="667"/>
      <c r="AK15" s="667"/>
      <c r="AL15" s="667"/>
      <c r="AM15" s="668"/>
      <c r="AN15" s="668"/>
      <c r="AO15" s="668"/>
      <c r="AP15" s="668"/>
      <c r="AQ15" s="668"/>
      <c r="AR15" s="668"/>
      <c r="AS15" s="668"/>
      <c r="AT15" s="668"/>
      <c r="AU15" s="1"/>
      <c r="AV15" s="1"/>
      <c r="AW15" s="1"/>
      <c r="AX15" s="1"/>
      <c r="AY15" s="1"/>
    </row>
    <row r="16" spans="1:51" s="6" customFormat="1" ht="15.6" customHeight="1" x14ac:dyDescent="0.25">
      <c r="A16" s="677"/>
      <c r="B16" s="678"/>
      <c r="C16" s="698"/>
      <c r="D16" s="698"/>
      <c r="E16" s="698"/>
      <c r="F16" s="700">
        <v>90</v>
      </c>
      <c r="G16" s="700">
        <v>90</v>
      </c>
      <c r="H16" s="700">
        <v>90</v>
      </c>
      <c r="I16" s="700">
        <v>90</v>
      </c>
      <c r="J16" s="700">
        <v>90</v>
      </c>
      <c r="K16" s="700">
        <v>90</v>
      </c>
      <c r="L16" s="700">
        <v>90</v>
      </c>
      <c r="M16" s="700">
        <v>90</v>
      </c>
      <c r="N16" s="700">
        <v>90</v>
      </c>
      <c r="O16" s="672"/>
      <c r="P16" s="672"/>
      <c r="Q16" s="672"/>
      <c r="R16" s="672"/>
      <c r="S16" s="672"/>
      <c r="T16" s="672"/>
      <c r="U16" s="672"/>
      <c r="V16" s="672"/>
      <c r="W16" s="675" t="s">
        <v>934</v>
      </c>
      <c r="X16" s="672"/>
      <c r="Y16" s="672"/>
      <c r="Z16" s="672"/>
      <c r="AA16" s="672"/>
      <c r="AB16" s="672"/>
      <c r="AC16" s="667"/>
      <c r="AD16" s="667"/>
      <c r="AE16" s="667"/>
      <c r="AF16" s="667"/>
      <c r="AG16" s="667"/>
      <c r="AH16" s="667"/>
      <c r="AI16" s="667"/>
      <c r="AJ16" s="667"/>
      <c r="AK16" s="667"/>
      <c r="AL16" s="667"/>
      <c r="AM16" s="668"/>
      <c r="AN16" s="668"/>
      <c r="AO16" s="668"/>
      <c r="AP16" s="668"/>
      <c r="AQ16" s="668"/>
      <c r="AR16" s="668"/>
      <c r="AS16" s="668"/>
      <c r="AT16" s="668"/>
      <c r="AU16" s="1"/>
      <c r="AV16" s="1"/>
      <c r="AW16" s="1"/>
      <c r="AX16" s="1"/>
      <c r="AY16" s="1"/>
    </row>
    <row r="17" spans="1:51" s="6" customFormat="1" ht="15.6" customHeight="1" x14ac:dyDescent="0.2">
      <c r="A17" s="677"/>
      <c r="B17" s="678"/>
      <c r="C17" s="698"/>
      <c r="D17" s="698"/>
      <c r="E17" s="700">
        <v>90</v>
      </c>
      <c r="F17" s="700">
        <v>90</v>
      </c>
      <c r="G17" s="700">
        <v>90</v>
      </c>
      <c r="H17" s="700">
        <v>90</v>
      </c>
      <c r="I17" s="700">
        <v>90</v>
      </c>
      <c r="J17" s="700">
        <v>90</v>
      </c>
      <c r="K17" s="700">
        <v>90</v>
      </c>
      <c r="L17" s="700">
        <v>90</v>
      </c>
      <c r="M17" s="700">
        <v>90</v>
      </c>
      <c r="N17" s="700">
        <v>90</v>
      </c>
      <c r="O17" s="672"/>
      <c r="P17" s="672"/>
      <c r="Q17" s="672"/>
      <c r="R17" s="672"/>
      <c r="S17" s="672"/>
      <c r="T17" s="672"/>
      <c r="U17" s="672"/>
      <c r="V17" s="672"/>
      <c r="W17" s="708" t="s">
        <v>935</v>
      </c>
      <c r="X17" s="708" t="s">
        <v>936</v>
      </c>
      <c r="Y17" s="708" t="s">
        <v>937</v>
      </c>
      <c r="Z17" s="672"/>
      <c r="AA17" s="672"/>
      <c r="AB17" s="672"/>
      <c r="AC17" s="667"/>
      <c r="AD17" s="667"/>
      <c r="AE17" s="667"/>
      <c r="AF17" s="667"/>
      <c r="AG17" s="667"/>
      <c r="AH17" s="667"/>
      <c r="AI17" s="667"/>
      <c r="AJ17" s="667"/>
      <c r="AK17" s="667"/>
      <c r="AL17" s="667"/>
      <c r="AM17" s="668"/>
      <c r="AN17" s="668"/>
      <c r="AO17" s="668"/>
      <c r="AP17" s="668"/>
      <c r="AQ17" s="668"/>
      <c r="AR17" s="668"/>
      <c r="AS17" s="668"/>
      <c r="AT17" s="668"/>
      <c r="AU17" s="1"/>
      <c r="AV17" s="1"/>
      <c r="AW17" s="1"/>
      <c r="AX17" s="1"/>
      <c r="AY17" s="1"/>
    </row>
    <row r="18" spans="1:51" s="688" customFormat="1" ht="15.6" customHeight="1" x14ac:dyDescent="0.2">
      <c r="A18" s="677"/>
      <c r="B18" s="678"/>
      <c r="C18" s="698"/>
      <c r="D18" s="700">
        <v>90</v>
      </c>
      <c r="E18" s="700">
        <v>90</v>
      </c>
      <c r="F18" s="700">
        <v>90</v>
      </c>
      <c r="G18" s="700">
        <v>90</v>
      </c>
      <c r="H18" s="700">
        <v>90</v>
      </c>
      <c r="I18" s="700">
        <v>90</v>
      </c>
      <c r="J18" s="700">
        <v>90</v>
      </c>
      <c r="K18" s="700">
        <v>90</v>
      </c>
      <c r="L18" s="700">
        <v>90</v>
      </c>
      <c r="M18" s="700">
        <v>90</v>
      </c>
      <c r="N18" s="700">
        <v>90</v>
      </c>
      <c r="O18" s="672"/>
      <c r="P18" s="672"/>
      <c r="Q18" s="672"/>
      <c r="R18" s="672"/>
      <c r="S18" s="672"/>
      <c r="T18" s="672"/>
      <c r="U18" s="672"/>
      <c r="V18" s="672"/>
      <c r="W18" s="709">
        <v>0.5</v>
      </c>
      <c r="X18" s="710">
        <v>9</v>
      </c>
      <c r="Y18" s="711">
        <f>X18/12*W18</f>
        <v>0.375</v>
      </c>
      <c r="Z18" s="672"/>
      <c r="AA18" s="672"/>
      <c r="AB18" s="672"/>
      <c r="AC18" s="667"/>
      <c r="AD18" s="667"/>
      <c r="AE18" s="667"/>
      <c r="AF18" s="667"/>
      <c r="AG18" s="667"/>
      <c r="AH18" s="667"/>
      <c r="AI18" s="667"/>
      <c r="AJ18" s="667"/>
      <c r="AK18" s="667"/>
      <c r="AL18" s="667"/>
      <c r="AM18" s="668"/>
      <c r="AN18" s="668"/>
      <c r="AO18" s="668"/>
      <c r="AP18" s="668"/>
      <c r="AQ18" s="668"/>
      <c r="AR18" s="668"/>
      <c r="AS18" s="668"/>
      <c r="AT18" s="668"/>
      <c r="AU18" s="677"/>
      <c r="AV18" s="677"/>
      <c r="AW18" s="677"/>
      <c r="AX18" s="677"/>
      <c r="AY18" s="677"/>
    </row>
    <row r="19" spans="1:51" s="712" customFormat="1" ht="15.6" customHeight="1" x14ac:dyDescent="0.25">
      <c r="A19" s="677"/>
      <c r="B19" s="678"/>
      <c r="C19" s="700">
        <v>90</v>
      </c>
      <c r="D19" s="700">
        <v>90</v>
      </c>
      <c r="E19" s="700">
        <v>90</v>
      </c>
      <c r="F19" s="700">
        <v>90</v>
      </c>
      <c r="G19" s="700">
        <v>90</v>
      </c>
      <c r="H19" s="700">
        <v>90</v>
      </c>
      <c r="I19" s="700">
        <v>90</v>
      </c>
      <c r="J19" s="700">
        <v>90</v>
      </c>
      <c r="K19" s="700">
        <v>90</v>
      </c>
      <c r="L19" s="700">
        <v>90</v>
      </c>
      <c r="M19" s="700">
        <v>90</v>
      </c>
      <c r="N19" s="700">
        <v>90</v>
      </c>
      <c r="O19" s="672"/>
      <c r="P19" s="672"/>
      <c r="Q19" s="672"/>
      <c r="R19" s="672"/>
      <c r="S19" s="672"/>
      <c r="T19" s="672"/>
      <c r="U19" s="672"/>
      <c r="V19" s="672"/>
      <c r="W19" s="709">
        <v>0.9</v>
      </c>
      <c r="X19" s="710">
        <v>3</v>
      </c>
      <c r="Y19" s="711">
        <f>X19/12*W19</f>
        <v>0.22500000000000001</v>
      </c>
      <c r="Z19" s="672"/>
      <c r="AA19" s="672"/>
      <c r="AB19" s="672"/>
      <c r="AC19" s="667"/>
      <c r="AD19" s="667"/>
      <c r="AE19" s="667"/>
      <c r="AF19" s="667"/>
      <c r="AG19" s="667"/>
      <c r="AH19" s="667"/>
      <c r="AI19" s="667"/>
      <c r="AJ19" s="667"/>
      <c r="AK19" s="667"/>
      <c r="AL19" s="667"/>
      <c r="AM19" s="668"/>
      <c r="AN19" s="668"/>
      <c r="AO19" s="668"/>
      <c r="AP19" s="668"/>
      <c r="AQ19" s="668"/>
      <c r="AR19" s="668"/>
      <c r="AS19" s="668"/>
      <c r="AT19" s="668"/>
      <c r="AU19" s="8"/>
      <c r="AV19" s="8"/>
      <c r="AW19" s="8"/>
      <c r="AX19" s="8"/>
      <c r="AY19" s="8"/>
    </row>
    <row r="20" spans="1:51" s="712" customFormat="1" ht="15.75" x14ac:dyDescent="0.25">
      <c r="A20" s="677"/>
      <c r="B20" s="678"/>
      <c r="C20" s="678"/>
      <c r="D20" s="678"/>
      <c r="E20" s="678"/>
      <c r="F20" s="678"/>
      <c r="G20" s="678"/>
      <c r="H20" s="678"/>
      <c r="I20" s="678"/>
      <c r="J20" s="678"/>
      <c r="K20" s="678"/>
      <c r="L20" s="678"/>
      <c r="M20" s="678"/>
      <c r="N20" s="678"/>
      <c r="O20" s="678"/>
      <c r="P20" s="678"/>
      <c r="Q20" s="678"/>
      <c r="R20" s="672"/>
      <c r="S20" s="672"/>
      <c r="T20" s="672"/>
      <c r="U20" s="672"/>
      <c r="V20" s="672"/>
      <c r="W20" s="672"/>
      <c r="X20" s="672"/>
      <c r="Y20" s="713">
        <f>SUM(Y18:Y19)</f>
        <v>0.6</v>
      </c>
      <c r="Z20" s="672"/>
      <c r="AA20" s="672"/>
      <c r="AB20" s="672"/>
      <c r="AC20" s="667"/>
      <c r="AD20" s="667"/>
      <c r="AE20" s="667"/>
      <c r="AF20" s="667"/>
      <c r="AG20" s="667"/>
      <c r="AH20" s="667"/>
      <c r="AI20" s="667"/>
      <c r="AJ20" s="667"/>
      <c r="AK20" s="667"/>
      <c r="AL20" s="667"/>
      <c r="AM20" s="668"/>
      <c r="AN20" s="668"/>
      <c r="AO20" s="668"/>
      <c r="AP20" s="668"/>
      <c r="AQ20" s="668"/>
      <c r="AR20" s="668"/>
      <c r="AS20" s="668"/>
      <c r="AT20" s="668"/>
      <c r="AU20" s="8"/>
      <c r="AV20" s="8"/>
      <c r="AW20" s="8"/>
      <c r="AX20" s="8"/>
      <c r="AY20" s="8"/>
    </row>
    <row r="21" spans="1:51" s="712" customFormat="1" ht="15.75" x14ac:dyDescent="0.25">
      <c r="A21" s="677" t="s">
        <v>938</v>
      </c>
      <c r="B21" s="714">
        <v>1200</v>
      </c>
      <c r="C21" s="715">
        <f>$B$21/12</f>
        <v>100</v>
      </c>
      <c r="D21" s="715">
        <f t="shared" ref="D21:M21" si="0">$B$21/12</f>
        <v>100</v>
      </c>
      <c r="E21" s="715">
        <f t="shared" si="0"/>
        <v>100</v>
      </c>
      <c r="F21" s="715">
        <f t="shared" si="0"/>
        <v>100</v>
      </c>
      <c r="G21" s="715">
        <f t="shared" si="0"/>
        <v>100</v>
      </c>
      <c r="H21" s="715">
        <f t="shared" si="0"/>
        <v>100</v>
      </c>
      <c r="I21" s="715">
        <f t="shared" si="0"/>
        <v>100</v>
      </c>
      <c r="J21" s="715">
        <f t="shared" si="0"/>
        <v>100</v>
      </c>
      <c r="K21" s="715">
        <f t="shared" si="0"/>
        <v>100</v>
      </c>
      <c r="L21" s="715">
        <f t="shared" si="0"/>
        <v>100</v>
      </c>
      <c r="M21" s="715">
        <f t="shared" si="0"/>
        <v>100</v>
      </c>
      <c r="N21" s="715">
        <f>$B$21/12</f>
        <v>100</v>
      </c>
      <c r="O21" s="672"/>
      <c r="P21" s="672"/>
      <c r="Q21" s="672"/>
      <c r="R21" s="672"/>
      <c r="S21" s="672"/>
      <c r="T21" s="672"/>
      <c r="U21" s="672"/>
      <c r="V21" s="672"/>
      <c r="W21" s="672"/>
      <c r="X21" s="672"/>
      <c r="Y21" s="672"/>
      <c r="Z21" s="672"/>
      <c r="AA21" s="672"/>
      <c r="AB21" s="672"/>
      <c r="AC21" s="667"/>
      <c r="AD21" s="667"/>
      <c r="AE21" s="667"/>
      <c r="AF21" s="667"/>
      <c r="AG21" s="667"/>
      <c r="AH21" s="667"/>
      <c r="AI21" s="667"/>
      <c r="AJ21" s="667"/>
      <c r="AK21" s="667"/>
      <c r="AL21" s="667"/>
      <c r="AM21" s="668"/>
      <c r="AN21" s="668"/>
      <c r="AO21" s="668"/>
      <c r="AP21" s="668"/>
      <c r="AQ21" s="668"/>
      <c r="AR21" s="668"/>
      <c r="AS21" s="668"/>
      <c r="AT21" s="668"/>
      <c r="AU21" s="8"/>
      <c r="AV21" s="8"/>
      <c r="AW21" s="8"/>
      <c r="AX21" s="8"/>
      <c r="AY21" s="8"/>
    </row>
    <row r="22" spans="1:51" s="712" customFormat="1" ht="15.75" x14ac:dyDescent="0.25">
      <c r="A22" s="677" t="s">
        <v>939</v>
      </c>
      <c r="B22" s="716">
        <v>0.9</v>
      </c>
      <c r="C22" s="717"/>
      <c r="D22" s="717"/>
      <c r="E22" s="717"/>
      <c r="F22" s="717"/>
      <c r="G22" s="717"/>
      <c r="H22" s="717"/>
      <c r="I22" s="717"/>
      <c r="J22" s="717"/>
      <c r="K22" s="717"/>
      <c r="L22" s="717"/>
      <c r="M22" s="717"/>
      <c r="N22" s="717"/>
      <c r="O22" s="672"/>
      <c r="P22" s="672"/>
      <c r="Q22" s="672"/>
      <c r="R22" s="672"/>
      <c r="S22" s="672"/>
      <c r="T22" s="672"/>
      <c r="U22" s="672"/>
      <c r="V22" s="672"/>
      <c r="W22" s="672"/>
      <c r="X22" s="672"/>
      <c r="Y22" s="672"/>
      <c r="Z22" s="672"/>
      <c r="AA22" s="672"/>
      <c r="AB22" s="672"/>
      <c r="AC22" s="667"/>
      <c r="AD22" s="667"/>
      <c r="AE22" s="667"/>
      <c r="AF22" s="667"/>
      <c r="AG22" s="667"/>
      <c r="AH22" s="667"/>
      <c r="AI22" s="667"/>
      <c r="AJ22" s="667"/>
      <c r="AK22" s="667"/>
      <c r="AL22" s="667"/>
      <c r="AM22" s="668"/>
      <c r="AN22" s="668"/>
      <c r="AO22" s="668"/>
      <c r="AP22" s="668"/>
      <c r="AQ22" s="668"/>
      <c r="AR22" s="668"/>
      <c r="AS22" s="668"/>
      <c r="AT22" s="668"/>
      <c r="AU22" s="8"/>
      <c r="AV22" s="8"/>
      <c r="AW22" s="8"/>
      <c r="AX22" s="8"/>
      <c r="AY22" s="8"/>
    </row>
    <row r="23" spans="1:51" s="6" customFormat="1" x14ac:dyDescent="0.25">
      <c r="A23" s="677" t="s">
        <v>940</v>
      </c>
      <c r="B23" s="678"/>
      <c r="C23" s="718">
        <f>SUM(C8:C19)</f>
        <v>90</v>
      </c>
      <c r="D23" s="718">
        <f t="shared" ref="D23:N23" si="1">SUM(D8:D19)</f>
        <v>180</v>
      </c>
      <c r="E23" s="718">
        <f t="shared" si="1"/>
        <v>270</v>
      </c>
      <c r="F23" s="718">
        <f t="shared" si="1"/>
        <v>360</v>
      </c>
      <c r="G23" s="718">
        <f t="shared" si="1"/>
        <v>450</v>
      </c>
      <c r="H23" s="718">
        <f t="shared" si="1"/>
        <v>540</v>
      </c>
      <c r="I23" s="718">
        <f t="shared" si="1"/>
        <v>630</v>
      </c>
      <c r="J23" s="718">
        <f t="shared" si="1"/>
        <v>720</v>
      </c>
      <c r="K23" s="718">
        <f t="shared" si="1"/>
        <v>810</v>
      </c>
      <c r="L23" s="718">
        <f t="shared" si="1"/>
        <v>900</v>
      </c>
      <c r="M23" s="718">
        <f t="shared" si="1"/>
        <v>990</v>
      </c>
      <c r="N23" s="719">
        <f t="shared" si="1"/>
        <v>1080</v>
      </c>
      <c r="O23" s="720" t="s">
        <v>941</v>
      </c>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672"/>
      <c r="AP23" s="672"/>
      <c r="AQ23" s="1"/>
      <c r="AR23" s="1"/>
      <c r="AS23" s="1"/>
      <c r="AT23" s="1"/>
      <c r="AU23" s="1"/>
      <c r="AV23" s="1"/>
      <c r="AW23" s="1"/>
      <c r="AX23" s="1"/>
      <c r="AY23" s="1"/>
    </row>
    <row r="24" spans="1:51" x14ac:dyDescent="0.2">
      <c r="A24" s="677" t="s">
        <v>942</v>
      </c>
      <c r="B24" s="678"/>
      <c r="C24" s="721">
        <f>C23/$B$21</f>
        <v>7.4999999999999997E-2</v>
      </c>
      <c r="D24" s="721">
        <f t="shared" ref="D24:N24" si="2">D23/$B$21</f>
        <v>0.15</v>
      </c>
      <c r="E24" s="721">
        <f t="shared" si="2"/>
        <v>0.22500000000000001</v>
      </c>
      <c r="F24" s="721">
        <f t="shared" si="2"/>
        <v>0.3</v>
      </c>
      <c r="G24" s="721">
        <f t="shared" si="2"/>
        <v>0.375</v>
      </c>
      <c r="H24" s="721">
        <f t="shared" si="2"/>
        <v>0.45</v>
      </c>
      <c r="I24" s="721">
        <f t="shared" si="2"/>
        <v>0.52500000000000002</v>
      </c>
      <c r="J24" s="721">
        <f t="shared" si="2"/>
        <v>0.6</v>
      </c>
      <c r="K24" s="721">
        <f t="shared" si="2"/>
        <v>0.67500000000000004</v>
      </c>
      <c r="L24" s="721">
        <f t="shared" si="2"/>
        <v>0.75</v>
      </c>
      <c r="M24" s="721">
        <f t="shared" si="2"/>
        <v>0.82499999999999996</v>
      </c>
      <c r="N24" s="721">
        <f t="shared" si="2"/>
        <v>0.9</v>
      </c>
      <c r="O24" s="720" t="s">
        <v>943</v>
      </c>
      <c r="P24" s="672"/>
      <c r="Q24" s="672"/>
      <c r="R24" s="672"/>
      <c r="S24" s="672"/>
      <c r="T24" s="672"/>
      <c r="U24" s="672"/>
      <c r="V24" s="672"/>
      <c r="W24" s="672"/>
      <c r="X24" s="672"/>
      <c r="Y24" s="672"/>
      <c r="Z24" s="672"/>
      <c r="AA24" s="672"/>
      <c r="AB24" s="722"/>
      <c r="AC24" s="723"/>
      <c r="AD24" s="723"/>
      <c r="AE24" s="723"/>
      <c r="AF24" s="723"/>
      <c r="AG24" s="723"/>
      <c r="AH24" s="723"/>
      <c r="AI24" s="723"/>
      <c r="AJ24" s="723"/>
      <c r="AK24" s="723"/>
      <c r="AL24" s="723"/>
      <c r="AM24" s="723"/>
      <c r="AN24" s="723"/>
      <c r="AO24" s="723"/>
      <c r="AP24" s="723"/>
      <c r="AQ24" s="668"/>
      <c r="AR24" s="668"/>
      <c r="AS24" s="668"/>
      <c r="AT24" s="668"/>
      <c r="AU24" s="668"/>
      <c r="AV24" s="668"/>
      <c r="AW24" s="668"/>
      <c r="AX24" s="668"/>
      <c r="AY24" s="668"/>
    </row>
    <row r="25" spans="1:51" x14ac:dyDescent="0.2">
      <c r="A25" s="724"/>
      <c r="B25" s="678"/>
      <c r="C25" s="672"/>
      <c r="D25" s="725"/>
      <c r="E25" s="725"/>
      <c r="F25" s="726"/>
      <c r="G25" s="726"/>
      <c r="H25" s="726"/>
      <c r="I25" s="672"/>
      <c r="J25" s="672"/>
      <c r="K25" s="672"/>
      <c r="L25" s="672"/>
      <c r="M25" s="672"/>
      <c r="N25" s="727" t="s">
        <v>944</v>
      </c>
      <c r="O25" s="1"/>
      <c r="P25" s="672"/>
      <c r="Q25" s="672"/>
      <c r="R25" s="672"/>
      <c r="S25" s="672"/>
      <c r="T25" s="672"/>
      <c r="U25" s="672"/>
      <c r="V25" s="672"/>
      <c r="W25" s="672"/>
      <c r="X25" s="672"/>
      <c r="Y25" s="672"/>
      <c r="Z25" s="672"/>
      <c r="AA25" s="672"/>
      <c r="AB25" s="672"/>
      <c r="AC25" s="667"/>
      <c r="AD25" s="728"/>
      <c r="AE25" s="667"/>
      <c r="AF25" s="667"/>
      <c r="AG25" s="667"/>
      <c r="AH25" s="667"/>
      <c r="AI25" s="667"/>
      <c r="AJ25" s="667"/>
      <c r="AK25" s="667"/>
      <c r="AL25" s="667"/>
      <c r="AM25" s="667"/>
      <c r="AN25" s="667"/>
      <c r="AO25" s="667"/>
      <c r="AP25" s="728"/>
      <c r="AQ25" s="668"/>
      <c r="AR25" s="668"/>
      <c r="AS25" s="668"/>
      <c r="AT25" s="668"/>
      <c r="AU25" s="668"/>
      <c r="AV25" s="668"/>
      <c r="AW25" s="668"/>
      <c r="AX25" s="668"/>
      <c r="AY25" s="668"/>
    </row>
    <row r="26" spans="1:51" x14ac:dyDescent="0.2">
      <c r="A26" s="724"/>
      <c r="B26" s="678"/>
      <c r="C26" s="672"/>
      <c r="D26" s="725"/>
      <c r="E26" s="725"/>
      <c r="F26" s="726"/>
      <c r="G26" s="726"/>
      <c r="H26" s="726"/>
      <c r="I26" s="672"/>
      <c r="J26" s="672"/>
      <c r="K26" s="672"/>
      <c r="L26" s="672"/>
      <c r="M26" s="672"/>
      <c r="N26" s="729"/>
      <c r="O26" s="672"/>
      <c r="P26" s="672"/>
      <c r="Q26" s="672"/>
      <c r="R26" s="672"/>
      <c r="S26" s="672"/>
      <c r="T26" s="672"/>
      <c r="U26" s="672"/>
      <c r="V26" s="672"/>
      <c r="W26" s="672"/>
      <c r="X26" s="672"/>
      <c r="Y26" s="672"/>
      <c r="Z26" s="672"/>
      <c r="AA26" s="672"/>
      <c r="AB26" s="672"/>
      <c r="AC26" s="667"/>
      <c r="AD26" s="730"/>
      <c r="AE26" s="667"/>
      <c r="AF26" s="667"/>
      <c r="AG26" s="667"/>
      <c r="AH26" s="667"/>
      <c r="AI26" s="667"/>
      <c r="AJ26" s="667"/>
      <c r="AK26" s="667"/>
      <c r="AL26" s="667"/>
      <c r="AM26" s="667"/>
      <c r="AN26" s="667"/>
      <c r="AO26" s="667"/>
      <c r="AP26" s="730"/>
      <c r="AQ26" s="668"/>
      <c r="AR26" s="668"/>
      <c r="AS26" s="668"/>
      <c r="AT26" s="668"/>
      <c r="AU26" s="668"/>
      <c r="AV26" s="668"/>
      <c r="AW26" s="668"/>
      <c r="AX26" s="668"/>
      <c r="AY26" s="668"/>
    </row>
    <row r="27" spans="1:51" ht="15.75" x14ac:dyDescent="0.25">
      <c r="A27" s="724"/>
      <c r="B27" s="726"/>
      <c r="C27" s="672"/>
      <c r="D27" s="725"/>
      <c r="E27" s="725"/>
      <c r="F27" s="726"/>
      <c r="G27" s="726"/>
      <c r="H27" s="726"/>
      <c r="I27" s="672"/>
      <c r="J27" s="672"/>
      <c r="K27" s="672"/>
      <c r="L27" s="672"/>
      <c r="M27" s="729" t="s">
        <v>945</v>
      </c>
      <c r="N27" s="731">
        <f>ROUNDUP((C23+D23+E23+F23+G23+H23+I23+J23+K23+L23+M23+N23)/(12*1200),1)</f>
        <v>0.5</v>
      </c>
      <c r="O27" s="675"/>
      <c r="P27" s="672"/>
      <c r="Q27" s="672"/>
      <c r="R27" s="672"/>
      <c r="S27" s="672"/>
      <c r="T27" s="672"/>
      <c r="U27" s="672"/>
      <c r="V27" s="672"/>
      <c r="W27" s="672"/>
      <c r="X27" s="672"/>
      <c r="Y27" s="672"/>
      <c r="Z27" s="672"/>
      <c r="AA27" s="672"/>
      <c r="AB27" s="672"/>
      <c r="AC27" s="667"/>
      <c r="AD27" s="732"/>
      <c r="AE27" s="667"/>
      <c r="AF27" s="667"/>
      <c r="AG27" s="667"/>
      <c r="AH27" s="667"/>
      <c r="AI27" s="667"/>
      <c r="AJ27" s="667"/>
      <c r="AK27" s="667"/>
      <c r="AL27" s="667"/>
      <c r="AM27" s="667"/>
      <c r="AN27" s="667"/>
      <c r="AO27" s="667"/>
      <c r="AP27" s="733"/>
      <c r="AQ27" s="668"/>
      <c r="AR27" s="668"/>
      <c r="AS27" s="668"/>
      <c r="AT27" s="668"/>
      <c r="AU27" s="668"/>
      <c r="AV27" s="668"/>
      <c r="AW27" s="668"/>
      <c r="AX27" s="668"/>
      <c r="AY27" s="668"/>
    </row>
    <row r="28" spans="1:51" ht="15.75" x14ac:dyDescent="0.25">
      <c r="A28" s="724"/>
      <c r="B28" s="726"/>
      <c r="C28" s="672"/>
      <c r="D28" s="725"/>
      <c r="E28" s="725"/>
      <c r="F28" s="726"/>
      <c r="G28" s="726"/>
      <c r="H28" s="726"/>
      <c r="I28" s="672"/>
      <c r="J28" s="672"/>
      <c r="K28" s="672"/>
      <c r="L28" s="672"/>
      <c r="M28" s="672"/>
      <c r="N28" s="729"/>
      <c r="O28" s="672"/>
      <c r="P28" s="672"/>
      <c r="Q28" s="672"/>
      <c r="R28" s="672"/>
      <c r="S28" s="672"/>
      <c r="T28" s="672"/>
      <c r="U28" s="672"/>
      <c r="V28" s="672"/>
      <c r="W28" s="672"/>
      <c r="X28" s="672"/>
      <c r="Y28" s="672"/>
      <c r="Z28" s="672"/>
      <c r="AA28" s="672"/>
      <c r="AB28" s="672"/>
      <c r="AC28" s="667"/>
      <c r="AD28" s="734"/>
      <c r="AE28" s="667"/>
      <c r="AF28" s="667"/>
      <c r="AG28" s="667"/>
      <c r="AH28" s="667"/>
      <c r="AI28" s="667"/>
      <c r="AJ28" s="667"/>
      <c r="AK28" s="667"/>
      <c r="AL28" s="667"/>
      <c r="AM28" s="667"/>
      <c r="AN28" s="667"/>
      <c r="AO28" s="667"/>
      <c r="AP28" s="734"/>
      <c r="AQ28" s="668"/>
      <c r="AR28" s="668"/>
      <c r="AS28" s="668"/>
      <c r="AT28" s="668"/>
      <c r="AU28" s="668"/>
      <c r="AV28" s="668"/>
      <c r="AW28" s="668"/>
      <c r="AX28" s="668"/>
      <c r="AY28" s="668"/>
    </row>
    <row r="29" spans="1:51" ht="15.75" x14ac:dyDescent="0.25">
      <c r="A29" s="724"/>
      <c r="B29" s="726"/>
      <c r="C29" s="672"/>
      <c r="D29" s="725"/>
      <c r="E29" s="725"/>
      <c r="F29" s="726"/>
      <c r="G29" s="726"/>
      <c r="H29" s="726"/>
      <c r="I29" s="672"/>
      <c r="J29" s="672"/>
      <c r="K29" s="672"/>
      <c r="L29" s="672"/>
      <c r="M29" s="672"/>
      <c r="N29" s="735" t="s">
        <v>946</v>
      </c>
      <c r="O29" s="672"/>
      <c r="P29" s="672"/>
      <c r="Q29" s="672"/>
      <c r="R29" s="672"/>
      <c r="S29" s="672"/>
      <c r="T29" s="672"/>
      <c r="U29" s="672"/>
      <c r="V29" s="672"/>
      <c r="W29" s="672"/>
      <c r="X29" s="672"/>
      <c r="Y29" s="672"/>
      <c r="Z29" s="672"/>
      <c r="AA29" s="672"/>
      <c r="AB29" s="672"/>
      <c r="AC29" s="667"/>
      <c r="AD29" s="734"/>
      <c r="AE29" s="667"/>
      <c r="AF29" s="667"/>
      <c r="AG29" s="667"/>
      <c r="AH29" s="667"/>
      <c r="AI29" s="667"/>
      <c r="AJ29" s="667"/>
      <c r="AK29" s="667"/>
      <c r="AL29" s="667"/>
      <c r="AM29" s="667"/>
      <c r="AN29" s="667"/>
      <c r="AO29" s="667"/>
      <c r="AP29" s="734"/>
      <c r="AQ29" s="668"/>
      <c r="AR29" s="668"/>
      <c r="AS29" s="668"/>
      <c r="AT29" s="668"/>
      <c r="AU29" s="668"/>
      <c r="AV29" s="668"/>
      <c r="AW29" s="668"/>
      <c r="AX29" s="668"/>
      <c r="AY29" s="668"/>
    </row>
    <row r="30" spans="1:51" ht="15.75" x14ac:dyDescent="0.25">
      <c r="A30" s="724"/>
      <c r="B30" s="726"/>
      <c r="C30" s="672"/>
      <c r="D30" s="725"/>
      <c r="E30" s="725"/>
      <c r="F30" s="726"/>
      <c r="G30" s="726"/>
      <c r="H30" s="726"/>
      <c r="I30" s="672"/>
      <c r="J30" s="672"/>
      <c r="K30" s="672"/>
      <c r="L30" s="672"/>
      <c r="M30" s="672"/>
      <c r="N30" s="729" t="s">
        <v>947</v>
      </c>
      <c r="O30" s="672"/>
      <c r="P30" s="672"/>
      <c r="Q30" s="672"/>
      <c r="R30" s="672"/>
      <c r="S30" s="672"/>
      <c r="T30" s="672"/>
      <c r="U30" s="672"/>
      <c r="V30" s="672"/>
      <c r="W30" s="672"/>
      <c r="X30" s="672"/>
      <c r="Y30" s="672"/>
      <c r="Z30" s="672"/>
      <c r="AA30" s="672"/>
      <c r="AB30" s="672"/>
      <c r="AC30" s="667"/>
      <c r="AD30" s="732"/>
      <c r="AE30" s="667"/>
      <c r="AF30" s="667"/>
      <c r="AG30" s="667"/>
      <c r="AH30" s="667"/>
      <c r="AI30" s="667"/>
      <c r="AJ30" s="667"/>
      <c r="AK30" s="667"/>
      <c r="AL30" s="667"/>
      <c r="AM30" s="667"/>
      <c r="AN30" s="667"/>
      <c r="AO30" s="667"/>
      <c r="AP30" s="733"/>
      <c r="AQ30" s="668"/>
      <c r="AR30" s="668"/>
      <c r="AS30" s="668"/>
      <c r="AT30" s="668"/>
      <c r="AU30" s="668"/>
      <c r="AV30" s="668"/>
      <c r="AW30" s="668"/>
      <c r="AX30" s="668"/>
      <c r="AY30" s="668"/>
    </row>
    <row r="31" spans="1:51" s="738" customFormat="1" x14ac:dyDescent="0.2">
      <c r="A31" s="736"/>
      <c r="B31" s="678"/>
      <c r="C31" s="1"/>
      <c r="D31" s="51"/>
      <c r="E31" s="51"/>
      <c r="F31" s="51"/>
      <c r="G31" s="51"/>
      <c r="H31" s="51"/>
      <c r="I31" s="51"/>
      <c r="J31" s="51"/>
      <c r="K31" s="51"/>
      <c r="L31" s="51"/>
      <c r="M31" s="51"/>
      <c r="N31" s="729" t="s">
        <v>948</v>
      </c>
      <c r="O31" s="678"/>
      <c r="P31" s="678"/>
      <c r="Q31" s="678"/>
      <c r="R31" s="678"/>
      <c r="S31" s="678"/>
      <c r="T31" s="678"/>
      <c r="U31" s="678"/>
      <c r="V31" s="678"/>
      <c r="W31" s="678"/>
      <c r="X31" s="678"/>
      <c r="Y31" s="678"/>
      <c r="Z31" s="678"/>
      <c r="AA31" s="678"/>
      <c r="AB31" s="678"/>
      <c r="AC31" s="737"/>
      <c r="AD31" s="737"/>
      <c r="AE31" s="737"/>
      <c r="AF31" s="737"/>
      <c r="AG31" s="737"/>
      <c r="AH31" s="737"/>
      <c r="AI31" s="737"/>
      <c r="AJ31" s="737"/>
      <c r="AK31" s="737"/>
      <c r="AL31" s="737"/>
      <c r="AM31" s="737"/>
      <c r="AN31" s="737"/>
      <c r="AO31" s="737"/>
      <c r="AP31" s="737"/>
      <c r="AQ31" s="737"/>
      <c r="AR31" s="737"/>
      <c r="AS31" s="737"/>
      <c r="AT31" s="737"/>
      <c r="AU31" s="737"/>
      <c r="AV31" s="737"/>
      <c r="AW31" s="737"/>
      <c r="AX31" s="737"/>
      <c r="AY31" s="737"/>
    </row>
    <row r="32" spans="1:51" s="738" customFormat="1" x14ac:dyDescent="0.2">
      <c r="A32" s="736"/>
      <c r="B32" s="678"/>
      <c r="C32" s="1"/>
      <c r="D32" s="51"/>
      <c r="E32" s="51"/>
      <c r="F32" s="51"/>
      <c r="G32" s="51"/>
      <c r="H32" s="51"/>
      <c r="I32" s="51"/>
      <c r="J32" s="51"/>
      <c r="K32" s="51"/>
      <c r="L32" s="51"/>
      <c r="M32" s="51"/>
      <c r="N32" s="729" t="s">
        <v>949</v>
      </c>
      <c r="O32" s="678"/>
      <c r="P32" s="678"/>
      <c r="Q32" s="678"/>
      <c r="R32" s="678"/>
      <c r="S32" s="678"/>
      <c r="T32" s="678"/>
      <c r="U32" s="678"/>
      <c r="V32" s="678"/>
      <c r="W32" s="678"/>
      <c r="X32" s="678"/>
      <c r="Y32" s="678"/>
      <c r="Z32" s="678"/>
      <c r="AA32" s="678"/>
      <c r="AB32" s="678"/>
      <c r="AC32" s="737"/>
      <c r="AD32" s="737"/>
      <c r="AE32" s="737"/>
      <c r="AF32" s="737"/>
      <c r="AG32" s="737"/>
      <c r="AH32" s="737"/>
      <c r="AI32" s="737"/>
      <c r="AJ32" s="737"/>
      <c r="AK32" s="737"/>
      <c r="AL32" s="737"/>
      <c r="AM32" s="737"/>
      <c r="AN32" s="737"/>
      <c r="AO32" s="737"/>
      <c r="AP32" s="737"/>
      <c r="AQ32" s="737"/>
      <c r="AR32" s="737"/>
      <c r="AS32" s="737"/>
      <c r="AT32" s="737"/>
      <c r="AU32" s="737"/>
      <c r="AV32" s="737"/>
      <c r="AW32" s="737"/>
      <c r="AX32" s="737"/>
      <c r="AY32" s="737"/>
    </row>
    <row r="33" spans="1:5" s="738" customFormat="1" ht="15.75" x14ac:dyDescent="0.2">
      <c r="A33" s="739"/>
      <c r="C33" s="669"/>
      <c r="D33" s="740"/>
      <c r="E33" s="740"/>
    </row>
    <row r="34" spans="1:5" s="738" customFormat="1" ht="15.75" x14ac:dyDescent="0.2">
      <c r="A34" s="739"/>
      <c r="C34" s="669"/>
      <c r="D34" s="740"/>
      <c r="E34" s="740"/>
    </row>
    <row r="35" spans="1:5" s="738" customFormat="1" ht="15.75" x14ac:dyDescent="0.2">
      <c r="A35" s="739"/>
      <c r="C35" s="669"/>
      <c r="D35" s="740"/>
      <c r="E35" s="740"/>
    </row>
    <row r="36" spans="1:5" s="738" customFormat="1" ht="15.75" x14ac:dyDescent="0.2">
      <c r="A36" s="739"/>
      <c r="C36" s="669"/>
      <c r="D36" s="740"/>
      <c r="E36" s="740"/>
    </row>
    <row r="37" spans="1:5" s="738" customFormat="1" ht="15.75" x14ac:dyDescent="0.2">
      <c r="A37" s="739"/>
      <c r="C37" s="669"/>
      <c r="D37" s="740"/>
      <c r="E37" s="740"/>
    </row>
    <row r="38" spans="1:5" s="738" customFormat="1" ht="15.75" x14ac:dyDescent="0.2">
      <c r="A38" s="739"/>
      <c r="C38" s="669"/>
      <c r="D38" s="740"/>
      <c r="E38" s="740"/>
    </row>
    <row r="39" spans="1:5" s="738" customFormat="1" ht="15.75" x14ac:dyDescent="0.2">
      <c r="A39" s="739"/>
      <c r="C39" s="669"/>
      <c r="D39" s="740"/>
      <c r="E39" s="740"/>
    </row>
    <row r="40" spans="1:5" s="738" customFormat="1" ht="15.75" x14ac:dyDescent="0.2">
      <c r="A40" s="739"/>
      <c r="C40" s="669"/>
      <c r="D40" s="740"/>
      <c r="E40" s="740"/>
    </row>
    <row r="41" spans="1:5" s="738" customFormat="1" ht="15.75" x14ac:dyDescent="0.2">
      <c r="A41" s="739"/>
      <c r="C41" s="669"/>
      <c r="D41" s="740"/>
      <c r="E41" s="740"/>
    </row>
    <row r="42" spans="1:5" s="738" customFormat="1" ht="15.75" x14ac:dyDescent="0.2">
      <c r="A42" s="739"/>
      <c r="C42" s="669"/>
      <c r="D42" s="740"/>
      <c r="E42" s="740"/>
    </row>
    <row r="43" spans="1:5" s="738" customFormat="1" ht="15.75" x14ac:dyDescent="0.2">
      <c r="A43" s="739"/>
      <c r="C43" s="669"/>
      <c r="D43" s="740"/>
      <c r="E43" s="740"/>
    </row>
    <row r="44" spans="1:5" s="738" customFormat="1" ht="15.75" x14ac:dyDescent="0.2">
      <c r="A44" s="739"/>
      <c r="C44" s="669"/>
      <c r="D44" s="740"/>
      <c r="E44" s="740"/>
    </row>
    <row r="45" spans="1:5" s="738" customFormat="1" ht="15.75" x14ac:dyDescent="0.2">
      <c r="A45" s="739"/>
      <c r="C45" s="669"/>
      <c r="D45" s="740"/>
      <c r="E45" s="740"/>
    </row>
    <row r="46" spans="1:5" s="738" customFormat="1" ht="15.75" x14ac:dyDescent="0.2">
      <c r="A46" s="739"/>
      <c r="C46" s="669"/>
      <c r="D46" s="740"/>
      <c r="E46" s="740"/>
    </row>
    <row r="47" spans="1:5" s="738" customFormat="1" ht="15.75" x14ac:dyDescent="0.2">
      <c r="A47" s="739"/>
      <c r="C47" s="669"/>
      <c r="D47" s="740"/>
      <c r="E47" s="740"/>
    </row>
    <row r="48" spans="1:5" s="738" customFormat="1" ht="15.75" x14ac:dyDescent="0.2">
      <c r="A48" s="739"/>
      <c r="C48" s="669"/>
      <c r="D48" s="740"/>
      <c r="E48" s="740"/>
    </row>
    <row r="49" spans="1:5" s="738" customFormat="1" ht="15.75" x14ac:dyDescent="0.2">
      <c r="A49" s="739"/>
      <c r="C49" s="669"/>
      <c r="D49" s="740"/>
      <c r="E49" s="740"/>
    </row>
    <row r="50" spans="1:5" s="738" customFormat="1" ht="15.75" x14ac:dyDescent="0.2">
      <c r="A50" s="739"/>
      <c r="C50" s="669"/>
      <c r="D50" s="740"/>
      <c r="E50" s="740"/>
    </row>
    <row r="51" spans="1:5" s="738" customFormat="1" ht="15.75" x14ac:dyDescent="0.2">
      <c r="A51" s="739"/>
      <c r="C51" s="669"/>
      <c r="D51" s="740"/>
      <c r="E51" s="740"/>
    </row>
    <row r="52" spans="1:5" s="738" customFormat="1" ht="15.75" x14ac:dyDescent="0.2">
      <c r="A52" s="739"/>
      <c r="C52" s="669"/>
      <c r="D52" s="740"/>
      <c r="E52" s="740"/>
    </row>
    <row r="53" spans="1:5" s="738" customFormat="1" ht="15.75" x14ac:dyDescent="0.2">
      <c r="A53" s="739"/>
      <c r="C53" s="669"/>
      <c r="D53" s="740"/>
      <c r="E53" s="740"/>
    </row>
    <row r="54" spans="1:5" s="738" customFormat="1" ht="15.75" x14ac:dyDescent="0.2">
      <c r="A54" s="739"/>
      <c r="C54" s="669"/>
      <c r="D54" s="740"/>
      <c r="E54" s="740"/>
    </row>
    <row r="55" spans="1:5" s="738" customFormat="1" ht="15.75" x14ac:dyDescent="0.2">
      <c r="A55" s="739"/>
      <c r="C55" s="669"/>
      <c r="D55" s="740"/>
      <c r="E55" s="740"/>
    </row>
    <row r="56" spans="1:5" s="738" customFormat="1" ht="15.75" x14ac:dyDescent="0.2">
      <c r="A56" s="739"/>
      <c r="C56" s="669"/>
      <c r="D56" s="740"/>
      <c r="E56" s="740"/>
    </row>
    <row r="57" spans="1:5" s="738" customFormat="1" ht="15.75" x14ac:dyDescent="0.2">
      <c r="A57" s="739"/>
      <c r="C57" s="669"/>
      <c r="D57" s="740"/>
      <c r="E57" s="740"/>
    </row>
    <row r="58" spans="1:5" s="738" customFormat="1" ht="15.75" x14ac:dyDescent="0.2">
      <c r="A58" s="739"/>
      <c r="C58" s="669"/>
      <c r="D58" s="740"/>
      <c r="E58" s="740"/>
    </row>
    <row r="59" spans="1:5" s="738" customFormat="1" ht="15.75" x14ac:dyDescent="0.2">
      <c r="A59" s="739"/>
      <c r="C59" s="669"/>
      <c r="D59" s="740"/>
      <c r="E59" s="740"/>
    </row>
    <row r="60" spans="1:5" s="738" customFormat="1" ht="15.75" x14ac:dyDescent="0.2">
      <c r="A60" s="739"/>
      <c r="C60" s="669"/>
      <c r="D60" s="740"/>
      <c r="E60" s="740"/>
    </row>
    <row r="61" spans="1:5" s="738" customFormat="1" ht="15.75" x14ac:dyDescent="0.2">
      <c r="A61" s="739"/>
      <c r="C61" s="669"/>
      <c r="D61" s="740"/>
      <c r="E61" s="740"/>
    </row>
    <row r="62" spans="1:5" s="738" customFormat="1" ht="15.75" x14ac:dyDescent="0.2">
      <c r="A62" s="739"/>
      <c r="C62" s="669"/>
      <c r="D62" s="740"/>
      <c r="E62" s="740"/>
    </row>
    <row r="63" spans="1:5" s="738" customFormat="1" ht="15.75" x14ac:dyDescent="0.2">
      <c r="A63" s="739"/>
      <c r="C63" s="669"/>
      <c r="D63" s="740"/>
      <c r="E63" s="740"/>
    </row>
    <row r="64" spans="1:5" s="738" customFormat="1" ht="15.75" x14ac:dyDescent="0.2">
      <c r="A64" s="739"/>
      <c r="C64" s="669"/>
      <c r="D64" s="740"/>
      <c r="E64" s="740"/>
    </row>
    <row r="65" spans="1:5" s="738" customFormat="1" ht="15.75" x14ac:dyDescent="0.2">
      <c r="A65" s="739"/>
      <c r="C65" s="669"/>
      <c r="D65" s="740"/>
      <c r="E65" s="740"/>
    </row>
    <row r="66" spans="1:5" s="738" customFormat="1" ht="15.75" x14ac:dyDescent="0.2">
      <c r="A66" s="739"/>
      <c r="C66" s="669"/>
      <c r="D66" s="740"/>
      <c r="E66" s="740"/>
    </row>
    <row r="67" spans="1:5" s="738" customFormat="1" ht="15.75" x14ac:dyDescent="0.2">
      <c r="A67" s="739"/>
      <c r="C67" s="669"/>
      <c r="D67" s="740"/>
      <c r="E67" s="740"/>
    </row>
    <row r="68" spans="1:5" s="738" customFormat="1" ht="15.75" x14ac:dyDescent="0.2">
      <c r="A68" s="739"/>
      <c r="C68" s="669"/>
      <c r="D68" s="740"/>
      <c r="E68" s="740"/>
    </row>
    <row r="69" spans="1:5" s="738" customFormat="1" ht="15.75" x14ac:dyDescent="0.2">
      <c r="A69" s="739"/>
      <c r="C69" s="669"/>
      <c r="D69" s="740"/>
      <c r="E69" s="740"/>
    </row>
    <row r="70" spans="1:5" s="738" customFormat="1" ht="15.75" x14ac:dyDescent="0.2">
      <c r="A70" s="739"/>
      <c r="C70" s="669"/>
      <c r="D70" s="740"/>
      <c r="E70" s="740"/>
    </row>
    <row r="71" spans="1:5" s="738" customFormat="1" ht="15.75" x14ac:dyDescent="0.2">
      <c r="A71" s="739"/>
      <c r="C71" s="669"/>
      <c r="D71" s="740"/>
      <c r="E71" s="740"/>
    </row>
    <row r="72" spans="1:5" s="738" customFormat="1" ht="15.75" x14ac:dyDescent="0.2">
      <c r="A72" s="739"/>
      <c r="C72" s="669"/>
      <c r="D72" s="740"/>
      <c r="E72" s="740"/>
    </row>
    <row r="73" spans="1:5" s="738" customFormat="1" ht="15.75" x14ac:dyDescent="0.2">
      <c r="A73" s="739"/>
      <c r="C73" s="669"/>
      <c r="D73" s="740"/>
      <c r="E73" s="740"/>
    </row>
    <row r="74" spans="1:5" s="738" customFormat="1" ht="15.75" x14ac:dyDescent="0.2">
      <c r="A74" s="739"/>
      <c r="C74" s="669"/>
      <c r="D74" s="740"/>
      <c r="E74" s="740"/>
    </row>
    <row r="75" spans="1:5" s="738" customFormat="1" ht="15.75" x14ac:dyDescent="0.2">
      <c r="A75" s="739"/>
      <c r="C75" s="669"/>
      <c r="D75" s="740"/>
      <c r="E75" s="740"/>
    </row>
    <row r="76" spans="1:5" s="738" customFormat="1" ht="15.75" x14ac:dyDescent="0.2">
      <c r="A76" s="739"/>
      <c r="C76" s="669"/>
      <c r="D76" s="740"/>
      <c r="E76" s="740"/>
    </row>
    <row r="77" spans="1:5" s="738" customFormat="1" ht="15.75" x14ac:dyDescent="0.2">
      <c r="A77" s="739"/>
      <c r="C77" s="669"/>
      <c r="D77" s="740"/>
      <c r="E77" s="740"/>
    </row>
    <row r="78" spans="1:5" s="738" customFormat="1" ht="15.75" x14ac:dyDescent="0.2">
      <c r="A78" s="739"/>
      <c r="C78" s="669"/>
      <c r="D78" s="740"/>
      <c r="E78" s="740"/>
    </row>
    <row r="79" spans="1:5" s="738" customFormat="1" ht="15.75" x14ac:dyDescent="0.2">
      <c r="A79" s="739"/>
      <c r="C79" s="669"/>
      <c r="D79" s="740"/>
      <c r="E79" s="740"/>
    </row>
    <row r="80" spans="1:5" s="738" customFormat="1" ht="15.75" x14ac:dyDescent="0.2">
      <c r="A80" s="739"/>
      <c r="C80" s="669"/>
      <c r="D80" s="740"/>
      <c r="E80" s="740"/>
    </row>
    <row r="81" spans="1:5" s="738" customFormat="1" ht="15.75" x14ac:dyDescent="0.2">
      <c r="A81" s="739"/>
      <c r="C81" s="669"/>
      <c r="D81" s="740"/>
      <c r="E81" s="740"/>
    </row>
    <row r="82" spans="1:5" s="738" customFormat="1" ht="15.75" x14ac:dyDescent="0.2">
      <c r="A82" s="739"/>
      <c r="C82" s="669"/>
      <c r="D82" s="740"/>
      <c r="E82" s="740"/>
    </row>
    <row r="83" spans="1:5" s="738" customFormat="1" ht="15.75" x14ac:dyDescent="0.2">
      <c r="A83" s="739"/>
      <c r="C83" s="669"/>
      <c r="D83" s="740"/>
      <c r="E83" s="740"/>
    </row>
    <row r="84" spans="1:5" s="738" customFormat="1" ht="15.75" x14ac:dyDescent="0.2">
      <c r="A84" s="739"/>
      <c r="C84" s="669"/>
      <c r="D84" s="740"/>
      <c r="E84" s="740"/>
    </row>
    <row r="85" spans="1:5" s="738" customFormat="1" ht="15.75" x14ac:dyDescent="0.2">
      <c r="A85" s="739"/>
      <c r="C85" s="669"/>
      <c r="D85" s="740"/>
      <c r="E85" s="740"/>
    </row>
    <row r="86" spans="1:5" s="738" customFormat="1" ht="15.75" x14ac:dyDescent="0.2">
      <c r="A86" s="739"/>
      <c r="C86" s="669"/>
      <c r="D86" s="740"/>
      <c r="E86" s="740"/>
    </row>
    <row r="87" spans="1:5" s="738" customFormat="1" ht="15.75" x14ac:dyDescent="0.2">
      <c r="A87" s="739"/>
      <c r="C87" s="669"/>
      <c r="D87" s="740"/>
      <c r="E87" s="740"/>
    </row>
    <row r="88" spans="1:5" s="738" customFormat="1" ht="15.75" x14ac:dyDescent="0.2">
      <c r="A88" s="739"/>
      <c r="C88" s="669"/>
      <c r="D88" s="740"/>
      <c r="E88" s="740"/>
    </row>
    <row r="89" spans="1:5" s="738" customFormat="1" ht="15.75" x14ac:dyDescent="0.2">
      <c r="A89" s="739"/>
      <c r="C89" s="669"/>
      <c r="D89" s="740"/>
      <c r="E89" s="740"/>
    </row>
    <row r="90" spans="1:5" s="738" customFormat="1" ht="15.75" x14ac:dyDescent="0.2">
      <c r="A90" s="739"/>
      <c r="C90" s="669"/>
      <c r="D90" s="740"/>
      <c r="E90" s="740"/>
    </row>
    <row r="91" spans="1:5" s="738" customFormat="1" ht="15.75" x14ac:dyDescent="0.2">
      <c r="A91" s="739"/>
      <c r="C91" s="669"/>
      <c r="D91" s="740"/>
      <c r="E91" s="740"/>
    </row>
    <row r="92" spans="1:5" s="738" customFormat="1" ht="15.75" x14ac:dyDescent="0.2">
      <c r="A92" s="739"/>
      <c r="C92" s="669"/>
      <c r="D92" s="740"/>
      <c r="E92" s="740"/>
    </row>
    <row r="93" spans="1:5" s="738" customFormat="1" ht="15.75" x14ac:dyDescent="0.2">
      <c r="A93" s="739"/>
      <c r="C93" s="669"/>
      <c r="D93" s="740"/>
      <c r="E93" s="740"/>
    </row>
    <row r="94" spans="1:5" s="738" customFormat="1" ht="15.75" x14ac:dyDescent="0.2">
      <c r="A94" s="739"/>
      <c r="C94" s="669"/>
      <c r="D94" s="740"/>
      <c r="E94" s="740"/>
    </row>
    <row r="95" spans="1:5" s="738" customFormat="1" ht="15.75" x14ac:dyDescent="0.2">
      <c r="A95" s="739"/>
      <c r="C95" s="669"/>
      <c r="D95" s="740"/>
      <c r="E95" s="740"/>
    </row>
    <row r="96" spans="1:5" s="738" customFormat="1" ht="15.75" x14ac:dyDescent="0.2">
      <c r="A96" s="739"/>
      <c r="C96" s="669"/>
      <c r="D96" s="740"/>
      <c r="E96" s="740"/>
    </row>
    <row r="97" spans="1:5" s="738" customFormat="1" ht="15.75" x14ac:dyDescent="0.2">
      <c r="A97" s="739"/>
      <c r="C97" s="669"/>
      <c r="D97" s="740"/>
      <c r="E97" s="740"/>
    </row>
    <row r="98" spans="1:5" s="738" customFormat="1" ht="15.75" x14ac:dyDescent="0.2">
      <c r="A98" s="739"/>
      <c r="C98" s="669"/>
      <c r="D98" s="740"/>
      <c r="E98" s="740"/>
    </row>
    <row r="99" spans="1:5" s="738" customFormat="1" ht="15.75" x14ac:dyDescent="0.2">
      <c r="A99" s="739"/>
      <c r="C99" s="669"/>
      <c r="D99" s="740"/>
      <c r="E99" s="740"/>
    </row>
    <row r="100" spans="1:5" s="738" customFormat="1" ht="15.75" x14ac:dyDescent="0.2">
      <c r="A100" s="739"/>
      <c r="C100" s="669"/>
      <c r="D100" s="740"/>
      <c r="E100" s="740"/>
    </row>
    <row r="101" spans="1:5" s="738" customFormat="1" ht="15.75" x14ac:dyDescent="0.2">
      <c r="A101" s="739"/>
      <c r="C101" s="669"/>
      <c r="D101" s="740"/>
      <c r="E101" s="740"/>
    </row>
    <row r="102" spans="1:5" s="738" customFormat="1" ht="15.75" x14ac:dyDescent="0.2">
      <c r="A102" s="739"/>
      <c r="C102" s="669"/>
      <c r="D102" s="740"/>
      <c r="E102" s="740"/>
    </row>
    <row r="103" spans="1:5" s="738" customFormat="1" ht="15.75" x14ac:dyDescent="0.2">
      <c r="A103" s="739"/>
      <c r="C103" s="669"/>
      <c r="D103" s="740"/>
      <c r="E103" s="740"/>
    </row>
    <row r="104" spans="1:5" s="738" customFormat="1" ht="15.75" x14ac:dyDescent="0.2">
      <c r="A104" s="739"/>
      <c r="C104" s="669"/>
      <c r="D104" s="740"/>
      <c r="E104" s="740"/>
    </row>
    <row r="105" spans="1:5" s="738" customFormat="1" ht="15.75" x14ac:dyDescent="0.2">
      <c r="A105" s="739"/>
      <c r="C105" s="669"/>
      <c r="D105" s="740"/>
      <c r="E105" s="740"/>
    </row>
    <row r="106" spans="1:5" s="738" customFormat="1" ht="15.75" x14ac:dyDescent="0.2">
      <c r="A106" s="739"/>
      <c r="C106" s="669"/>
      <c r="D106" s="740"/>
      <c r="E106" s="740"/>
    </row>
    <row r="107" spans="1:5" s="738" customFormat="1" ht="15.75" x14ac:dyDescent="0.2">
      <c r="A107" s="739"/>
      <c r="C107" s="669"/>
      <c r="D107" s="740"/>
      <c r="E107" s="740"/>
    </row>
    <row r="108" spans="1:5" s="738" customFormat="1" ht="15.75" x14ac:dyDescent="0.2">
      <c r="A108" s="739"/>
      <c r="C108" s="669"/>
      <c r="D108" s="740"/>
      <c r="E108" s="740"/>
    </row>
    <row r="109" spans="1:5" s="738" customFormat="1" ht="15.75" x14ac:dyDescent="0.2">
      <c r="A109" s="739"/>
      <c r="C109" s="669"/>
      <c r="D109" s="740"/>
      <c r="E109" s="740"/>
    </row>
    <row r="110" spans="1:5" s="738" customFormat="1" ht="15.75" x14ac:dyDescent="0.2">
      <c r="A110" s="739"/>
      <c r="C110" s="669"/>
      <c r="D110" s="740"/>
      <c r="E110" s="740"/>
    </row>
    <row r="111" spans="1:5" s="738" customFormat="1" ht="15.75" x14ac:dyDescent="0.2">
      <c r="A111" s="739"/>
      <c r="C111" s="669"/>
      <c r="D111" s="740"/>
      <c r="E111" s="740"/>
    </row>
    <row r="112" spans="1:5" s="738" customFormat="1" ht="15.75" x14ac:dyDescent="0.2">
      <c r="A112" s="739"/>
      <c r="C112" s="669"/>
      <c r="D112" s="740"/>
      <c r="E112" s="740"/>
    </row>
    <row r="113" spans="1:5" s="738" customFormat="1" ht="15.75" x14ac:dyDescent="0.2">
      <c r="A113" s="739"/>
      <c r="C113" s="669"/>
      <c r="D113" s="740"/>
      <c r="E113" s="740"/>
    </row>
    <row r="114" spans="1:5" s="738" customFormat="1" ht="15.75" x14ac:dyDescent="0.2">
      <c r="A114" s="739"/>
      <c r="C114" s="669"/>
      <c r="D114" s="740"/>
      <c r="E114" s="740"/>
    </row>
    <row r="115" spans="1:5" s="738" customFormat="1" ht="15.75" x14ac:dyDescent="0.2">
      <c r="A115" s="739"/>
      <c r="C115" s="669"/>
      <c r="D115" s="740"/>
      <c r="E115" s="740"/>
    </row>
    <row r="116" spans="1:5" s="738" customFormat="1" ht="15.75" x14ac:dyDescent="0.2">
      <c r="A116" s="739"/>
      <c r="C116" s="669"/>
      <c r="D116" s="740"/>
      <c r="E116" s="740"/>
    </row>
    <row r="117" spans="1:5" s="738" customFormat="1" ht="15.75" x14ac:dyDescent="0.2">
      <c r="A117" s="739"/>
      <c r="C117" s="669"/>
      <c r="D117" s="740"/>
      <c r="E117" s="740"/>
    </row>
    <row r="118" spans="1:5" s="738" customFormat="1" ht="15.75" x14ac:dyDescent="0.2">
      <c r="A118" s="739"/>
      <c r="C118" s="669"/>
      <c r="D118" s="740"/>
      <c r="E118" s="740"/>
    </row>
    <row r="119" spans="1:5" s="738" customFormat="1" ht="15.75" x14ac:dyDescent="0.2">
      <c r="A119" s="739"/>
      <c r="C119" s="669"/>
      <c r="D119" s="740"/>
      <c r="E119" s="740"/>
    </row>
    <row r="120" spans="1:5" s="738" customFormat="1" ht="15.75" x14ac:dyDescent="0.2">
      <c r="A120" s="739"/>
      <c r="C120" s="669"/>
      <c r="D120" s="740"/>
      <c r="E120" s="740"/>
    </row>
    <row r="121" spans="1:5" s="738" customFormat="1" ht="15.75" x14ac:dyDescent="0.2">
      <c r="A121" s="739"/>
      <c r="C121" s="669"/>
      <c r="D121" s="740"/>
      <c r="E121" s="740"/>
    </row>
    <row r="122" spans="1:5" s="738" customFormat="1" ht="15.75" x14ac:dyDescent="0.2">
      <c r="A122" s="739"/>
      <c r="C122" s="669"/>
      <c r="D122" s="740"/>
      <c r="E122" s="740"/>
    </row>
    <row r="123" spans="1:5" s="738" customFormat="1" ht="15.75" x14ac:dyDescent="0.2">
      <c r="A123" s="739"/>
      <c r="C123" s="669"/>
      <c r="D123" s="740"/>
      <c r="E123" s="740"/>
    </row>
    <row r="124" spans="1:5" s="738" customFormat="1" ht="15.75" x14ac:dyDescent="0.2">
      <c r="A124" s="739"/>
      <c r="C124" s="669"/>
      <c r="D124" s="740"/>
      <c r="E124" s="740"/>
    </row>
    <row r="125" spans="1:5" s="738" customFormat="1" ht="15.75" x14ac:dyDescent="0.2">
      <c r="A125" s="739"/>
      <c r="C125" s="669"/>
      <c r="D125" s="740"/>
      <c r="E125" s="740"/>
    </row>
    <row r="126" spans="1:5" s="738" customFormat="1" ht="15.75" x14ac:dyDescent="0.2">
      <c r="A126" s="739"/>
      <c r="C126" s="669"/>
      <c r="D126" s="740"/>
      <c r="E126" s="740"/>
    </row>
    <row r="127" spans="1:5" s="738" customFormat="1" ht="15.75" x14ac:dyDescent="0.2">
      <c r="A127" s="739"/>
      <c r="C127" s="669"/>
      <c r="D127" s="740"/>
      <c r="E127" s="740"/>
    </row>
    <row r="128" spans="1:5" s="738" customFormat="1" ht="15.75" x14ac:dyDescent="0.2">
      <c r="A128" s="739"/>
      <c r="C128" s="669"/>
      <c r="D128" s="740"/>
      <c r="E128" s="740"/>
    </row>
    <row r="129" spans="1:5" s="738" customFormat="1" ht="15.75" x14ac:dyDescent="0.2">
      <c r="A129" s="739"/>
      <c r="C129" s="669"/>
      <c r="D129" s="740"/>
      <c r="E129" s="740"/>
    </row>
    <row r="130" spans="1:5" s="738" customFormat="1" ht="15.75" x14ac:dyDescent="0.2">
      <c r="A130" s="739"/>
      <c r="C130" s="669"/>
      <c r="D130" s="740"/>
      <c r="E130" s="740"/>
    </row>
    <row r="131" spans="1:5" s="738" customFormat="1" ht="15.75" x14ac:dyDescent="0.2">
      <c r="A131" s="739"/>
      <c r="C131" s="669"/>
      <c r="D131" s="740"/>
      <c r="E131" s="740"/>
    </row>
    <row r="132" spans="1:5" s="738" customFormat="1" ht="15.75" x14ac:dyDescent="0.2">
      <c r="A132" s="739"/>
      <c r="C132" s="669"/>
      <c r="D132" s="740"/>
      <c r="E132" s="740"/>
    </row>
    <row r="133" spans="1:5" s="738" customFormat="1" ht="15.75" x14ac:dyDescent="0.2">
      <c r="A133" s="739"/>
      <c r="C133" s="669"/>
      <c r="D133" s="740"/>
      <c r="E133" s="740"/>
    </row>
    <row r="134" spans="1:5" s="738" customFormat="1" ht="15.75" x14ac:dyDescent="0.2">
      <c r="A134" s="739"/>
      <c r="C134" s="669"/>
      <c r="D134" s="740"/>
      <c r="E134" s="740"/>
    </row>
    <row r="135" spans="1:5" s="738" customFormat="1" ht="15.75" x14ac:dyDescent="0.2">
      <c r="A135" s="739"/>
      <c r="C135" s="669"/>
      <c r="D135" s="740"/>
      <c r="E135" s="740"/>
    </row>
    <row r="136" spans="1:5" s="738" customFormat="1" ht="15.75" x14ac:dyDescent="0.2">
      <c r="A136" s="739"/>
      <c r="C136" s="669"/>
      <c r="D136" s="740"/>
      <c r="E136" s="740"/>
    </row>
    <row r="137" spans="1:5" s="738" customFormat="1" ht="15.75" x14ac:dyDescent="0.2">
      <c r="A137" s="739"/>
      <c r="C137" s="669"/>
      <c r="D137" s="740"/>
      <c r="E137" s="740"/>
    </row>
    <row r="138" spans="1:5" s="738" customFormat="1" ht="15.75" x14ac:dyDescent="0.2">
      <c r="A138" s="739"/>
      <c r="C138" s="669"/>
      <c r="D138" s="740"/>
      <c r="E138" s="740"/>
    </row>
    <row r="139" spans="1:5" s="738" customFormat="1" ht="15.75" x14ac:dyDescent="0.2">
      <c r="A139" s="739"/>
      <c r="C139" s="669"/>
      <c r="D139" s="740"/>
      <c r="E139" s="740"/>
    </row>
    <row r="140" spans="1:5" s="738" customFormat="1" ht="15.75" x14ac:dyDescent="0.2">
      <c r="A140" s="739"/>
      <c r="C140" s="669"/>
      <c r="D140" s="740"/>
      <c r="E140" s="740"/>
    </row>
    <row r="141" spans="1:5" s="738" customFormat="1" ht="15.75" x14ac:dyDescent="0.2">
      <c r="A141" s="739"/>
      <c r="C141" s="669"/>
      <c r="D141" s="740"/>
      <c r="E141" s="740"/>
    </row>
    <row r="142" spans="1:5" s="738" customFormat="1" ht="15.75" x14ac:dyDescent="0.2">
      <c r="A142" s="739"/>
      <c r="C142" s="669"/>
      <c r="D142" s="740"/>
      <c r="E142" s="740"/>
    </row>
    <row r="143" spans="1:5" s="738" customFormat="1" ht="15.75" x14ac:dyDescent="0.2">
      <c r="A143" s="739"/>
      <c r="C143" s="669"/>
      <c r="D143" s="740"/>
      <c r="E143" s="740"/>
    </row>
    <row r="144" spans="1:5" s="738" customFormat="1" ht="15.75" x14ac:dyDescent="0.2">
      <c r="A144" s="739"/>
      <c r="C144" s="669"/>
      <c r="D144" s="740"/>
      <c r="E144" s="740"/>
    </row>
    <row r="145" spans="1:5" s="738" customFormat="1" ht="15.75" x14ac:dyDescent="0.2">
      <c r="A145" s="739"/>
      <c r="C145" s="669"/>
      <c r="D145" s="740"/>
      <c r="E145" s="740"/>
    </row>
    <row r="146" spans="1:5" s="738" customFormat="1" ht="15.75" x14ac:dyDescent="0.2">
      <c r="A146" s="739"/>
      <c r="C146" s="669"/>
      <c r="D146" s="740"/>
      <c r="E146" s="740"/>
    </row>
    <row r="147" spans="1:5" s="738" customFormat="1" ht="15.75" x14ac:dyDescent="0.2">
      <c r="A147" s="739"/>
      <c r="C147" s="669"/>
      <c r="D147" s="740"/>
      <c r="E147" s="740"/>
    </row>
    <row r="148" spans="1:5" s="738" customFormat="1" ht="15.75" x14ac:dyDescent="0.2">
      <c r="A148" s="739"/>
      <c r="C148" s="669"/>
      <c r="D148" s="740"/>
      <c r="E148" s="740"/>
    </row>
    <row r="149" spans="1:5" s="738" customFormat="1" ht="15.75" x14ac:dyDescent="0.2">
      <c r="A149" s="739"/>
      <c r="C149" s="669"/>
      <c r="D149" s="740"/>
      <c r="E149" s="740"/>
    </row>
    <row r="150" spans="1:5" s="738" customFormat="1" ht="15.75" x14ac:dyDescent="0.2">
      <c r="A150" s="739"/>
      <c r="C150" s="669"/>
      <c r="D150" s="740"/>
      <c r="E150" s="740"/>
    </row>
    <row r="151" spans="1:5" s="738" customFormat="1" ht="15.75" x14ac:dyDescent="0.2">
      <c r="A151" s="739"/>
      <c r="C151" s="669"/>
      <c r="D151" s="740"/>
      <c r="E151" s="740"/>
    </row>
    <row r="152" spans="1:5" s="738" customFormat="1" ht="15.75" x14ac:dyDescent="0.2">
      <c r="A152" s="739"/>
      <c r="C152" s="669"/>
      <c r="D152" s="740"/>
      <c r="E152" s="740"/>
    </row>
    <row r="153" spans="1:5" s="738" customFormat="1" ht="15.75" x14ac:dyDescent="0.2">
      <c r="A153" s="739"/>
      <c r="C153" s="669"/>
      <c r="D153" s="740"/>
      <c r="E153" s="740"/>
    </row>
    <row r="154" spans="1:5" s="738" customFormat="1" ht="15.75" x14ac:dyDescent="0.2">
      <c r="A154" s="739"/>
      <c r="C154" s="669"/>
      <c r="D154" s="740"/>
      <c r="E154" s="740"/>
    </row>
    <row r="155" spans="1:5" s="738" customFormat="1" ht="15.75" x14ac:dyDescent="0.2">
      <c r="A155" s="739"/>
      <c r="C155" s="669"/>
      <c r="D155" s="740"/>
      <c r="E155" s="740"/>
    </row>
    <row r="156" spans="1:5" s="738" customFormat="1" ht="15.75" x14ac:dyDescent="0.2">
      <c r="A156" s="739"/>
      <c r="C156" s="669"/>
      <c r="D156" s="740"/>
      <c r="E156" s="740"/>
    </row>
    <row r="157" spans="1:5" s="738" customFormat="1" ht="15.75" x14ac:dyDescent="0.2">
      <c r="A157" s="739"/>
      <c r="C157" s="669"/>
      <c r="D157" s="740"/>
      <c r="E157" s="740"/>
    </row>
    <row r="158" spans="1:5" s="738" customFormat="1" ht="15.75" x14ac:dyDescent="0.2">
      <c r="A158" s="739"/>
      <c r="C158" s="669"/>
      <c r="D158" s="740"/>
      <c r="E158" s="740"/>
    </row>
    <row r="159" spans="1:5" s="738" customFormat="1" ht="15.75" x14ac:dyDescent="0.2">
      <c r="A159" s="739"/>
      <c r="C159" s="669"/>
      <c r="D159" s="740"/>
      <c r="E159" s="740"/>
    </row>
    <row r="160" spans="1:5" s="738" customFormat="1" ht="15.75" x14ac:dyDescent="0.2">
      <c r="A160" s="739"/>
      <c r="C160" s="669"/>
      <c r="D160" s="740"/>
      <c r="E160" s="740"/>
    </row>
    <row r="161" spans="1:5" s="738" customFormat="1" ht="15.75" x14ac:dyDescent="0.2">
      <c r="A161" s="739"/>
      <c r="C161" s="669"/>
      <c r="D161" s="740"/>
      <c r="E161" s="740"/>
    </row>
    <row r="162" spans="1:5" s="738" customFormat="1" ht="15.75" x14ac:dyDescent="0.2">
      <c r="A162" s="739"/>
      <c r="C162" s="669"/>
      <c r="D162" s="740"/>
      <c r="E162" s="740"/>
    </row>
    <row r="163" spans="1:5" s="738" customFormat="1" ht="15.75" x14ac:dyDescent="0.2">
      <c r="A163" s="739"/>
      <c r="C163" s="669"/>
      <c r="D163" s="740"/>
      <c r="E163" s="740"/>
    </row>
    <row r="164" spans="1:5" s="738" customFormat="1" ht="15.75" x14ac:dyDescent="0.2">
      <c r="A164" s="739"/>
      <c r="C164" s="669"/>
      <c r="D164" s="740"/>
      <c r="E164" s="740"/>
    </row>
    <row r="165" spans="1:5" s="738" customFormat="1" ht="15.75" x14ac:dyDescent="0.2">
      <c r="A165" s="739"/>
      <c r="C165" s="669"/>
      <c r="D165" s="740"/>
      <c r="E165" s="740"/>
    </row>
    <row r="166" spans="1:5" s="738" customFormat="1" ht="15.75" x14ac:dyDescent="0.2">
      <c r="A166" s="739"/>
      <c r="C166" s="669"/>
      <c r="D166" s="740"/>
      <c r="E166" s="740"/>
    </row>
    <row r="167" spans="1:5" s="738" customFormat="1" ht="15.75" x14ac:dyDescent="0.2">
      <c r="A167" s="739"/>
      <c r="C167" s="669"/>
      <c r="D167" s="740"/>
      <c r="E167" s="740"/>
    </row>
    <row r="168" spans="1:5" s="738" customFormat="1" ht="15.75" x14ac:dyDescent="0.2">
      <c r="A168" s="739"/>
      <c r="C168" s="669"/>
      <c r="D168" s="740"/>
      <c r="E168" s="740"/>
    </row>
    <row r="169" spans="1:5" s="738" customFormat="1" ht="15.75" x14ac:dyDescent="0.2">
      <c r="A169" s="739"/>
      <c r="C169" s="669"/>
      <c r="D169" s="740"/>
      <c r="E169" s="740"/>
    </row>
    <row r="170" spans="1:5" s="738" customFormat="1" ht="15.75" x14ac:dyDescent="0.2">
      <c r="A170" s="739"/>
      <c r="C170" s="669"/>
      <c r="D170" s="740"/>
      <c r="E170" s="740"/>
    </row>
    <row r="171" spans="1:5" s="738" customFormat="1" ht="15.75" x14ac:dyDescent="0.2">
      <c r="A171" s="739"/>
      <c r="C171" s="669"/>
      <c r="D171" s="740"/>
      <c r="E171" s="740"/>
    </row>
    <row r="172" spans="1:5" s="738" customFormat="1" ht="15.75" x14ac:dyDescent="0.2">
      <c r="A172" s="739"/>
      <c r="C172" s="669"/>
      <c r="D172" s="740"/>
      <c r="E172" s="740"/>
    </row>
    <row r="173" spans="1:5" s="738" customFormat="1" ht="15.75" x14ac:dyDescent="0.2">
      <c r="A173" s="739"/>
      <c r="C173" s="669"/>
      <c r="D173" s="740"/>
      <c r="E173" s="740"/>
    </row>
    <row r="174" spans="1:5" s="738" customFormat="1" ht="15.75" x14ac:dyDescent="0.2">
      <c r="A174" s="739"/>
      <c r="C174" s="669"/>
      <c r="D174" s="740"/>
      <c r="E174" s="740"/>
    </row>
    <row r="175" spans="1:5" s="738" customFormat="1" ht="15.75" x14ac:dyDescent="0.2">
      <c r="A175" s="739"/>
      <c r="C175" s="669"/>
      <c r="D175" s="740"/>
      <c r="E175" s="740"/>
    </row>
    <row r="176" spans="1:5" s="738" customFormat="1" ht="15.75" x14ac:dyDescent="0.2">
      <c r="A176" s="739"/>
      <c r="C176" s="669"/>
      <c r="D176" s="740"/>
      <c r="E176" s="740"/>
    </row>
    <row r="177" spans="1:5" s="738" customFormat="1" ht="15.75" x14ac:dyDescent="0.2">
      <c r="A177" s="739"/>
      <c r="C177" s="669"/>
      <c r="D177" s="740"/>
      <c r="E177" s="740"/>
    </row>
    <row r="178" spans="1:5" s="738" customFormat="1" ht="15.75" x14ac:dyDescent="0.2">
      <c r="A178" s="739"/>
      <c r="C178" s="669"/>
      <c r="D178" s="740"/>
      <c r="E178" s="740"/>
    </row>
    <row r="179" spans="1:5" s="738" customFormat="1" ht="15.75" x14ac:dyDescent="0.2">
      <c r="A179" s="739"/>
      <c r="C179" s="669"/>
      <c r="D179" s="740"/>
      <c r="E179" s="740"/>
    </row>
    <row r="180" spans="1:5" s="738" customFormat="1" ht="15.75" x14ac:dyDescent="0.2">
      <c r="A180" s="739"/>
      <c r="C180" s="669"/>
      <c r="D180" s="740"/>
      <c r="E180" s="740"/>
    </row>
    <row r="181" spans="1:5" s="738" customFormat="1" ht="15.75" x14ac:dyDescent="0.2">
      <c r="A181" s="739"/>
      <c r="C181" s="669"/>
      <c r="D181" s="740"/>
      <c r="E181" s="740"/>
    </row>
    <row r="182" spans="1:5" s="738" customFormat="1" ht="15.75" x14ac:dyDescent="0.2">
      <c r="A182" s="739"/>
      <c r="C182" s="669"/>
      <c r="D182" s="740"/>
      <c r="E182" s="740"/>
    </row>
    <row r="183" spans="1:5" s="738" customFormat="1" ht="15.75" x14ac:dyDescent="0.2">
      <c r="A183" s="739"/>
      <c r="C183" s="669"/>
      <c r="D183" s="740"/>
      <c r="E183" s="740"/>
    </row>
    <row r="184" spans="1:5" s="738" customFormat="1" ht="15.75" x14ac:dyDescent="0.2">
      <c r="A184" s="739"/>
      <c r="C184" s="669"/>
      <c r="D184" s="740"/>
      <c r="E184" s="740"/>
    </row>
    <row r="185" spans="1:5" s="738" customFormat="1" ht="15.75" x14ac:dyDescent="0.2">
      <c r="A185" s="739"/>
      <c r="C185" s="669"/>
      <c r="D185" s="740"/>
      <c r="E185" s="740"/>
    </row>
    <row r="186" spans="1:5" s="738" customFormat="1" ht="15.75" x14ac:dyDescent="0.2">
      <c r="A186" s="739"/>
      <c r="C186" s="669"/>
      <c r="D186" s="740"/>
      <c r="E186" s="740"/>
    </row>
    <row r="187" spans="1:5" s="738" customFormat="1" ht="15.75" x14ac:dyDescent="0.2">
      <c r="A187" s="739"/>
      <c r="C187" s="669"/>
      <c r="D187" s="740"/>
      <c r="E187" s="740"/>
    </row>
    <row r="188" spans="1:5" s="738" customFormat="1" ht="15.75" x14ac:dyDescent="0.2">
      <c r="A188" s="739"/>
      <c r="C188" s="669"/>
      <c r="D188" s="740"/>
      <c r="E188" s="740"/>
    </row>
    <row r="189" spans="1:5" s="738" customFormat="1" ht="15.75" x14ac:dyDescent="0.2">
      <c r="A189" s="739"/>
      <c r="C189" s="669"/>
      <c r="D189" s="740"/>
      <c r="E189" s="740"/>
    </row>
    <row r="190" spans="1:5" s="738" customFormat="1" ht="15.75" x14ac:dyDescent="0.2">
      <c r="A190" s="739"/>
      <c r="C190" s="669"/>
      <c r="D190" s="740"/>
      <c r="E190" s="740"/>
    </row>
    <row r="191" spans="1:5" s="738" customFormat="1" ht="15.75" x14ac:dyDescent="0.2">
      <c r="A191" s="739"/>
      <c r="C191" s="669"/>
      <c r="D191" s="740"/>
      <c r="E191" s="740"/>
    </row>
    <row r="192" spans="1:5" s="738" customFormat="1" ht="15.75" x14ac:dyDescent="0.2">
      <c r="A192" s="739"/>
      <c r="C192" s="669"/>
      <c r="D192" s="740"/>
      <c r="E192" s="740"/>
    </row>
    <row r="193" spans="1:5" s="738" customFormat="1" ht="15.75" x14ac:dyDescent="0.2">
      <c r="A193" s="739"/>
      <c r="C193" s="669"/>
      <c r="D193" s="740"/>
      <c r="E193" s="740"/>
    </row>
    <row r="194" spans="1:5" s="738" customFormat="1" ht="15.75" x14ac:dyDescent="0.2">
      <c r="A194" s="739"/>
      <c r="C194" s="669"/>
      <c r="D194" s="740"/>
      <c r="E194" s="740"/>
    </row>
    <row r="195" spans="1:5" s="738" customFormat="1" ht="15.75" x14ac:dyDescent="0.2">
      <c r="A195" s="739"/>
      <c r="C195" s="669"/>
      <c r="D195" s="740"/>
      <c r="E195" s="740"/>
    </row>
    <row r="196" spans="1:5" s="738" customFormat="1" ht="15.75" x14ac:dyDescent="0.2">
      <c r="A196" s="739"/>
      <c r="C196" s="669"/>
      <c r="D196" s="740"/>
      <c r="E196" s="740"/>
    </row>
    <row r="197" spans="1:5" s="738" customFormat="1" ht="15.75" x14ac:dyDescent="0.2">
      <c r="A197" s="739"/>
      <c r="C197" s="669"/>
      <c r="D197" s="740"/>
      <c r="E197" s="740"/>
    </row>
    <row r="198" spans="1:5" s="738" customFormat="1" ht="15.75" x14ac:dyDescent="0.2">
      <c r="A198" s="739"/>
      <c r="C198" s="669"/>
      <c r="D198" s="740"/>
      <c r="E198" s="740"/>
    </row>
    <row r="199" spans="1:5" s="738" customFormat="1" ht="15.75" x14ac:dyDescent="0.2">
      <c r="A199" s="739"/>
      <c r="C199" s="669"/>
      <c r="D199" s="740"/>
      <c r="E199" s="740"/>
    </row>
    <row r="200" spans="1:5" s="738" customFormat="1" ht="15.75" x14ac:dyDescent="0.2">
      <c r="A200" s="739"/>
      <c r="C200" s="669"/>
      <c r="D200" s="740"/>
      <c r="E200" s="740"/>
    </row>
    <row r="201" spans="1:5" s="738" customFormat="1" ht="15.75" x14ac:dyDescent="0.2">
      <c r="A201" s="739"/>
      <c r="C201" s="669"/>
      <c r="D201" s="740"/>
      <c r="E201" s="740"/>
    </row>
    <row r="202" spans="1:5" s="738" customFormat="1" ht="15.75" x14ac:dyDescent="0.2">
      <c r="A202" s="739"/>
      <c r="C202" s="669"/>
      <c r="D202" s="740"/>
      <c r="E202" s="740"/>
    </row>
    <row r="203" spans="1:5" s="738" customFormat="1" ht="15.75" x14ac:dyDescent="0.2">
      <c r="A203" s="739"/>
      <c r="C203" s="669"/>
      <c r="D203" s="740"/>
      <c r="E203" s="740"/>
    </row>
    <row r="204" spans="1:5" s="738" customFormat="1" ht="15.75" x14ac:dyDescent="0.2">
      <c r="A204" s="739"/>
      <c r="C204" s="669"/>
      <c r="D204" s="740"/>
      <c r="E204" s="740"/>
    </row>
    <row r="205" spans="1:5" s="738" customFormat="1" ht="15.75" x14ac:dyDescent="0.2">
      <c r="A205" s="739"/>
      <c r="C205" s="669"/>
      <c r="D205" s="740"/>
      <c r="E205" s="740"/>
    </row>
    <row r="206" spans="1:5" s="738" customFormat="1" ht="15.75" x14ac:dyDescent="0.2">
      <c r="A206" s="739"/>
      <c r="C206" s="669"/>
      <c r="D206" s="740"/>
      <c r="E206" s="740"/>
    </row>
    <row r="207" spans="1:5" s="738" customFormat="1" ht="15.75" x14ac:dyDescent="0.2">
      <c r="A207" s="739"/>
      <c r="C207" s="669"/>
      <c r="D207" s="740"/>
      <c r="E207" s="740"/>
    </row>
    <row r="208" spans="1:5" s="738" customFormat="1" ht="15.75" x14ac:dyDescent="0.2">
      <c r="A208" s="739"/>
      <c r="C208" s="669"/>
      <c r="D208" s="740"/>
      <c r="E208" s="740"/>
    </row>
    <row r="209" spans="1:5" s="738" customFormat="1" ht="15.75" x14ac:dyDescent="0.2">
      <c r="A209" s="739"/>
      <c r="C209" s="669"/>
      <c r="D209" s="740"/>
      <c r="E209" s="740"/>
    </row>
    <row r="210" spans="1:5" s="738" customFormat="1" ht="15.75" x14ac:dyDescent="0.2">
      <c r="A210" s="739"/>
      <c r="C210" s="669"/>
      <c r="D210" s="740"/>
      <c r="E210" s="740"/>
    </row>
    <row r="211" spans="1:5" s="738" customFormat="1" ht="15.75" x14ac:dyDescent="0.2">
      <c r="A211" s="739"/>
      <c r="C211" s="669"/>
      <c r="D211" s="740"/>
      <c r="E211" s="740"/>
    </row>
    <row r="212" spans="1:5" s="738" customFormat="1" ht="15.75" x14ac:dyDescent="0.2">
      <c r="A212" s="739"/>
      <c r="C212" s="669"/>
      <c r="D212" s="740"/>
      <c r="E212" s="740"/>
    </row>
    <row r="213" spans="1:5" s="738" customFormat="1" ht="15.75" x14ac:dyDescent="0.2">
      <c r="A213" s="739"/>
      <c r="C213" s="669"/>
      <c r="D213" s="740"/>
      <c r="E213" s="740"/>
    </row>
    <row r="214" spans="1:5" s="738" customFormat="1" ht="15.75" x14ac:dyDescent="0.2">
      <c r="A214" s="739"/>
      <c r="C214" s="669"/>
      <c r="D214" s="740"/>
      <c r="E214" s="740"/>
    </row>
    <row r="215" spans="1:5" s="738" customFormat="1" ht="15.75" x14ac:dyDescent="0.2">
      <c r="A215" s="739"/>
      <c r="C215" s="669"/>
      <c r="D215" s="740"/>
      <c r="E215" s="740"/>
    </row>
    <row r="216" spans="1:5" s="738" customFormat="1" ht="15.75" x14ac:dyDescent="0.2">
      <c r="A216" s="739"/>
      <c r="C216" s="669"/>
      <c r="D216" s="740"/>
      <c r="E216" s="740"/>
    </row>
    <row r="217" spans="1:5" s="738" customFormat="1" ht="15.75" x14ac:dyDescent="0.2">
      <c r="A217" s="739"/>
      <c r="C217" s="669"/>
      <c r="D217" s="740"/>
      <c r="E217" s="740"/>
    </row>
    <row r="218" spans="1:5" s="738" customFormat="1" ht="15.75" x14ac:dyDescent="0.2">
      <c r="A218" s="739"/>
      <c r="C218" s="669"/>
      <c r="D218" s="740"/>
      <c r="E218" s="740"/>
    </row>
    <row r="219" spans="1:5" s="738" customFormat="1" ht="15.75" x14ac:dyDescent="0.2">
      <c r="A219" s="739"/>
      <c r="C219" s="669"/>
      <c r="D219" s="740"/>
      <c r="E219" s="740"/>
    </row>
    <row r="220" spans="1:5" s="738" customFormat="1" ht="15.75" x14ac:dyDescent="0.2">
      <c r="A220" s="739"/>
      <c r="C220" s="669"/>
      <c r="D220" s="740"/>
      <c r="E220" s="740"/>
    </row>
    <row r="221" spans="1:5" s="738" customFormat="1" ht="15.75" x14ac:dyDescent="0.2">
      <c r="A221" s="739"/>
      <c r="C221" s="669"/>
      <c r="D221" s="740"/>
      <c r="E221" s="740"/>
    </row>
    <row r="222" spans="1:5" s="738" customFormat="1" ht="15.75" x14ac:dyDescent="0.2">
      <c r="A222" s="739"/>
      <c r="C222" s="669"/>
      <c r="D222" s="740"/>
      <c r="E222" s="740"/>
    </row>
    <row r="223" spans="1:5" s="738" customFormat="1" ht="15.75" x14ac:dyDescent="0.2">
      <c r="A223" s="739"/>
      <c r="C223" s="669"/>
      <c r="D223" s="740"/>
      <c r="E223" s="740"/>
    </row>
    <row r="224" spans="1:5" s="738" customFormat="1" ht="15.75" x14ac:dyDescent="0.2">
      <c r="A224" s="739"/>
      <c r="C224" s="669"/>
      <c r="D224" s="740"/>
      <c r="E224" s="740"/>
    </row>
    <row r="225" spans="1:5" s="738" customFormat="1" ht="15.75" x14ac:dyDescent="0.2">
      <c r="A225" s="739"/>
      <c r="C225" s="669"/>
      <c r="D225" s="740"/>
      <c r="E225" s="740"/>
    </row>
    <row r="226" spans="1:5" s="738" customFormat="1" ht="15.75" x14ac:dyDescent="0.2">
      <c r="A226" s="739"/>
      <c r="C226" s="669"/>
      <c r="D226" s="740"/>
      <c r="E226" s="740"/>
    </row>
    <row r="227" spans="1:5" s="738" customFormat="1" ht="15.75" x14ac:dyDescent="0.2">
      <c r="A227" s="739"/>
      <c r="C227" s="669"/>
      <c r="D227" s="740"/>
      <c r="E227" s="740"/>
    </row>
    <row r="228" spans="1:5" s="738" customFormat="1" ht="15.75" x14ac:dyDescent="0.2">
      <c r="A228" s="739"/>
      <c r="C228" s="669"/>
      <c r="D228" s="740"/>
      <c r="E228" s="740"/>
    </row>
    <row r="229" spans="1:5" s="738" customFormat="1" ht="15.75" x14ac:dyDescent="0.2">
      <c r="A229" s="739"/>
      <c r="C229" s="669"/>
      <c r="D229" s="740"/>
      <c r="E229" s="740"/>
    </row>
    <row r="230" spans="1:5" s="738" customFormat="1" ht="15.75" x14ac:dyDescent="0.2">
      <c r="A230" s="739"/>
      <c r="C230" s="669"/>
      <c r="D230" s="740"/>
      <c r="E230" s="740"/>
    </row>
    <row r="231" spans="1:5" s="738" customFormat="1" ht="15.75" x14ac:dyDescent="0.2">
      <c r="A231" s="739"/>
      <c r="C231" s="669"/>
      <c r="D231" s="740"/>
      <c r="E231" s="740"/>
    </row>
    <row r="232" spans="1:5" s="738" customFormat="1" ht="15.75" x14ac:dyDescent="0.2">
      <c r="A232" s="739"/>
      <c r="C232" s="669"/>
      <c r="D232" s="740"/>
      <c r="E232" s="740"/>
    </row>
    <row r="233" spans="1:5" s="738" customFormat="1" ht="15.75" x14ac:dyDescent="0.2">
      <c r="A233" s="739"/>
      <c r="C233" s="669"/>
      <c r="D233" s="740"/>
      <c r="E233" s="740"/>
    </row>
    <row r="234" spans="1:5" s="738" customFormat="1" ht="15.75" x14ac:dyDescent="0.2">
      <c r="A234" s="739"/>
      <c r="C234" s="669"/>
      <c r="D234" s="740"/>
      <c r="E234" s="740"/>
    </row>
    <row r="235" spans="1:5" s="738" customFormat="1" ht="15.75" x14ac:dyDescent="0.2">
      <c r="A235" s="739"/>
      <c r="C235" s="669"/>
      <c r="D235" s="740"/>
      <c r="E235" s="740"/>
    </row>
    <row r="236" spans="1:5" s="738" customFormat="1" ht="15.75" x14ac:dyDescent="0.2">
      <c r="A236" s="739"/>
      <c r="C236" s="669"/>
      <c r="D236" s="740"/>
      <c r="E236" s="740"/>
    </row>
    <row r="237" spans="1:5" s="738" customFormat="1" ht="15.75" x14ac:dyDescent="0.2">
      <c r="A237" s="739"/>
      <c r="C237" s="669"/>
      <c r="D237" s="740"/>
      <c r="E237" s="740"/>
    </row>
    <row r="238" spans="1:5" s="738" customFormat="1" ht="15.75" x14ac:dyDescent="0.2">
      <c r="A238" s="739"/>
      <c r="C238" s="669"/>
      <c r="D238" s="740"/>
      <c r="E238" s="740"/>
    </row>
    <row r="239" spans="1:5" s="738" customFormat="1" ht="15.75" x14ac:dyDescent="0.2">
      <c r="A239" s="739"/>
      <c r="C239" s="669"/>
      <c r="D239" s="740"/>
      <c r="E239" s="740"/>
    </row>
    <row r="240" spans="1:5" s="738" customFormat="1" ht="15.75" x14ac:dyDescent="0.2">
      <c r="A240" s="739"/>
      <c r="C240" s="669"/>
      <c r="D240" s="740"/>
      <c r="E240" s="740"/>
    </row>
    <row r="241" spans="1:5" s="738" customFormat="1" ht="15.75" x14ac:dyDescent="0.2">
      <c r="A241" s="739"/>
      <c r="C241" s="669"/>
      <c r="D241" s="740"/>
      <c r="E241" s="740"/>
    </row>
    <row r="242" spans="1:5" s="738" customFormat="1" ht="15.75" x14ac:dyDescent="0.2">
      <c r="A242" s="739"/>
      <c r="C242" s="669"/>
      <c r="D242" s="740"/>
      <c r="E242" s="740"/>
    </row>
    <row r="243" spans="1:5" s="738" customFormat="1" ht="15.75" x14ac:dyDescent="0.2">
      <c r="A243" s="739"/>
      <c r="C243" s="669"/>
      <c r="D243" s="740"/>
      <c r="E243" s="740"/>
    </row>
    <row r="244" spans="1:5" s="738" customFormat="1" ht="15.75" x14ac:dyDescent="0.2">
      <c r="A244" s="739"/>
      <c r="C244" s="669"/>
      <c r="D244" s="740"/>
      <c r="E244" s="740"/>
    </row>
    <row r="245" spans="1:5" s="738" customFormat="1" ht="15.75" x14ac:dyDescent="0.2">
      <c r="A245" s="739"/>
      <c r="C245" s="669"/>
      <c r="D245" s="740"/>
      <c r="E245" s="740"/>
    </row>
    <row r="246" spans="1:5" s="738" customFormat="1" ht="15.75" x14ac:dyDescent="0.2">
      <c r="A246" s="739"/>
      <c r="C246" s="669"/>
      <c r="D246" s="740"/>
      <c r="E246" s="740"/>
    </row>
    <row r="247" spans="1:5" s="738" customFormat="1" ht="15.75" x14ac:dyDescent="0.2">
      <c r="A247" s="739"/>
      <c r="C247" s="669"/>
      <c r="D247" s="740"/>
      <c r="E247" s="740"/>
    </row>
    <row r="248" spans="1:5" s="738" customFormat="1" ht="15.75" x14ac:dyDescent="0.2">
      <c r="A248" s="739"/>
      <c r="C248" s="669"/>
      <c r="D248" s="740"/>
      <c r="E248" s="740"/>
    </row>
    <row r="249" spans="1:5" s="738" customFormat="1" ht="15.75" x14ac:dyDescent="0.2">
      <c r="A249" s="739"/>
      <c r="C249" s="669"/>
      <c r="D249" s="740"/>
      <c r="E249" s="740"/>
    </row>
    <row r="250" spans="1:5" s="738" customFormat="1" ht="15.75" x14ac:dyDescent="0.2">
      <c r="A250" s="739"/>
      <c r="C250" s="669"/>
      <c r="D250" s="740"/>
      <c r="E250" s="740"/>
    </row>
    <row r="251" spans="1:5" s="738" customFormat="1" ht="15.75" x14ac:dyDescent="0.2">
      <c r="A251" s="739"/>
      <c r="C251" s="669"/>
      <c r="D251" s="740"/>
      <c r="E251" s="740"/>
    </row>
    <row r="252" spans="1:5" s="738" customFormat="1" ht="15.75" x14ac:dyDescent="0.2">
      <c r="A252" s="739"/>
      <c r="C252" s="669"/>
      <c r="D252" s="740"/>
      <c r="E252" s="740"/>
    </row>
    <row r="253" spans="1:5" s="738" customFormat="1" ht="15.75" x14ac:dyDescent="0.2">
      <c r="A253" s="739"/>
      <c r="C253" s="669"/>
      <c r="D253" s="740"/>
      <c r="E253" s="740"/>
    </row>
    <row r="254" spans="1:5" s="738" customFormat="1" ht="15.75" x14ac:dyDescent="0.2">
      <c r="A254" s="739"/>
      <c r="C254" s="669"/>
      <c r="D254" s="740"/>
      <c r="E254" s="740"/>
    </row>
    <row r="255" spans="1:5" s="738" customFormat="1" ht="15.75" x14ac:dyDescent="0.2">
      <c r="A255" s="739"/>
      <c r="C255" s="669"/>
      <c r="D255" s="740"/>
      <c r="E255" s="740"/>
    </row>
    <row r="256" spans="1:5" s="738" customFormat="1" ht="15.75" x14ac:dyDescent="0.2">
      <c r="A256" s="739"/>
      <c r="C256" s="669"/>
      <c r="D256" s="740"/>
      <c r="E256" s="740"/>
    </row>
    <row r="257" spans="1:5" s="738" customFormat="1" ht="15.75" x14ac:dyDescent="0.2">
      <c r="A257" s="739"/>
      <c r="C257" s="669"/>
      <c r="D257" s="740"/>
      <c r="E257" s="740"/>
    </row>
    <row r="258" spans="1:5" s="738" customFormat="1" ht="15.75" x14ac:dyDescent="0.2">
      <c r="A258" s="739"/>
      <c r="C258" s="669"/>
      <c r="D258" s="740"/>
      <c r="E258" s="740"/>
    </row>
    <row r="259" spans="1:5" s="738" customFormat="1" ht="15.75" x14ac:dyDescent="0.2">
      <c r="A259" s="739"/>
      <c r="C259" s="669"/>
      <c r="D259" s="740"/>
      <c r="E259" s="740"/>
    </row>
    <row r="260" spans="1:5" s="738" customFormat="1" ht="15.75" x14ac:dyDescent="0.2">
      <c r="A260" s="739"/>
      <c r="C260" s="669"/>
      <c r="D260" s="740"/>
      <c r="E260" s="740"/>
    </row>
    <row r="261" spans="1:5" s="738" customFormat="1" ht="15.75" x14ac:dyDescent="0.2">
      <c r="A261" s="739"/>
      <c r="C261" s="669"/>
      <c r="D261" s="740"/>
      <c r="E261" s="740"/>
    </row>
    <row r="262" spans="1:5" s="738" customFormat="1" ht="15.75" x14ac:dyDescent="0.2">
      <c r="A262" s="739"/>
      <c r="C262" s="669"/>
      <c r="D262" s="740"/>
      <c r="E262" s="740"/>
    </row>
    <row r="263" spans="1:5" s="738" customFormat="1" ht="15.75" x14ac:dyDescent="0.2">
      <c r="A263" s="739"/>
      <c r="C263" s="669"/>
      <c r="D263" s="740"/>
      <c r="E263" s="740"/>
    </row>
    <row r="264" spans="1:5" s="738" customFormat="1" ht="15.75" x14ac:dyDescent="0.2">
      <c r="A264" s="739"/>
      <c r="C264" s="669"/>
      <c r="D264" s="740"/>
      <c r="E264" s="740"/>
    </row>
    <row r="265" spans="1:5" s="738" customFormat="1" ht="15.75" x14ac:dyDescent="0.2">
      <c r="A265" s="739"/>
      <c r="C265" s="669"/>
      <c r="D265" s="740"/>
      <c r="E265" s="740"/>
    </row>
    <row r="266" spans="1:5" s="738" customFormat="1" ht="15.75" x14ac:dyDescent="0.2">
      <c r="A266" s="739"/>
      <c r="C266" s="669"/>
      <c r="D266" s="740"/>
      <c r="E266" s="740"/>
    </row>
    <row r="267" spans="1:5" s="738" customFormat="1" ht="15.75" x14ac:dyDescent="0.2">
      <c r="A267" s="739"/>
      <c r="C267" s="669"/>
      <c r="D267" s="740"/>
      <c r="E267" s="740"/>
    </row>
    <row r="268" spans="1:5" s="738" customFormat="1" ht="15.75" x14ac:dyDescent="0.2">
      <c r="A268" s="739"/>
      <c r="C268" s="669"/>
      <c r="D268" s="740"/>
      <c r="E268" s="740"/>
    </row>
    <row r="269" spans="1:5" s="738" customFormat="1" ht="15.75" x14ac:dyDescent="0.2">
      <c r="A269" s="739"/>
      <c r="C269" s="669"/>
      <c r="D269" s="740"/>
      <c r="E269" s="740"/>
    </row>
    <row r="270" spans="1:5" s="738" customFormat="1" ht="15.75" x14ac:dyDescent="0.2">
      <c r="A270" s="739"/>
      <c r="C270" s="669"/>
      <c r="D270" s="740"/>
      <c r="E270" s="740"/>
    </row>
    <row r="271" spans="1:5" s="738" customFormat="1" ht="15.75" x14ac:dyDescent="0.2">
      <c r="A271" s="739"/>
      <c r="C271" s="669"/>
      <c r="D271" s="740"/>
      <c r="E271" s="740"/>
    </row>
    <row r="272" spans="1:5" s="738" customFormat="1" ht="15.75" x14ac:dyDescent="0.2">
      <c r="A272" s="739"/>
      <c r="C272" s="669"/>
      <c r="D272" s="740"/>
      <c r="E272" s="740"/>
    </row>
    <row r="273" spans="1:5" s="738" customFormat="1" ht="15.75" x14ac:dyDescent="0.2">
      <c r="A273" s="739"/>
      <c r="C273" s="669"/>
      <c r="D273" s="740"/>
      <c r="E273" s="740"/>
    </row>
    <row r="274" spans="1:5" s="738" customFormat="1" ht="15.75" x14ac:dyDescent="0.2">
      <c r="A274" s="739"/>
      <c r="C274" s="669"/>
      <c r="D274" s="740"/>
      <c r="E274" s="740"/>
    </row>
    <row r="275" spans="1:5" s="738" customFormat="1" ht="15.75" x14ac:dyDescent="0.2">
      <c r="A275" s="739"/>
      <c r="C275" s="669"/>
      <c r="D275" s="740"/>
      <c r="E275" s="740"/>
    </row>
    <row r="276" spans="1:5" s="738" customFormat="1" ht="15.75" x14ac:dyDescent="0.2">
      <c r="A276" s="739"/>
      <c r="C276" s="669"/>
      <c r="D276" s="740"/>
      <c r="E276" s="740"/>
    </row>
    <row r="277" spans="1:5" s="738" customFormat="1" ht="15.75" x14ac:dyDescent="0.2">
      <c r="A277" s="739"/>
      <c r="C277" s="669"/>
      <c r="D277" s="740"/>
      <c r="E277" s="740"/>
    </row>
    <row r="278" spans="1:5" s="738" customFormat="1" ht="15.75" x14ac:dyDescent="0.2">
      <c r="A278" s="739"/>
      <c r="C278" s="669"/>
      <c r="D278" s="740"/>
      <c r="E278" s="740"/>
    </row>
    <row r="279" spans="1:5" s="738" customFormat="1" ht="15.75" x14ac:dyDescent="0.2">
      <c r="A279" s="739"/>
      <c r="C279" s="669"/>
      <c r="D279" s="740"/>
      <c r="E279" s="740"/>
    </row>
    <row r="280" spans="1:5" s="738" customFormat="1" ht="15.75" x14ac:dyDescent="0.2">
      <c r="A280" s="739"/>
      <c r="C280" s="669"/>
      <c r="D280" s="740"/>
      <c r="E280" s="740"/>
    </row>
    <row r="281" spans="1:5" s="738" customFormat="1" ht="15.75" x14ac:dyDescent="0.2">
      <c r="A281" s="739"/>
      <c r="C281" s="669"/>
      <c r="D281" s="740"/>
      <c r="E281" s="740"/>
    </row>
    <row r="282" spans="1:5" s="738" customFormat="1" ht="15.75" x14ac:dyDescent="0.2">
      <c r="A282" s="739"/>
      <c r="C282" s="669"/>
      <c r="D282" s="740"/>
      <c r="E282" s="740"/>
    </row>
    <row r="283" spans="1:5" s="738" customFormat="1" ht="15.75" x14ac:dyDescent="0.2">
      <c r="A283" s="739"/>
      <c r="C283" s="669"/>
      <c r="D283" s="740"/>
      <c r="E283" s="740"/>
    </row>
    <row r="284" spans="1:5" s="738" customFormat="1" ht="15.75" x14ac:dyDescent="0.2">
      <c r="A284" s="739"/>
      <c r="C284" s="669"/>
      <c r="D284" s="740"/>
      <c r="E284" s="740"/>
    </row>
    <row r="285" spans="1:5" s="738" customFormat="1" ht="15.75" x14ac:dyDescent="0.2">
      <c r="A285" s="739"/>
      <c r="C285" s="669"/>
      <c r="D285" s="740"/>
      <c r="E285" s="740"/>
    </row>
    <row r="286" spans="1:5" s="738" customFormat="1" ht="15.75" x14ac:dyDescent="0.2">
      <c r="A286" s="739"/>
      <c r="C286" s="669"/>
      <c r="D286" s="740"/>
      <c r="E286" s="740"/>
    </row>
    <row r="287" spans="1:5" s="738" customFormat="1" ht="15.75" x14ac:dyDescent="0.2">
      <c r="A287" s="739"/>
      <c r="C287" s="669"/>
      <c r="D287" s="740"/>
      <c r="E287" s="740"/>
    </row>
    <row r="288" spans="1:5" s="738" customFormat="1" ht="15.75" x14ac:dyDescent="0.2">
      <c r="A288" s="739"/>
      <c r="C288" s="669"/>
      <c r="D288" s="740"/>
      <c r="E288" s="740"/>
    </row>
    <row r="289" spans="1:5" s="738" customFormat="1" ht="15.75" x14ac:dyDescent="0.2">
      <c r="A289" s="739"/>
      <c r="C289" s="669"/>
      <c r="D289" s="740"/>
      <c r="E289" s="740"/>
    </row>
    <row r="290" spans="1:5" s="738" customFormat="1" ht="15.75" x14ac:dyDescent="0.2">
      <c r="A290" s="739"/>
      <c r="C290" s="669"/>
      <c r="D290" s="740"/>
      <c r="E290" s="740"/>
    </row>
    <row r="291" spans="1:5" s="738" customFormat="1" ht="15.75" x14ac:dyDescent="0.2">
      <c r="A291" s="739"/>
      <c r="C291" s="669"/>
      <c r="D291" s="740"/>
      <c r="E291" s="740"/>
    </row>
    <row r="292" spans="1:5" s="738" customFormat="1" ht="15.75" x14ac:dyDescent="0.2">
      <c r="A292" s="739"/>
      <c r="C292" s="669"/>
      <c r="D292" s="740"/>
      <c r="E292" s="740"/>
    </row>
    <row r="293" spans="1:5" s="738" customFormat="1" ht="15.75" x14ac:dyDescent="0.2">
      <c r="A293" s="739"/>
      <c r="C293" s="669"/>
      <c r="D293" s="740"/>
      <c r="E293" s="740"/>
    </row>
    <row r="294" spans="1:5" s="738" customFormat="1" ht="15.75" x14ac:dyDescent="0.2">
      <c r="A294" s="739"/>
      <c r="C294" s="669"/>
      <c r="D294" s="740"/>
      <c r="E294" s="740"/>
    </row>
    <row r="295" spans="1:5" s="738" customFormat="1" ht="15.75" x14ac:dyDescent="0.2">
      <c r="A295" s="739"/>
      <c r="C295" s="669"/>
      <c r="D295" s="740"/>
      <c r="E295" s="740"/>
    </row>
    <row r="296" spans="1:5" s="738" customFormat="1" ht="15.75" x14ac:dyDescent="0.2">
      <c r="A296" s="739"/>
      <c r="C296" s="669"/>
      <c r="D296" s="740"/>
      <c r="E296" s="740"/>
    </row>
    <row r="297" spans="1:5" s="738" customFormat="1" ht="15.75" x14ac:dyDescent="0.2">
      <c r="A297" s="739"/>
      <c r="C297" s="669"/>
      <c r="D297" s="740"/>
      <c r="E297" s="740"/>
    </row>
    <row r="298" spans="1:5" s="738" customFormat="1" ht="15.75" x14ac:dyDescent="0.2">
      <c r="A298" s="739"/>
      <c r="C298" s="669"/>
      <c r="D298" s="740"/>
      <c r="E298" s="740"/>
    </row>
    <row r="299" spans="1:5" s="738" customFormat="1" ht="15.75" x14ac:dyDescent="0.2">
      <c r="A299" s="739"/>
      <c r="C299" s="669"/>
      <c r="D299" s="740"/>
      <c r="E299" s="740"/>
    </row>
    <row r="300" spans="1:5" s="738" customFormat="1" ht="15.75" x14ac:dyDescent="0.2">
      <c r="A300" s="739"/>
      <c r="C300" s="669"/>
      <c r="D300" s="740"/>
      <c r="E300" s="740"/>
    </row>
    <row r="301" spans="1:5" s="738" customFormat="1" ht="15.75" x14ac:dyDescent="0.2">
      <c r="A301" s="739"/>
      <c r="C301" s="669"/>
      <c r="D301" s="740"/>
      <c r="E301" s="740"/>
    </row>
    <row r="302" spans="1:5" s="738" customFormat="1" ht="15.75" x14ac:dyDescent="0.2">
      <c r="A302" s="739"/>
      <c r="C302" s="669"/>
      <c r="D302" s="740"/>
      <c r="E302" s="740"/>
    </row>
    <row r="303" spans="1:5" s="738" customFormat="1" ht="15.75" x14ac:dyDescent="0.2">
      <c r="A303" s="739"/>
      <c r="C303" s="669"/>
      <c r="D303" s="740"/>
      <c r="E303" s="740"/>
    </row>
    <row r="304" spans="1:5" s="738" customFormat="1" ht="15.75" x14ac:dyDescent="0.2">
      <c r="A304" s="739"/>
      <c r="C304" s="669"/>
      <c r="D304" s="740"/>
      <c r="E304" s="740"/>
    </row>
    <row r="305" spans="1:5" s="738" customFormat="1" ht="15.75" x14ac:dyDescent="0.2">
      <c r="A305" s="739"/>
      <c r="C305" s="669"/>
      <c r="D305" s="740"/>
      <c r="E305" s="740"/>
    </row>
    <row r="306" spans="1:5" s="738" customFormat="1" ht="15.75" x14ac:dyDescent="0.2">
      <c r="A306" s="739"/>
      <c r="C306" s="669"/>
      <c r="D306" s="740"/>
      <c r="E306" s="740"/>
    </row>
    <row r="307" spans="1:5" s="738" customFormat="1" ht="15.75" x14ac:dyDescent="0.2">
      <c r="A307" s="739"/>
      <c r="C307" s="669"/>
      <c r="D307" s="740"/>
      <c r="E307" s="740"/>
    </row>
    <row r="308" spans="1:5" s="738" customFormat="1" ht="15.75" x14ac:dyDescent="0.2">
      <c r="A308" s="739"/>
      <c r="C308" s="669"/>
      <c r="D308" s="740"/>
      <c r="E308" s="740"/>
    </row>
    <row r="309" spans="1:5" s="738" customFormat="1" ht="15.75" x14ac:dyDescent="0.2">
      <c r="A309" s="739"/>
      <c r="C309" s="669"/>
      <c r="D309" s="740"/>
      <c r="E309" s="740"/>
    </row>
    <row r="310" spans="1:5" s="738" customFormat="1" ht="15.75" x14ac:dyDescent="0.2">
      <c r="A310" s="739"/>
      <c r="C310" s="669"/>
      <c r="D310" s="740"/>
      <c r="E310" s="740"/>
    </row>
    <row r="311" spans="1:5" s="738" customFormat="1" ht="15.75" x14ac:dyDescent="0.2">
      <c r="A311" s="739"/>
      <c r="C311" s="669"/>
      <c r="D311" s="740"/>
      <c r="E311" s="740"/>
    </row>
    <row r="312" spans="1:5" s="738" customFormat="1" ht="15.75" x14ac:dyDescent="0.2">
      <c r="A312" s="739"/>
      <c r="C312" s="669"/>
      <c r="D312" s="740"/>
      <c r="E312" s="740"/>
    </row>
    <row r="313" spans="1:5" s="738" customFormat="1" ht="15.75" x14ac:dyDescent="0.2">
      <c r="A313" s="739"/>
      <c r="C313" s="669"/>
      <c r="D313" s="740"/>
      <c r="E313" s="740"/>
    </row>
    <row r="314" spans="1:5" s="738" customFormat="1" ht="15.75" x14ac:dyDescent="0.2">
      <c r="A314" s="739"/>
      <c r="C314" s="669"/>
      <c r="D314" s="740"/>
      <c r="E314" s="740"/>
    </row>
    <row r="315" spans="1:5" s="738" customFormat="1" ht="15.75" x14ac:dyDescent="0.2">
      <c r="A315" s="739"/>
      <c r="C315" s="669"/>
      <c r="D315" s="740"/>
      <c r="E315" s="740"/>
    </row>
    <row r="316" spans="1:5" s="738" customFormat="1" ht="15.75" x14ac:dyDescent="0.2">
      <c r="A316" s="739"/>
      <c r="C316" s="669"/>
      <c r="D316" s="740"/>
      <c r="E316" s="740"/>
    </row>
    <row r="317" spans="1:5" s="738" customFormat="1" ht="15.75" x14ac:dyDescent="0.2">
      <c r="A317" s="739"/>
      <c r="C317" s="669"/>
      <c r="D317" s="740"/>
      <c r="E317" s="740"/>
    </row>
    <row r="318" spans="1:5" s="738" customFormat="1" ht="15.75" x14ac:dyDescent="0.2">
      <c r="A318" s="739"/>
      <c r="C318" s="669"/>
      <c r="D318" s="740"/>
      <c r="E318" s="740"/>
    </row>
    <row r="319" spans="1:5" s="738" customFormat="1" ht="15.75" x14ac:dyDescent="0.2">
      <c r="A319" s="739"/>
      <c r="C319" s="669"/>
      <c r="D319" s="740"/>
      <c r="E319" s="740"/>
    </row>
    <row r="320" spans="1:5" s="738" customFormat="1" ht="15.75" x14ac:dyDescent="0.2">
      <c r="A320" s="739"/>
      <c r="C320" s="669"/>
      <c r="D320" s="740"/>
      <c r="E320" s="740"/>
    </row>
    <row r="321" spans="1:5" s="738" customFormat="1" ht="15.75" x14ac:dyDescent="0.2">
      <c r="A321" s="739"/>
      <c r="C321" s="669"/>
      <c r="D321" s="740"/>
      <c r="E321" s="740"/>
    </row>
    <row r="322" spans="1:5" s="738" customFormat="1" ht="15.75" x14ac:dyDescent="0.2">
      <c r="A322" s="739"/>
      <c r="C322" s="669"/>
      <c r="D322" s="740"/>
      <c r="E322" s="740"/>
    </row>
    <row r="323" spans="1:5" s="738" customFormat="1" ht="15.75" x14ac:dyDescent="0.2">
      <c r="A323" s="739"/>
      <c r="C323" s="669"/>
      <c r="D323" s="740"/>
      <c r="E323" s="740"/>
    </row>
    <row r="324" spans="1:5" s="738" customFormat="1" ht="15.75" x14ac:dyDescent="0.2">
      <c r="A324" s="739"/>
      <c r="C324" s="669"/>
      <c r="D324" s="740"/>
      <c r="E324" s="740"/>
    </row>
    <row r="325" spans="1:5" s="738" customFormat="1" ht="15.75" x14ac:dyDescent="0.2">
      <c r="A325" s="739"/>
      <c r="C325" s="669"/>
      <c r="D325" s="740"/>
      <c r="E325" s="740"/>
    </row>
    <row r="326" spans="1:5" s="738" customFormat="1" ht="15.75" x14ac:dyDescent="0.2">
      <c r="A326" s="739"/>
      <c r="C326" s="669"/>
      <c r="D326" s="740"/>
      <c r="E326" s="740"/>
    </row>
    <row r="327" spans="1:5" s="738" customFormat="1" ht="15.75" x14ac:dyDescent="0.2">
      <c r="A327" s="739"/>
      <c r="C327" s="669"/>
      <c r="D327" s="740"/>
      <c r="E327" s="740"/>
    </row>
    <row r="328" spans="1:5" s="738" customFormat="1" ht="15.75" x14ac:dyDescent="0.2">
      <c r="A328" s="739"/>
      <c r="C328" s="669"/>
      <c r="D328" s="740"/>
      <c r="E328" s="740"/>
    </row>
    <row r="329" spans="1:5" s="738" customFormat="1" ht="15.75" x14ac:dyDescent="0.2">
      <c r="A329" s="739"/>
      <c r="C329" s="669"/>
      <c r="D329" s="740"/>
      <c r="E329" s="740"/>
    </row>
    <row r="330" spans="1:5" s="738" customFormat="1" ht="15.75" x14ac:dyDescent="0.2">
      <c r="A330" s="739"/>
      <c r="C330" s="669"/>
      <c r="D330" s="740"/>
      <c r="E330" s="740"/>
    </row>
    <row r="331" spans="1:5" s="738" customFormat="1" ht="15.75" x14ac:dyDescent="0.2">
      <c r="A331" s="739"/>
      <c r="C331" s="669"/>
      <c r="D331" s="740"/>
      <c r="E331" s="740"/>
    </row>
    <row r="332" spans="1:5" s="738" customFormat="1" ht="15.75" x14ac:dyDescent="0.2">
      <c r="A332" s="739"/>
      <c r="C332" s="669"/>
      <c r="D332" s="740"/>
      <c r="E332" s="740"/>
    </row>
    <row r="333" spans="1:5" s="738" customFormat="1" ht="15.75" x14ac:dyDescent="0.2">
      <c r="A333" s="739"/>
      <c r="C333" s="669"/>
      <c r="D333" s="740"/>
      <c r="E333" s="740"/>
    </row>
    <row r="334" spans="1:5" s="738" customFormat="1" ht="15.75" x14ac:dyDescent="0.2">
      <c r="A334" s="739"/>
      <c r="C334" s="669"/>
      <c r="D334" s="740"/>
      <c r="E334" s="740"/>
    </row>
    <row r="335" spans="1:5" s="738" customFormat="1" ht="15.75" x14ac:dyDescent="0.2">
      <c r="A335" s="739"/>
      <c r="C335" s="669"/>
      <c r="D335" s="740"/>
      <c r="E335" s="740"/>
    </row>
    <row r="336" spans="1:5" s="738" customFormat="1" ht="15.75" x14ac:dyDescent="0.2">
      <c r="A336" s="739"/>
      <c r="C336" s="669"/>
      <c r="D336" s="740"/>
      <c r="E336" s="740"/>
    </row>
    <row r="337" spans="1:5" s="738" customFormat="1" ht="15.75" x14ac:dyDescent="0.2">
      <c r="A337" s="739"/>
      <c r="C337" s="669"/>
      <c r="D337" s="740"/>
      <c r="E337" s="740"/>
    </row>
    <row r="338" spans="1:5" s="738" customFormat="1" ht="15.75" x14ac:dyDescent="0.2">
      <c r="A338" s="739"/>
      <c r="C338" s="669"/>
      <c r="D338" s="740"/>
      <c r="E338" s="740"/>
    </row>
    <row r="339" spans="1:5" s="738" customFormat="1" ht="15.75" x14ac:dyDescent="0.2">
      <c r="A339" s="739"/>
      <c r="C339" s="669"/>
      <c r="D339" s="740"/>
      <c r="E339" s="740"/>
    </row>
    <row r="340" spans="1:5" s="738" customFormat="1" ht="15.75" x14ac:dyDescent="0.2">
      <c r="A340" s="739"/>
      <c r="C340" s="669"/>
      <c r="D340" s="740"/>
      <c r="E340" s="740"/>
    </row>
    <row r="341" spans="1:5" s="738" customFormat="1" ht="15.75" x14ac:dyDescent="0.2">
      <c r="A341" s="739"/>
      <c r="C341" s="669"/>
      <c r="D341" s="740"/>
      <c r="E341" s="740"/>
    </row>
    <row r="342" spans="1:5" s="738" customFormat="1" ht="15.75" x14ac:dyDescent="0.2">
      <c r="A342" s="739"/>
      <c r="C342" s="669"/>
      <c r="D342" s="740"/>
      <c r="E342" s="740"/>
    </row>
    <row r="343" spans="1:5" s="738" customFormat="1" ht="15.75" x14ac:dyDescent="0.2">
      <c r="A343" s="739"/>
      <c r="C343" s="669"/>
      <c r="D343" s="740"/>
      <c r="E343" s="740"/>
    </row>
    <row r="344" spans="1:5" s="738" customFormat="1" ht="15.75" x14ac:dyDescent="0.2">
      <c r="A344" s="739"/>
      <c r="C344" s="669"/>
      <c r="D344" s="740"/>
      <c r="E344" s="740"/>
    </row>
    <row r="345" spans="1:5" s="738" customFormat="1" ht="15.75" x14ac:dyDescent="0.2">
      <c r="A345" s="739"/>
      <c r="C345" s="669"/>
      <c r="D345" s="740"/>
      <c r="E345" s="740"/>
    </row>
    <row r="346" spans="1:5" s="738" customFormat="1" ht="15.75" x14ac:dyDescent="0.2">
      <c r="A346" s="739"/>
      <c r="C346" s="669"/>
      <c r="D346" s="740"/>
      <c r="E346" s="740"/>
    </row>
    <row r="347" spans="1:5" s="738" customFormat="1" ht="15.75" x14ac:dyDescent="0.2">
      <c r="A347" s="739"/>
      <c r="C347" s="669"/>
      <c r="D347" s="740"/>
      <c r="E347" s="740"/>
    </row>
    <row r="348" spans="1:5" s="738" customFormat="1" ht="15.75" x14ac:dyDescent="0.2">
      <c r="A348" s="739"/>
      <c r="C348" s="669"/>
      <c r="D348" s="740"/>
      <c r="E348" s="740"/>
    </row>
    <row r="349" spans="1:5" s="738" customFormat="1" ht="15.75" x14ac:dyDescent="0.2">
      <c r="A349" s="739"/>
      <c r="C349" s="669"/>
      <c r="D349" s="740"/>
      <c r="E349" s="740"/>
    </row>
    <row r="350" spans="1:5" s="738" customFormat="1" ht="15.75" x14ac:dyDescent="0.2">
      <c r="A350" s="739"/>
      <c r="C350" s="669"/>
      <c r="D350" s="740"/>
      <c r="E350" s="740"/>
    </row>
    <row r="351" spans="1:5" s="738" customFormat="1" ht="15.75" x14ac:dyDescent="0.2">
      <c r="A351" s="739"/>
      <c r="C351" s="669"/>
      <c r="D351" s="740"/>
      <c r="E351" s="740"/>
    </row>
    <row r="352" spans="1:5" s="738" customFormat="1" ht="15.75" x14ac:dyDescent="0.2">
      <c r="A352" s="739"/>
      <c r="C352" s="669"/>
      <c r="D352" s="740"/>
      <c r="E352" s="740"/>
    </row>
    <row r="353" spans="1:5" s="738" customFormat="1" ht="15.75" x14ac:dyDescent="0.2">
      <c r="A353" s="739"/>
      <c r="C353" s="669"/>
      <c r="D353" s="740"/>
      <c r="E353" s="740"/>
    </row>
    <row r="354" spans="1:5" s="738" customFormat="1" ht="15.75" x14ac:dyDescent="0.2">
      <c r="A354" s="739"/>
      <c r="C354" s="669"/>
      <c r="D354" s="740"/>
      <c r="E354" s="740"/>
    </row>
    <row r="355" spans="1:5" s="738" customFormat="1" ht="15.75" x14ac:dyDescent="0.2">
      <c r="A355" s="739"/>
      <c r="C355" s="669"/>
      <c r="D355" s="740"/>
      <c r="E355" s="740"/>
    </row>
    <row r="356" spans="1:5" s="738" customFormat="1" ht="15.75" x14ac:dyDescent="0.2">
      <c r="A356" s="739"/>
      <c r="C356" s="669"/>
      <c r="D356" s="740"/>
      <c r="E356" s="740"/>
    </row>
    <row r="357" spans="1:5" s="738" customFormat="1" ht="15.75" x14ac:dyDescent="0.2">
      <c r="A357" s="739"/>
      <c r="C357" s="669"/>
      <c r="D357" s="740"/>
      <c r="E357" s="740"/>
    </row>
    <row r="358" spans="1:5" s="738" customFormat="1" ht="15.75" x14ac:dyDescent="0.2">
      <c r="A358" s="739"/>
      <c r="C358" s="669"/>
      <c r="D358" s="740"/>
      <c r="E358" s="740"/>
    </row>
    <row r="359" spans="1:5" s="738" customFormat="1" ht="15.75" x14ac:dyDescent="0.2">
      <c r="A359" s="739"/>
      <c r="C359" s="669"/>
      <c r="D359" s="740"/>
      <c r="E359" s="740"/>
    </row>
    <row r="360" spans="1:5" s="738" customFormat="1" ht="15.75" x14ac:dyDescent="0.2">
      <c r="A360" s="739"/>
      <c r="C360" s="669"/>
      <c r="D360" s="740"/>
      <c r="E360" s="740"/>
    </row>
    <row r="361" spans="1:5" s="738" customFormat="1" ht="15.75" x14ac:dyDescent="0.2">
      <c r="A361" s="739"/>
      <c r="C361" s="669"/>
      <c r="D361" s="740"/>
      <c r="E361" s="740"/>
    </row>
    <row r="362" spans="1:5" s="738" customFormat="1" ht="15.75" x14ac:dyDescent="0.2">
      <c r="A362" s="739"/>
      <c r="C362" s="669"/>
      <c r="D362" s="740"/>
      <c r="E362" s="740"/>
    </row>
    <row r="363" spans="1:5" s="738" customFormat="1" ht="15.75" x14ac:dyDescent="0.2">
      <c r="A363" s="739"/>
      <c r="C363" s="669"/>
      <c r="D363" s="740"/>
      <c r="E363" s="740"/>
    </row>
    <row r="364" spans="1:5" s="738" customFormat="1" ht="15.75" x14ac:dyDescent="0.2">
      <c r="A364" s="739"/>
      <c r="C364" s="669"/>
      <c r="D364" s="740"/>
      <c r="E364" s="740"/>
    </row>
    <row r="365" spans="1:5" s="738" customFormat="1" ht="15.75" x14ac:dyDescent="0.2">
      <c r="A365" s="739"/>
      <c r="C365" s="669"/>
      <c r="D365" s="740"/>
      <c r="E365" s="740"/>
    </row>
    <row r="366" spans="1:5" s="738" customFormat="1" ht="15.75" x14ac:dyDescent="0.2">
      <c r="A366" s="739"/>
      <c r="C366" s="669"/>
      <c r="D366" s="740"/>
      <c r="E366" s="740"/>
    </row>
    <row r="367" spans="1:5" s="738" customFormat="1" ht="15.75" x14ac:dyDescent="0.2">
      <c r="A367" s="739"/>
      <c r="C367" s="669"/>
      <c r="D367" s="740"/>
      <c r="E367" s="740"/>
    </row>
    <row r="368" spans="1:5" s="738" customFormat="1" ht="15.75" x14ac:dyDescent="0.2">
      <c r="A368" s="739"/>
      <c r="C368" s="669"/>
      <c r="D368" s="740"/>
      <c r="E368" s="740"/>
    </row>
    <row r="369" spans="1:5" s="738" customFormat="1" ht="15.75" x14ac:dyDescent="0.2">
      <c r="A369" s="739"/>
      <c r="C369" s="669"/>
      <c r="D369" s="740"/>
      <c r="E369" s="740"/>
    </row>
    <row r="370" spans="1:5" s="738" customFormat="1" ht="15.75" x14ac:dyDescent="0.2">
      <c r="A370" s="739"/>
      <c r="C370" s="669"/>
      <c r="D370" s="740"/>
      <c r="E370" s="740"/>
    </row>
    <row r="371" spans="1:5" s="738" customFormat="1" ht="15.75" x14ac:dyDescent="0.2">
      <c r="A371" s="739"/>
      <c r="C371" s="669"/>
      <c r="D371" s="740"/>
      <c r="E371" s="740"/>
    </row>
    <row r="372" spans="1:5" s="738" customFormat="1" ht="15.75" x14ac:dyDescent="0.2">
      <c r="A372" s="739"/>
      <c r="C372" s="669"/>
      <c r="D372" s="740"/>
      <c r="E372" s="740"/>
    </row>
    <row r="373" spans="1:5" s="738" customFormat="1" ht="15.75" x14ac:dyDescent="0.2">
      <c r="A373" s="739"/>
      <c r="C373" s="669"/>
      <c r="D373" s="740"/>
      <c r="E373" s="740"/>
    </row>
    <row r="374" spans="1:5" s="738" customFormat="1" ht="15.75" x14ac:dyDescent="0.2">
      <c r="A374" s="739"/>
      <c r="C374" s="669"/>
      <c r="D374" s="740"/>
      <c r="E374" s="740"/>
    </row>
    <row r="375" spans="1:5" s="738" customFormat="1" ht="15.75" x14ac:dyDescent="0.2">
      <c r="A375" s="739"/>
      <c r="C375" s="669"/>
      <c r="D375" s="740"/>
      <c r="E375" s="740"/>
    </row>
    <row r="376" spans="1:5" s="738" customFormat="1" ht="15.75" x14ac:dyDescent="0.2">
      <c r="A376" s="739"/>
      <c r="C376" s="669"/>
      <c r="D376" s="740"/>
      <c r="E376" s="740"/>
    </row>
    <row r="377" spans="1:5" s="738" customFormat="1" ht="15.75" x14ac:dyDescent="0.2">
      <c r="A377" s="739"/>
      <c r="C377" s="669"/>
      <c r="D377" s="740"/>
      <c r="E377" s="740"/>
    </row>
    <row r="378" spans="1:5" s="738" customFormat="1" ht="15.75" x14ac:dyDescent="0.2">
      <c r="A378" s="739"/>
      <c r="C378" s="669"/>
      <c r="D378" s="740"/>
      <c r="E378" s="740"/>
    </row>
    <row r="379" spans="1:5" s="738" customFormat="1" ht="15.75" x14ac:dyDescent="0.2">
      <c r="A379" s="739"/>
      <c r="C379" s="669"/>
      <c r="D379" s="740"/>
      <c r="E379" s="740"/>
    </row>
    <row r="380" spans="1:5" s="738" customFormat="1" ht="15.75" x14ac:dyDescent="0.2">
      <c r="A380" s="739"/>
      <c r="C380" s="669"/>
      <c r="D380" s="740"/>
      <c r="E380" s="740"/>
    </row>
    <row r="381" spans="1:5" s="738" customFormat="1" ht="15.75" x14ac:dyDescent="0.2">
      <c r="A381" s="739"/>
      <c r="C381" s="669"/>
      <c r="D381" s="740"/>
      <c r="E381" s="740"/>
    </row>
    <row r="382" spans="1:5" s="738" customFormat="1" ht="15.75" x14ac:dyDescent="0.2">
      <c r="A382" s="739"/>
      <c r="C382" s="669"/>
      <c r="D382" s="740"/>
      <c r="E382" s="740"/>
    </row>
    <row r="383" spans="1:5" s="738" customFormat="1" ht="15.75" x14ac:dyDescent="0.2">
      <c r="A383" s="739"/>
      <c r="C383" s="669"/>
      <c r="D383" s="740"/>
      <c r="E383" s="740"/>
    </row>
    <row r="384" spans="1:5" s="738" customFormat="1" ht="15.75" x14ac:dyDescent="0.2">
      <c r="A384" s="739"/>
      <c r="C384" s="669"/>
      <c r="D384" s="740"/>
      <c r="E384" s="740"/>
    </row>
    <row r="385" spans="1:5" s="738" customFormat="1" ht="15.75" x14ac:dyDescent="0.2">
      <c r="A385" s="739"/>
      <c r="C385" s="669"/>
      <c r="D385" s="740"/>
      <c r="E385" s="740"/>
    </row>
    <row r="386" spans="1:5" s="738" customFormat="1" ht="15.75" x14ac:dyDescent="0.2">
      <c r="A386" s="739"/>
      <c r="C386" s="669"/>
      <c r="D386" s="740"/>
      <c r="E386" s="740"/>
    </row>
    <row r="387" spans="1:5" s="738" customFormat="1" ht="15.75" x14ac:dyDescent="0.2">
      <c r="A387" s="739"/>
      <c r="C387" s="669"/>
      <c r="D387" s="740"/>
      <c r="E387" s="740"/>
    </row>
    <row r="388" spans="1:5" s="738" customFormat="1" ht="15.75" x14ac:dyDescent="0.2">
      <c r="A388" s="739"/>
      <c r="C388" s="669"/>
      <c r="D388" s="740"/>
      <c r="E388" s="740"/>
    </row>
    <row r="389" spans="1:5" s="738" customFormat="1" ht="15.75" x14ac:dyDescent="0.2">
      <c r="A389" s="739"/>
      <c r="C389" s="669"/>
      <c r="D389" s="740"/>
      <c r="E389" s="740"/>
    </row>
    <row r="390" spans="1:5" s="738" customFormat="1" ht="15.75" x14ac:dyDescent="0.2">
      <c r="A390" s="739"/>
      <c r="C390" s="669"/>
      <c r="D390" s="740"/>
      <c r="E390" s="740"/>
    </row>
    <row r="391" spans="1:5" s="738" customFormat="1" ht="15.75" x14ac:dyDescent="0.2">
      <c r="A391" s="739"/>
      <c r="C391" s="669"/>
      <c r="D391" s="740"/>
      <c r="E391" s="740"/>
    </row>
    <row r="392" spans="1:5" s="738" customFormat="1" ht="15.75" x14ac:dyDescent="0.2">
      <c r="A392" s="739"/>
      <c r="C392" s="669"/>
      <c r="D392" s="740"/>
      <c r="E392" s="740"/>
    </row>
    <row r="393" spans="1:5" s="738" customFormat="1" ht="15.75" x14ac:dyDescent="0.2">
      <c r="A393" s="739"/>
      <c r="C393" s="669"/>
      <c r="D393" s="740"/>
      <c r="E393" s="740"/>
    </row>
    <row r="394" spans="1:5" s="738" customFormat="1" ht="15.75" x14ac:dyDescent="0.2">
      <c r="A394" s="739"/>
      <c r="C394" s="669"/>
      <c r="D394" s="740"/>
      <c r="E394" s="740"/>
    </row>
    <row r="395" spans="1:5" s="738" customFormat="1" ht="15.75" x14ac:dyDescent="0.2">
      <c r="A395" s="739"/>
      <c r="C395" s="669"/>
      <c r="D395" s="740"/>
      <c r="E395" s="740"/>
    </row>
    <row r="396" spans="1:5" s="738" customFormat="1" ht="15.75" x14ac:dyDescent="0.2">
      <c r="A396" s="739"/>
      <c r="C396" s="669"/>
      <c r="D396" s="740"/>
      <c r="E396" s="740"/>
    </row>
    <row r="397" spans="1:5" s="738" customFormat="1" ht="15.75" x14ac:dyDescent="0.2">
      <c r="A397" s="739"/>
      <c r="C397" s="669"/>
      <c r="D397" s="740"/>
      <c r="E397" s="740"/>
    </row>
    <row r="398" spans="1:5" s="738" customFormat="1" ht="15.75" x14ac:dyDescent="0.2">
      <c r="A398" s="739"/>
      <c r="C398" s="669"/>
      <c r="D398" s="740"/>
      <c r="E398" s="740"/>
    </row>
    <row r="399" spans="1:5" s="738" customFormat="1" ht="15.75" x14ac:dyDescent="0.2">
      <c r="A399" s="739"/>
      <c r="C399" s="669"/>
      <c r="D399" s="740"/>
      <c r="E399" s="740"/>
    </row>
    <row r="400" spans="1:5" s="738" customFormat="1" ht="15.75" x14ac:dyDescent="0.2">
      <c r="A400" s="739"/>
      <c r="C400" s="669"/>
      <c r="D400" s="740"/>
      <c r="E400" s="740"/>
    </row>
    <row r="401" spans="1:5" s="738" customFormat="1" ht="15.75" x14ac:dyDescent="0.2">
      <c r="A401" s="739"/>
      <c r="C401" s="669"/>
      <c r="D401" s="740"/>
      <c r="E401" s="740"/>
    </row>
    <row r="402" spans="1:5" s="738" customFormat="1" ht="15.75" x14ac:dyDescent="0.2">
      <c r="A402" s="739"/>
      <c r="C402" s="669"/>
      <c r="D402" s="740"/>
      <c r="E402" s="740"/>
    </row>
    <row r="403" spans="1:5" s="738" customFormat="1" ht="15.75" x14ac:dyDescent="0.2">
      <c r="A403" s="739"/>
      <c r="C403" s="669"/>
      <c r="D403" s="740"/>
      <c r="E403" s="740"/>
    </row>
    <row r="404" spans="1:5" s="738" customFormat="1" ht="15.75" x14ac:dyDescent="0.2">
      <c r="A404" s="739"/>
      <c r="C404" s="669"/>
      <c r="D404" s="740"/>
      <c r="E404" s="740"/>
    </row>
    <row r="405" spans="1:5" s="738" customFormat="1" ht="15.75" x14ac:dyDescent="0.2">
      <c r="A405" s="739"/>
      <c r="C405" s="669"/>
      <c r="D405" s="740"/>
      <c r="E405" s="740"/>
    </row>
    <row r="406" spans="1:5" s="738" customFormat="1" ht="15.75" x14ac:dyDescent="0.2">
      <c r="A406" s="739"/>
      <c r="C406" s="669"/>
      <c r="D406" s="740"/>
      <c r="E406" s="740"/>
    </row>
    <row r="407" spans="1:5" s="738" customFormat="1" ht="15.75" x14ac:dyDescent="0.2">
      <c r="A407" s="739"/>
      <c r="C407" s="669"/>
      <c r="D407" s="740"/>
      <c r="E407" s="740"/>
    </row>
    <row r="408" spans="1:5" s="738" customFormat="1" ht="15.75" x14ac:dyDescent="0.2">
      <c r="A408" s="739"/>
      <c r="C408" s="669"/>
      <c r="D408" s="740"/>
      <c r="E408" s="740"/>
    </row>
    <row r="409" spans="1:5" s="738" customFormat="1" ht="15.75" x14ac:dyDescent="0.2">
      <c r="A409" s="739"/>
      <c r="C409" s="669"/>
      <c r="D409" s="740"/>
      <c r="E409" s="740"/>
    </row>
    <row r="410" spans="1:5" s="738" customFormat="1" ht="15.75" x14ac:dyDescent="0.2">
      <c r="A410" s="739"/>
      <c r="C410" s="669"/>
      <c r="D410" s="740"/>
      <c r="E410" s="740"/>
    </row>
    <row r="411" spans="1:5" s="738" customFormat="1" ht="15.75" x14ac:dyDescent="0.2">
      <c r="A411" s="739"/>
      <c r="C411" s="669"/>
      <c r="D411" s="740"/>
      <c r="E411" s="740"/>
    </row>
    <row r="412" spans="1:5" s="738" customFormat="1" ht="15.75" x14ac:dyDescent="0.2">
      <c r="A412" s="739"/>
      <c r="C412" s="669"/>
      <c r="D412" s="740"/>
      <c r="E412" s="740"/>
    </row>
    <row r="413" spans="1:5" s="738" customFormat="1" ht="15.75" x14ac:dyDescent="0.2">
      <c r="A413" s="739"/>
      <c r="C413" s="669"/>
      <c r="D413" s="740"/>
      <c r="E413" s="740"/>
    </row>
    <row r="414" spans="1:5" s="738" customFormat="1" ht="15.75" x14ac:dyDescent="0.2">
      <c r="A414" s="739"/>
      <c r="C414" s="669"/>
      <c r="D414" s="740"/>
      <c r="E414" s="740"/>
    </row>
    <row r="415" spans="1:5" s="738" customFormat="1" ht="15.75" x14ac:dyDescent="0.2">
      <c r="A415" s="739"/>
      <c r="C415" s="669"/>
      <c r="D415" s="740"/>
      <c r="E415" s="740"/>
    </row>
    <row r="416" spans="1:5" s="738" customFormat="1" ht="15.75" x14ac:dyDescent="0.2">
      <c r="A416" s="739"/>
      <c r="C416" s="669"/>
      <c r="D416" s="740"/>
      <c r="E416" s="740"/>
    </row>
    <row r="417" spans="1:5" s="738" customFormat="1" ht="15.75" x14ac:dyDescent="0.2">
      <c r="A417" s="739"/>
      <c r="C417" s="669"/>
      <c r="D417" s="740"/>
      <c r="E417" s="740"/>
    </row>
    <row r="418" spans="1:5" s="738" customFormat="1" ht="15.75" x14ac:dyDescent="0.2">
      <c r="A418" s="739"/>
      <c r="C418" s="669"/>
      <c r="D418" s="740"/>
      <c r="E418" s="740"/>
    </row>
    <row r="419" spans="1:5" s="738" customFormat="1" ht="15.75" x14ac:dyDescent="0.2">
      <c r="A419" s="739"/>
      <c r="C419" s="669"/>
      <c r="D419" s="740"/>
      <c r="E419" s="740"/>
    </row>
    <row r="420" spans="1:5" s="738" customFormat="1" ht="15.75" x14ac:dyDescent="0.2">
      <c r="A420" s="739"/>
      <c r="C420" s="669"/>
      <c r="D420" s="740"/>
      <c r="E420" s="740"/>
    </row>
    <row r="421" spans="1:5" s="738" customFormat="1" ht="15.75" x14ac:dyDescent="0.2">
      <c r="A421" s="739"/>
      <c r="C421" s="669"/>
      <c r="D421" s="740"/>
      <c r="E421" s="740"/>
    </row>
    <row r="422" spans="1:5" s="738" customFormat="1" ht="15.75" x14ac:dyDescent="0.2">
      <c r="A422" s="739"/>
      <c r="C422" s="669"/>
      <c r="D422" s="740"/>
      <c r="E422" s="74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I27"/>
  <sheetViews>
    <sheetView showGridLines="0" tabSelected="1" zoomScale="80" zoomScaleNormal="80" zoomScaleSheetLayoutView="80" workbookViewId="0"/>
  </sheetViews>
  <sheetFormatPr defaultRowHeight="15" x14ac:dyDescent="0.25"/>
  <cols>
    <col min="1" max="1" width="1.42578125" customWidth="1"/>
    <col min="2" max="2" width="1.85546875" customWidth="1"/>
    <col min="5" max="5" width="10.28515625" customWidth="1"/>
    <col min="6" max="6" width="73.140625" customWidth="1"/>
    <col min="8" max="8" width="8.5703125" customWidth="1"/>
    <col min="9" max="9" width="1.5703125" customWidth="1"/>
    <col min="10" max="10" width="1.42578125" customWidth="1"/>
    <col min="15" max="15" width="31" customWidth="1"/>
  </cols>
  <sheetData>
    <row r="2" spans="2:9" x14ac:dyDescent="0.25">
      <c r="B2" s="168"/>
      <c r="C2" s="308"/>
      <c r="D2" s="308"/>
      <c r="E2" s="308"/>
      <c r="F2" s="308"/>
      <c r="G2" s="308"/>
      <c r="H2" s="308"/>
      <c r="I2" s="153"/>
    </row>
    <row r="3" spans="2:9" x14ac:dyDescent="0.25">
      <c r="B3" s="156"/>
      <c r="I3" s="155"/>
    </row>
    <row r="4" spans="2:9" x14ac:dyDescent="0.25">
      <c r="B4" s="156"/>
      <c r="C4" s="169"/>
      <c r="D4" s="169"/>
      <c r="E4" s="169"/>
      <c r="F4" s="169"/>
      <c r="G4" s="169"/>
      <c r="H4" s="169"/>
      <c r="I4" s="155"/>
    </row>
    <row r="5" spans="2:9" ht="31.5" x14ac:dyDescent="0.5">
      <c r="B5" s="156"/>
      <c r="C5" s="170" t="s">
        <v>0</v>
      </c>
      <c r="D5" s="169"/>
      <c r="E5" s="169"/>
      <c r="F5" s="169"/>
      <c r="G5" s="169"/>
      <c r="H5" s="169"/>
      <c r="I5" s="155"/>
    </row>
    <row r="6" spans="2:9" x14ac:dyDescent="0.25">
      <c r="B6" s="156"/>
      <c r="C6" s="169"/>
      <c r="D6" s="169"/>
      <c r="E6" s="169"/>
      <c r="F6" s="169"/>
      <c r="G6" s="169"/>
      <c r="H6" s="169"/>
      <c r="I6" s="155"/>
    </row>
    <row r="7" spans="2:9" x14ac:dyDescent="0.25">
      <c r="B7" s="156"/>
      <c r="I7" s="155"/>
    </row>
    <row r="8" spans="2:9" ht="31.5" x14ac:dyDescent="0.5">
      <c r="B8" s="156"/>
      <c r="C8" s="614" t="s">
        <v>1</v>
      </c>
      <c r="I8" s="155"/>
    </row>
    <row r="9" spans="2:9" ht="31.5" x14ac:dyDescent="0.25">
      <c r="B9" s="156"/>
      <c r="C9" s="318" t="s">
        <v>1049</v>
      </c>
      <c r="I9" s="155"/>
    </row>
    <row r="10" spans="2:9" ht="31.5" x14ac:dyDescent="0.25">
      <c r="B10" s="156"/>
      <c r="C10" s="318" t="s">
        <v>1050</v>
      </c>
      <c r="I10" s="155"/>
    </row>
    <row r="11" spans="2:9" ht="31.5" x14ac:dyDescent="0.25">
      <c r="B11" s="156"/>
      <c r="C11" s="318" t="s">
        <v>1051</v>
      </c>
      <c r="I11" s="155"/>
    </row>
    <row r="12" spans="2:9" ht="31.5" x14ac:dyDescent="0.5">
      <c r="B12" s="156"/>
      <c r="C12" s="171" t="s">
        <v>1052</v>
      </c>
      <c r="D12" s="172"/>
      <c r="I12" s="155"/>
    </row>
    <row r="13" spans="2:9" ht="31.5" x14ac:dyDescent="0.5">
      <c r="B13" s="156"/>
      <c r="D13" s="172"/>
      <c r="I13" s="155"/>
    </row>
    <row r="14" spans="2:9" ht="31.5" x14ac:dyDescent="0.5">
      <c r="B14" s="156"/>
      <c r="C14" s="318" t="s">
        <v>1168</v>
      </c>
      <c r="D14" s="172"/>
      <c r="I14" s="155"/>
    </row>
    <row r="15" spans="2:9" ht="31.5" x14ac:dyDescent="0.5">
      <c r="B15" s="156"/>
      <c r="C15" s="1044"/>
      <c r="D15" s="172"/>
      <c r="I15" s="155"/>
    </row>
    <row r="16" spans="2:9" ht="31.5" x14ac:dyDescent="0.5">
      <c r="B16" s="156"/>
      <c r="C16" s="1044"/>
      <c r="D16" s="172"/>
      <c r="I16" s="155"/>
    </row>
    <row r="17" spans="2:9" ht="31.5" x14ac:dyDescent="0.5">
      <c r="B17" s="156"/>
      <c r="C17" s="1044"/>
      <c r="D17" s="172"/>
      <c r="I17" s="155"/>
    </row>
    <row r="18" spans="2:9" x14ac:dyDescent="0.25">
      <c r="B18" s="156"/>
      <c r="I18" s="155"/>
    </row>
    <row r="19" spans="2:9" x14ac:dyDescent="0.25">
      <c r="B19" s="156"/>
      <c r="C19" s="146" t="s">
        <v>2</v>
      </c>
      <c r="D19" s="192"/>
      <c r="E19" s="164"/>
      <c r="F19" s="230" t="s">
        <v>1053</v>
      </c>
      <c r="G19" s="164"/>
      <c r="I19" s="155"/>
    </row>
    <row r="20" spans="2:9" x14ac:dyDescent="0.25">
      <c r="B20" s="156"/>
      <c r="C20" s="146" t="s">
        <v>3</v>
      </c>
      <c r="D20" s="192"/>
      <c r="E20" s="164"/>
      <c r="F20" s="230" t="s">
        <v>1054</v>
      </c>
      <c r="G20" s="164"/>
      <c r="I20" s="155"/>
    </row>
    <row r="21" spans="2:9" x14ac:dyDescent="0.25">
      <c r="B21" s="156"/>
      <c r="C21" s="146" t="s">
        <v>4</v>
      </c>
      <c r="D21" s="192"/>
      <c r="E21" s="164"/>
      <c r="F21" s="230" t="s">
        <v>1061</v>
      </c>
      <c r="G21" s="164"/>
      <c r="I21" s="155"/>
    </row>
    <row r="22" spans="2:9" x14ac:dyDescent="0.25">
      <c r="B22" s="156"/>
      <c r="C22" s="146" t="s">
        <v>5</v>
      </c>
      <c r="D22" s="192"/>
      <c r="E22" s="164"/>
      <c r="F22" s="230" t="s">
        <v>1062</v>
      </c>
      <c r="G22" s="164"/>
      <c r="I22" s="155"/>
    </row>
    <row r="23" spans="2:9" x14ac:dyDescent="0.25">
      <c r="B23" s="156"/>
      <c r="C23" s="230" t="s">
        <v>6</v>
      </c>
      <c r="D23" s="192"/>
      <c r="E23" s="164"/>
      <c r="F23" s="230" t="s">
        <v>1063</v>
      </c>
      <c r="G23" s="164"/>
      <c r="I23" s="155"/>
    </row>
    <row r="24" spans="2:9" x14ac:dyDescent="0.25">
      <c r="B24" s="156"/>
      <c r="C24" s="146" t="s">
        <v>7</v>
      </c>
      <c r="D24" s="192"/>
      <c r="E24" s="164"/>
      <c r="F24" s="230" t="s">
        <v>1064</v>
      </c>
      <c r="G24" s="164"/>
      <c r="I24" s="155"/>
    </row>
    <row r="25" spans="2:9" x14ac:dyDescent="0.25">
      <c r="B25" s="156"/>
      <c r="C25" s="146" t="s">
        <v>8</v>
      </c>
      <c r="D25" s="192"/>
      <c r="E25" s="164"/>
      <c r="F25" s="230" t="s">
        <v>1065</v>
      </c>
      <c r="G25" s="164"/>
      <c r="I25" s="155"/>
    </row>
    <row r="26" spans="2:9" x14ac:dyDescent="0.25">
      <c r="B26" s="156"/>
      <c r="C26" s="146" t="s">
        <v>9</v>
      </c>
      <c r="D26" s="192"/>
      <c r="E26" s="164"/>
      <c r="F26" s="230" t="s">
        <v>1055</v>
      </c>
      <c r="G26" s="164"/>
      <c r="I26" s="155"/>
    </row>
    <row r="27" spans="2:9" x14ac:dyDescent="0.25">
      <c r="B27" s="157"/>
      <c r="C27" s="158"/>
      <c r="D27" s="158"/>
      <c r="E27" s="158"/>
      <c r="F27" s="158"/>
      <c r="G27" s="158"/>
      <c r="H27" s="158"/>
      <c r="I27" s="159"/>
    </row>
  </sheetData>
  <sheetProtection algorithmName="SHA-512" hashValue="arKRGyu1B6a/sCwFf6iTS+Tu9gIKEuVcY7K32co8ucf9cOaiDHANGRNjKI/srhkX69ELfuJH6JUPCeJj+U3Irg==" saltValue="bAlqkYVOJWDS4wWms8e+L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55" t="s">
        <v>10</v>
      </c>
      <c r="C2" s="353"/>
      <c r="D2" s="353"/>
      <c r="E2" s="353"/>
      <c r="F2" s="353"/>
      <c r="G2" s="353"/>
      <c r="H2" s="353"/>
      <c r="I2" s="353"/>
      <c r="J2" s="353"/>
      <c r="K2" s="353"/>
      <c r="L2" s="353"/>
      <c r="M2" s="353"/>
      <c r="N2" s="353"/>
      <c r="O2" s="353"/>
      <c r="P2" s="354"/>
    </row>
    <row r="5" spans="2:17" x14ac:dyDescent="0.25">
      <c r="B5" s="220" t="s">
        <v>11</v>
      </c>
      <c r="C5" s="369"/>
      <c r="D5" s="369"/>
      <c r="E5" s="369"/>
      <c r="F5" s="369"/>
      <c r="G5" s="369"/>
      <c r="H5" s="369"/>
      <c r="I5" s="369"/>
      <c r="J5" s="369"/>
      <c r="K5" s="369"/>
      <c r="L5" s="369"/>
      <c r="M5" s="369"/>
      <c r="N5" s="369"/>
      <c r="O5" s="369"/>
      <c r="P5" s="221"/>
    </row>
    <row r="6" spans="2:17" x14ac:dyDescent="0.25">
      <c r="B6" s="225" t="s">
        <v>12</v>
      </c>
      <c r="C6" s="218"/>
      <c r="D6" s="218"/>
      <c r="E6" s="218"/>
      <c r="F6" s="218"/>
      <c r="G6" s="218"/>
      <c r="H6" s="218"/>
      <c r="I6" s="218"/>
      <c r="J6" s="218"/>
      <c r="K6" s="218"/>
      <c r="L6" s="218"/>
      <c r="M6" s="218"/>
      <c r="N6" s="218"/>
      <c r="O6" s="218"/>
      <c r="P6" s="226"/>
    </row>
    <row r="7" spans="2:17" x14ac:dyDescent="0.25">
      <c r="B7" s="223" t="s">
        <v>13</v>
      </c>
      <c r="C7" s="222"/>
      <c r="D7" s="222"/>
      <c r="E7" s="222"/>
      <c r="F7" s="222"/>
      <c r="G7" s="222"/>
      <c r="H7" s="222"/>
      <c r="I7" s="222"/>
      <c r="J7" s="222"/>
      <c r="K7" s="222"/>
      <c r="L7" s="222"/>
      <c r="M7" s="222"/>
      <c r="N7" s="222"/>
      <c r="O7" s="222"/>
      <c r="P7" s="224"/>
    </row>
    <row r="9" spans="2:17" x14ac:dyDescent="0.25">
      <c r="N9" s="410"/>
      <c r="O9" s="410"/>
      <c r="P9" s="410"/>
    </row>
    <row r="10" spans="2:17" x14ac:dyDescent="0.25">
      <c r="B10" s="220"/>
      <c r="C10" s="369"/>
      <c r="D10" s="369"/>
      <c r="E10" s="369"/>
      <c r="F10" s="369"/>
      <c r="G10" s="369"/>
      <c r="H10" s="221"/>
      <c r="J10" s="220"/>
      <c r="K10" s="369"/>
      <c r="L10" s="369"/>
      <c r="M10" s="369"/>
      <c r="N10" s="218"/>
      <c r="O10" s="218"/>
      <c r="P10" s="218"/>
      <c r="Q10" s="156"/>
    </row>
    <row r="11" spans="2:17" ht="47.25" x14ac:dyDescent="0.25">
      <c r="B11" s="225"/>
      <c r="C11" s="340" t="s">
        <v>14</v>
      </c>
      <c r="D11" s="413"/>
      <c r="E11" s="340" t="s">
        <v>15</v>
      </c>
      <c r="F11" s="413"/>
      <c r="G11" s="409" t="s">
        <v>16</v>
      </c>
      <c r="H11" s="414"/>
      <c r="I11" s="341"/>
      <c r="J11" s="417"/>
      <c r="K11" s="342" t="s">
        <v>17</v>
      </c>
      <c r="L11" s="417"/>
      <c r="M11" s="342" t="s">
        <v>18</v>
      </c>
      <c r="N11" s="413"/>
      <c r="O11" s="342" t="s">
        <v>19</v>
      </c>
      <c r="P11" s="413"/>
      <c r="Q11" s="156"/>
    </row>
    <row r="12" spans="2:17" x14ac:dyDescent="0.25">
      <c r="B12" s="225"/>
      <c r="C12" s="218"/>
      <c r="D12" s="218"/>
      <c r="E12" s="218"/>
      <c r="F12" s="218"/>
      <c r="G12" s="218"/>
      <c r="H12" s="226"/>
      <c r="J12" s="225"/>
      <c r="K12" s="218"/>
      <c r="L12" s="218"/>
      <c r="M12" s="218"/>
      <c r="N12" s="218"/>
      <c r="O12" s="218"/>
      <c r="P12" s="218"/>
      <c r="Q12" s="156"/>
    </row>
    <row r="13" spans="2:17" ht="39.950000000000003" customHeight="1" x14ac:dyDescent="0.25">
      <c r="B13" s="225"/>
      <c r="C13" s="411"/>
      <c r="D13" s="192"/>
      <c r="E13" s="466" t="s">
        <v>20</v>
      </c>
      <c r="F13" s="192"/>
      <c r="G13" s="412"/>
      <c r="H13" s="226"/>
      <c r="J13" s="225"/>
      <c r="K13" s="411"/>
      <c r="L13" s="192"/>
      <c r="M13" s="467" t="s">
        <v>21</v>
      </c>
      <c r="N13" s="192"/>
      <c r="O13" s="412"/>
      <c r="P13" s="218"/>
      <c r="Q13" s="156"/>
    </row>
    <row r="14" spans="2:17" x14ac:dyDescent="0.25">
      <c r="B14" s="225"/>
      <c r="C14" s="218"/>
      <c r="D14" s="218"/>
      <c r="E14" s="218"/>
      <c r="F14" s="218"/>
      <c r="G14" s="218"/>
      <c r="H14" s="226"/>
      <c r="J14" s="225"/>
      <c r="K14" s="218"/>
      <c r="L14" s="218"/>
      <c r="M14" s="218"/>
      <c r="N14" s="218"/>
      <c r="O14" s="218"/>
      <c r="P14" s="218"/>
      <c r="Q14" s="156"/>
    </row>
    <row r="15" spans="2:17" ht="213.75" customHeight="1" x14ac:dyDescent="0.25">
      <c r="B15" s="225"/>
      <c r="C15" s="337" t="s">
        <v>22</v>
      </c>
      <c r="D15" s="415"/>
      <c r="E15" s="338" t="s">
        <v>23</v>
      </c>
      <c r="F15" s="415"/>
      <c r="G15" s="336" t="s">
        <v>24</v>
      </c>
      <c r="H15" s="416"/>
      <c r="I15" s="236"/>
      <c r="J15" s="418"/>
      <c r="K15" s="339" t="s">
        <v>25</v>
      </c>
      <c r="L15" s="418"/>
      <c r="M15" s="372" t="s">
        <v>26</v>
      </c>
      <c r="N15" s="415"/>
      <c r="O15" s="372" t="s">
        <v>27</v>
      </c>
      <c r="P15" s="415"/>
      <c r="Q15" s="156"/>
    </row>
    <row r="16" spans="2:17" x14ac:dyDescent="0.25">
      <c r="B16" s="223"/>
      <c r="C16" s="222"/>
      <c r="D16" s="222"/>
      <c r="E16" s="222"/>
      <c r="F16" s="222"/>
      <c r="G16" s="222"/>
      <c r="H16" s="224"/>
      <c r="J16" s="223"/>
      <c r="K16" s="222"/>
      <c r="L16" s="419"/>
      <c r="M16" s="419"/>
      <c r="N16" s="419"/>
      <c r="O16" s="419"/>
      <c r="P16" s="419"/>
      <c r="Q16" s="156"/>
    </row>
    <row r="19" spans="2:16" x14ac:dyDescent="0.25">
      <c r="B19" s="220"/>
      <c r="C19" s="369"/>
      <c r="D19" s="369"/>
      <c r="E19" s="369"/>
      <c r="F19" s="369"/>
      <c r="G19" s="369"/>
      <c r="H19" s="369"/>
      <c r="I19" s="369"/>
      <c r="J19" s="369"/>
      <c r="K19" s="369"/>
      <c r="L19" s="369"/>
      <c r="M19" s="369"/>
      <c r="N19" s="369"/>
      <c r="O19" s="369"/>
      <c r="P19" s="221"/>
    </row>
    <row r="20" spans="2:16" x14ac:dyDescent="0.25">
      <c r="B20" s="225" t="s">
        <v>28</v>
      </c>
      <c r="C20" s="218"/>
      <c r="D20" s="218"/>
      <c r="E20" s="218"/>
      <c r="F20" s="218"/>
      <c r="G20" s="218"/>
      <c r="H20" s="218"/>
      <c r="I20" s="218"/>
      <c r="J20" s="218"/>
      <c r="K20" s="218"/>
      <c r="L20" s="218"/>
      <c r="M20" s="218"/>
      <c r="N20" s="218"/>
      <c r="O20" s="218"/>
      <c r="P20" s="226"/>
    </row>
    <row r="21" spans="2:16" x14ac:dyDescent="0.25">
      <c r="B21" s="420" t="s">
        <v>29</v>
      </c>
      <c r="C21" s="218"/>
      <c r="D21" s="218"/>
      <c r="E21" s="218"/>
      <c r="F21" s="218"/>
      <c r="G21" s="218"/>
      <c r="H21" s="218"/>
      <c r="I21" s="218"/>
      <c r="J21" s="218"/>
      <c r="K21" s="218"/>
      <c r="L21" s="218"/>
      <c r="M21" s="218"/>
      <c r="N21" s="218"/>
      <c r="O21" s="218"/>
      <c r="P21" s="226"/>
    </row>
    <row r="22" spans="2:16" x14ac:dyDescent="0.25">
      <c r="B22" s="421" t="s">
        <v>30</v>
      </c>
      <c r="C22" s="218"/>
      <c r="D22" s="218"/>
      <c r="E22" s="218"/>
      <c r="F22" s="218"/>
      <c r="G22" s="218"/>
      <c r="H22" s="218"/>
      <c r="I22" s="218"/>
      <c r="J22" s="218"/>
      <c r="K22" s="218"/>
      <c r="L22" s="218"/>
      <c r="M22" s="218"/>
      <c r="N22" s="218"/>
      <c r="O22" s="218"/>
      <c r="P22" s="226"/>
    </row>
    <row r="23" spans="2:16" x14ac:dyDescent="0.25">
      <c r="B23" s="422" t="s">
        <v>31</v>
      </c>
      <c r="C23" s="218"/>
      <c r="D23" s="218"/>
      <c r="E23" s="218"/>
      <c r="F23" s="218"/>
      <c r="G23" s="218"/>
      <c r="H23" s="218"/>
      <c r="I23" s="218"/>
      <c r="J23" s="218"/>
      <c r="K23" s="218"/>
      <c r="L23" s="218"/>
      <c r="M23" s="218"/>
      <c r="N23" s="218"/>
      <c r="O23" s="218"/>
      <c r="P23" s="226"/>
    </row>
    <row r="24" spans="2:16" x14ac:dyDescent="0.25">
      <c r="B24" s="421" t="s">
        <v>32</v>
      </c>
      <c r="C24" s="218"/>
      <c r="D24" s="218"/>
      <c r="E24" s="218"/>
      <c r="F24" s="218"/>
      <c r="G24" s="218"/>
      <c r="H24" s="218"/>
      <c r="I24" s="218"/>
      <c r="J24" s="218"/>
      <c r="K24" s="218"/>
      <c r="L24" s="218"/>
      <c r="M24" s="218"/>
      <c r="N24" s="218"/>
      <c r="O24" s="218"/>
      <c r="P24" s="226"/>
    </row>
    <row r="25" spans="2:16" x14ac:dyDescent="0.25">
      <c r="B25" s="421" t="s">
        <v>33</v>
      </c>
      <c r="C25" s="218"/>
      <c r="D25" s="218"/>
      <c r="E25" s="218"/>
      <c r="F25" s="218"/>
      <c r="G25" s="218"/>
      <c r="H25" s="218"/>
      <c r="I25" s="218"/>
      <c r="J25" s="218"/>
      <c r="K25" s="218"/>
      <c r="L25" s="218"/>
      <c r="M25" s="218"/>
      <c r="N25" s="218"/>
      <c r="O25" s="218"/>
      <c r="P25" s="226"/>
    </row>
    <row r="26" spans="2:16" x14ac:dyDescent="0.25">
      <c r="B26" s="225"/>
      <c r="C26" s="218"/>
      <c r="D26" s="218"/>
      <c r="E26" s="218"/>
      <c r="F26" s="218"/>
      <c r="G26" s="218"/>
      <c r="H26" s="218"/>
      <c r="I26" s="218"/>
      <c r="J26" s="218"/>
      <c r="K26" s="218"/>
      <c r="L26" s="218"/>
      <c r="M26" s="218"/>
      <c r="N26" s="218"/>
      <c r="O26" s="218"/>
      <c r="P26" s="226"/>
    </row>
    <row r="27" spans="2:16" x14ac:dyDescent="0.25">
      <c r="B27" s="423" t="s">
        <v>1169</v>
      </c>
      <c r="C27" s="218"/>
      <c r="D27" s="218"/>
      <c r="E27" s="218"/>
      <c r="F27" s="218"/>
      <c r="G27" s="218"/>
      <c r="H27" s="218"/>
      <c r="I27" s="218"/>
      <c r="J27" s="218"/>
      <c r="K27" s="218"/>
      <c r="L27" s="218"/>
      <c r="M27" s="218"/>
      <c r="N27" s="218"/>
      <c r="O27" s="218"/>
      <c r="P27" s="226"/>
    </row>
    <row r="28" spans="2:16" x14ac:dyDescent="0.25">
      <c r="B28" s="223"/>
      <c r="C28" s="222"/>
      <c r="D28" s="222"/>
      <c r="E28" s="222"/>
      <c r="F28" s="222"/>
      <c r="G28" s="222"/>
      <c r="H28" s="222"/>
      <c r="I28" s="222"/>
      <c r="J28" s="222"/>
      <c r="K28" s="222"/>
      <c r="L28" s="222"/>
      <c r="M28" s="222"/>
      <c r="N28" s="222"/>
      <c r="O28" s="222"/>
      <c r="P28" s="224"/>
    </row>
  </sheetData>
  <sheetProtection algorithmName="SHA-512" hashValue="x46CM3n/1Hj8ozjaCKDRBsnNM2IfSym4CuMOqZqcJ0KEK9OryJUqUIB3w5VcUQE98Zi8gj4bPnNYZU+RS7dsyA==" saltValue="PT4KfMnoN2/+f4QLQ2WwS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44"/>
  <sheetViews>
    <sheetView showGridLines="0" zoomScale="60" zoomScaleNormal="60" workbookViewId="0"/>
  </sheetViews>
  <sheetFormatPr defaultRowHeight="15" x14ac:dyDescent="0.25"/>
  <cols>
    <col min="1" max="1" width="2.42578125" customWidth="1"/>
    <col min="2" max="2" width="5.85546875" customWidth="1"/>
    <col min="3" max="3" width="44.5703125" customWidth="1"/>
    <col min="4" max="4" width="45.42578125" customWidth="1"/>
    <col min="5" max="5" width="18" customWidth="1"/>
    <col min="6" max="6" width="13.140625" customWidth="1"/>
    <col min="7" max="18" width="13.42578125" customWidth="1"/>
    <col min="19" max="19" width="3.42578125" customWidth="1"/>
  </cols>
  <sheetData>
    <row r="1" spans="2:24" ht="30" customHeight="1" x14ac:dyDescent="0.25">
      <c r="B1" s="490" t="s">
        <v>1048</v>
      </c>
    </row>
    <row r="2" spans="2:24" ht="30" customHeight="1" x14ac:dyDescent="0.25">
      <c r="B2" s="151" t="s">
        <v>655</v>
      </c>
      <c r="C2" s="151"/>
      <c r="D2" s="150"/>
      <c r="E2" s="167"/>
      <c r="F2" s="150"/>
      <c r="G2" s="150"/>
      <c r="H2" s="150"/>
      <c r="I2" s="150"/>
      <c r="J2" s="150"/>
      <c r="K2" s="150"/>
      <c r="L2" s="150"/>
      <c r="M2" s="150"/>
      <c r="N2" s="150"/>
      <c r="O2" s="150"/>
      <c r="P2" s="150"/>
      <c r="Q2" s="150"/>
      <c r="R2" s="150"/>
      <c r="S2" s="150"/>
      <c r="T2" s="150"/>
      <c r="U2" s="150"/>
      <c r="V2" s="150"/>
      <c r="W2" s="150"/>
      <c r="X2" s="150"/>
    </row>
    <row r="4" spans="2:24" x14ac:dyDescent="0.25">
      <c r="B4" s="152" t="s">
        <v>656</v>
      </c>
      <c r="C4" s="308"/>
      <c r="D4" s="308"/>
      <c r="E4" s="308"/>
      <c r="F4" s="308"/>
      <c r="G4" s="308"/>
      <c r="H4" s="308"/>
      <c r="I4" s="308"/>
      <c r="J4" s="308"/>
      <c r="K4" s="308"/>
      <c r="L4" s="308"/>
      <c r="M4" s="308"/>
      <c r="N4" s="308"/>
      <c r="O4" s="308"/>
      <c r="P4" s="308"/>
      <c r="Q4" s="308"/>
      <c r="R4" s="308"/>
      <c r="S4" s="153"/>
    </row>
    <row r="5" spans="2:24" x14ac:dyDescent="0.25">
      <c r="B5" s="156"/>
      <c r="C5" t="s">
        <v>657</v>
      </c>
      <c r="S5" s="155"/>
    </row>
    <row r="6" spans="2:24" x14ac:dyDescent="0.25">
      <c r="B6" s="156"/>
      <c r="C6" t="s">
        <v>658</v>
      </c>
      <c r="S6" s="155"/>
    </row>
    <row r="7" spans="2:24" x14ac:dyDescent="0.25">
      <c r="B7" s="156"/>
      <c r="C7" t="s">
        <v>659</v>
      </c>
      <c r="S7" s="155"/>
    </row>
    <row r="8" spans="2:24" x14ac:dyDescent="0.25">
      <c r="B8" s="157"/>
      <c r="C8" s="158"/>
      <c r="D8" s="158"/>
      <c r="E8" s="158"/>
      <c r="F8" s="158"/>
      <c r="G8" s="158"/>
      <c r="H8" s="158"/>
      <c r="I8" s="158"/>
      <c r="J8" s="158"/>
      <c r="K8" s="158"/>
      <c r="L8" s="158"/>
      <c r="M8" s="158"/>
      <c r="N8" s="158"/>
      <c r="O8" s="158"/>
      <c r="P8" s="158"/>
      <c r="Q8" s="158"/>
      <c r="R8" s="158"/>
      <c r="S8" s="155"/>
    </row>
    <row r="9" spans="2:24" x14ac:dyDescent="0.25">
      <c r="S9" s="192"/>
    </row>
    <row r="10" spans="2:24" x14ac:dyDescent="0.25">
      <c r="B10" s="152" t="s">
        <v>660</v>
      </c>
      <c r="C10" s="308"/>
      <c r="D10" s="308"/>
      <c r="E10" s="308"/>
      <c r="F10" s="308"/>
      <c r="G10" s="308"/>
      <c r="H10" s="308"/>
      <c r="I10" s="308"/>
      <c r="J10" s="308"/>
      <c r="K10" s="308"/>
      <c r="L10" s="308"/>
      <c r="M10" s="308"/>
      <c r="N10" s="308"/>
      <c r="O10" s="308"/>
      <c r="P10" s="308"/>
      <c r="Q10" s="308"/>
      <c r="R10" s="308"/>
      <c r="S10" s="155"/>
    </row>
    <row r="11" spans="2:24" x14ac:dyDescent="0.25">
      <c r="B11" s="154"/>
      <c r="C11" t="s">
        <v>661</v>
      </c>
      <c r="E11" s="147" t="s">
        <v>55</v>
      </c>
      <c r="S11" s="155"/>
    </row>
    <row r="12" spans="2:24" x14ac:dyDescent="0.25">
      <c r="B12" s="154"/>
      <c r="C12" t="s">
        <v>75</v>
      </c>
      <c r="E12" s="147" t="s">
        <v>96</v>
      </c>
      <c r="G12" s="126">
        <f>'Population selection'!F14</f>
        <v>45219492</v>
      </c>
      <c r="H12" t="str">
        <f>C25&amp;" population based on selection on left using mid-2022 ONS data"</f>
        <v>Adult population population based on selection on left using mid-2022 ONS data</v>
      </c>
      <c r="S12" s="155"/>
    </row>
    <row r="13" spans="2:24" x14ac:dyDescent="0.25">
      <c r="B13" s="154"/>
      <c r="E13" s="563"/>
      <c r="G13" s="569">
        <f>2.05533586601874%</f>
        <v>2.0553358660187402E-2</v>
      </c>
      <c r="H13" t="s">
        <v>662</v>
      </c>
      <c r="S13" s="155"/>
    </row>
    <row r="14" spans="2:24" x14ac:dyDescent="0.25">
      <c r="B14" s="154"/>
      <c r="C14" s="145"/>
      <c r="G14" s="126">
        <f>(100%+G13)*G12</f>
        <v>46148904.437507473</v>
      </c>
      <c r="H14" t="s">
        <v>663</v>
      </c>
      <c r="S14" s="155"/>
    </row>
    <row r="15" spans="2:24" x14ac:dyDescent="0.25">
      <c r="B15" s="156"/>
      <c r="C15" t="s">
        <v>664</v>
      </c>
      <c r="E15" s="570" t="s">
        <v>53</v>
      </c>
      <c r="F15" s="166" t="str">
        <f>IF(E15="yes","","If no, enter current locality population below")</f>
        <v/>
      </c>
      <c r="S15" s="155"/>
    </row>
    <row r="16" spans="2:24" x14ac:dyDescent="0.25">
      <c r="B16" s="156"/>
      <c r="F16" s="166" t="str">
        <f>IF(AND(NOT(ISBLANK(E17)),E15="yes"),"error - change cell above to 'no'","")</f>
        <v/>
      </c>
      <c r="S16" s="155"/>
    </row>
    <row r="17" spans="2:24" x14ac:dyDescent="0.25">
      <c r="B17" s="156"/>
      <c r="C17" t="str">
        <f>"Manually entered current locality population "&amp;IF(E15="no","","(n/a)")</f>
        <v>Manually entered current locality population (n/a)</v>
      </c>
      <c r="E17" s="571"/>
      <c r="F17" s="615" t="str">
        <f>IF(E15="yes","Leave blue cell on left blank if NICE estimate is used","")</f>
        <v>Leave blue cell on left blank if NICE estimate is used</v>
      </c>
      <c r="S17" s="155"/>
    </row>
    <row r="18" spans="2:24" x14ac:dyDescent="0.25">
      <c r="B18" s="156"/>
      <c r="F18" s="166" t="str">
        <f>IF(AND(ISBLANK(E17),E15="no"),"error - enter current locality population above","")</f>
        <v/>
      </c>
      <c r="S18" s="155"/>
    </row>
    <row r="19" spans="2:24" x14ac:dyDescent="0.25">
      <c r="B19" s="156"/>
      <c r="C19" t="s">
        <v>665</v>
      </c>
      <c r="D19" s="148"/>
      <c r="E19" s="569">
        <v>9.6418074639288403E-3</v>
      </c>
      <c r="F19" t="str">
        <f>IF(E19=0.00964180746392884,"Enter local value or delete the NICE assumption if required","Local value")</f>
        <v>Enter local value or delete the NICE assumption if required</v>
      </c>
      <c r="S19" s="155"/>
    </row>
    <row r="20" spans="2:24" x14ac:dyDescent="0.25">
      <c r="B20" s="156"/>
      <c r="C20" t="s">
        <v>666</v>
      </c>
      <c r="D20" s="148"/>
      <c r="E20" s="569">
        <v>0</v>
      </c>
      <c r="F20" t="str">
        <f>IF(E20=0,"Enter local value or delete the NICE assumption if required","Local value")</f>
        <v>Enter local value or delete the NICE assumption if required</v>
      </c>
      <c r="S20" s="155"/>
    </row>
    <row r="21" spans="2:24" x14ac:dyDescent="0.25">
      <c r="B21" s="157"/>
      <c r="C21" s="158"/>
      <c r="D21" s="158"/>
      <c r="E21" s="158"/>
      <c r="F21" s="158"/>
      <c r="G21" s="158"/>
      <c r="H21" s="158"/>
      <c r="I21" s="158"/>
      <c r="J21" s="158"/>
      <c r="K21" s="158"/>
      <c r="L21" s="158"/>
      <c r="M21" s="158"/>
      <c r="N21" s="158"/>
      <c r="O21" s="158"/>
      <c r="P21" s="158"/>
      <c r="Q21" s="158"/>
      <c r="R21" s="158"/>
      <c r="S21" s="159"/>
    </row>
    <row r="23" spans="2:24" x14ac:dyDescent="0.25">
      <c r="B23" s="152" t="s">
        <v>667</v>
      </c>
      <c r="C23" s="308"/>
      <c r="D23" s="308"/>
      <c r="E23" s="308"/>
      <c r="F23" s="308"/>
      <c r="G23" s="308"/>
      <c r="H23" s="308"/>
      <c r="I23" s="308"/>
      <c r="J23" s="308"/>
      <c r="K23" s="308"/>
      <c r="L23" s="308"/>
      <c r="M23" s="308"/>
      <c r="N23" s="308"/>
      <c r="O23" s="308"/>
      <c r="P23" s="308"/>
      <c r="Q23" s="308"/>
      <c r="R23" s="308"/>
      <c r="S23" s="308"/>
      <c r="T23" s="308"/>
      <c r="U23" s="308"/>
      <c r="V23" s="308"/>
      <c r="W23" s="308"/>
      <c r="X23" s="153"/>
    </row>
    <row r="24" spans="2:24" ht="84.95" customHeight="1" x14ac:dyDescent="0.25">
      <c r="B24" s="154"/>
      <c r="F24" s="232" t="s">
        <v>668</v>
      </c>
      <c r="G24" s="161" t="s">
        <v>669</v>
      </c>
      <c r="H24" s="220" t="s">
        <v>670</v>
      </c>
      <c r="I24" s="369"/>
      <c r="J24" s="369"/>
      <c r="K24" s="369"/>
      <c r="L24" s="369"/>
      <c r="M24" s="369"/>
      <c r="N24" s="369"/>
      <c r="O24" s="369"/>
      <c r="P24" s="369"/>
      <c r="Q24" s="369"/>
      <c r="R24" s="369"/>
      <c r="S24" s="369"/>
      <c r="T24" s="369"/>
      <c r="U24" s="369"/>
      <c r="V24" s="369"/>
      <c r="W24" s="369"/>
      <c r="X24" s="221"/>
    </row>
    <row r="25" spans="2:24" x14ac:dyDescent="0.25">
      <c r="B25" s="154"/>
      <c r="C25" s="231" t="s">
        <v>671</v>
      </c>
      <c r="D25" s="234"/>
      <c r="E25" s="164"/>
      <c r="F25" s="126">
        <f>IF(ISBLANK(E17),G14,'Population selection'!F16)</f>
        <v>46148904.437507473</v>
      </c>
      <c r="G25" s="233"/>
      <c r="H25" s="230" t="s">
        <v>672</v>
      </c>
      <c r="I25" s="192"/>
      <c r="J25" s="192"/>
      <c r="K25" s="192"/>
      <c r="L25" s="192"/>
      <c r="M25" s="192"/>
      <c r="N25" s="192"/>
      <c r="O25" s="192"/>
      <c r="P25" s="192"/>
      <c r="Q25" s="192"/>
      <c r="R25" s="192"/>
      <c r="S25" s="192"/>
      <c r="T25" s="192"/>
      <c r="U25" s="192"/>
      <c r="V25" s="192"/>
      <c r="W25" s="192"/>
      <c r="X25" s="164"/>
    </row>
    <row r="26" spans="2:24" x14ac:dyDescent="0.25">
      <c r="B26" s="154"/>
      <c r="C26" s="564" t="s">
        <v>673</v>
      </c>
      <c r="D26" s="235"/>
      <c r="E26" s="164"/>
      <c r="F26" s="203"/>
      <c r="G26" s="126">
        <f>K43</f>
        <v>48417016.421111427</v>
      </c>
      <c r="H26" s="230" t="s">
        <v>672</v>
      </c>
      <c r="I26" s="158"/>
      <c r="J26" s="158"/>
      <c r="K26" s="158"/>
      <c r="L26" s="158"/>
      <c r="M26" s="158"/>
      <c r="N26" s="158"/>
      <c r="O26" s="158"/>
      <c r="P26" s="158"/>
      <c r="Q26" s="158"/>
      <c r="R26" s="158"/>
      <c r="S26" s="158"/>
      <c r="T26" s="158"/>
      <c r="U26" s="158"/>
      <c r="V26" s="158"/>
      <c r="W26" s="158"/>
      <c r="X26" s="159"/>
    </row>
    <row r="27" spans="2:24" x14ac:dyDescent="0.25">
      <c r="B27" s="156"/>
      <c r="C27" s="163" t="s">
        <v>951</v>
      </c>
      <c r="D27" s="164"/>
      <c r="E27" s="756">
        <v>9.037050935082287E-4</v>
      </c>
      <c r="F27" s="572">
        <f>F25*E27</f>
        <v>41705</v>
      </c>
      <c r="G27" s="572">
        <f>G26*E27</f>
        <v>43754.70435222995</v>
      </c>
      <c r="H27" t="s">
        <v>1056</v>
      </c>
      <c r="I27" s="192"/>
      <c r="J27" s="192"/>
      <c r="K27" s="192"/>
      <c r="L27" s="192"/>
      <c r="M27" s="192"/>
      <c r="N27" s="192"/>
      <c r="O27" s="192"/>
      <c r="P27" s="192"/>
      <c r="Q27" s="192"/>
      <c r="R27" s="192"/>
      <c r="S27" s="192"/>
      <c r="T27" s="192"/>
      <c r="U27" s="192"/>
      <c r="V27" s="192"/>
      <c r="W27" s="192"/>
      <c r="X27" s="164"/>
    </row>
    <row r="28" spans="2:24" ht="14.45" customHeight="1" x14ac:dyDescent="0.25">
      <c r="B28" s="156"/>
      <c r="C28" s="230" t="s">
        <v>952</v>
      </c>
      <c r="D28" s="164"/>
      <c r="E28" s="757">
        <f>91.6%</f>
        <v>0.91599999999999993</v>
      </c>
      <c r="F28" s="572">
        <f>F27*E28</f>
        <v>38201.78</v>
      </c>
      <c r="G28" s="572">
        <f>G27*E28</f>
        <v>40079.309186642633</v>
      </c>
      <c r="H28" s="1050" t="s">
        <v>953</v>
      </c>
      <c r="I28" s="1051"/>
      <c r="J28" s="1051"/>
      <c r="K28" s="1051"/>
      <c r="L28" s="1051"/>
      <c r="M28" s="1052" t="s">
        <v>1057</v>
      </c>
      <c r="N28" s="1052"/>
      <c r="O28" s="235"/>
      <c r="P28" s="235"/>
      <c r="Q28" s="235"/>
      <c r="R28" s="235"/>
      <c r="S28" s="235"/>
      <c r="T28" s="235"/>
      <c r="U28" s="235"/>
      <c r="V28" s="235"/>
      <c r="W28" s="235"/>
      <c r="X28" s="754"/>
    </row>
    <row r="29" spans="2:24" x14ac:dyDescent="0.25">
      <c r="B29" s="156"/>
      <c r="C29" s="230" t="s">
        <v>954</v>
      </c>
      <c r="D29" s="164"/>
      <c r="E29" s="757">
        <v>0.18</v>
      </c>
      <c r="F29" s="572">
        <f>F28*E29</f>
        <v>6876.3203999999996</v>
      </c>
      <c r="G29" s="572">
        <f>G28*E29</f>
        <v>7214.2756535956732</v>
      </c>
      <c r="H29" s="814" t="s">
        <v>953</v>
      </c>
      <c r="I29" s="758"/>
      <c r="J29" s="758"/>
      <c r="K29" s="758"/>
      <c r="L29" s="758"/>
      <c r="M29" s="1052" t="s">
        <v>955</v>
      </c>
      <c r="N29" s="1052"/>
      <c r="O29" s="235"/>
      <c r="P29" s="235"/>
      <c r="Q29" s="235"/>
      <c r="R29" s="235"/>
      <c r="S29" s="235"/>
      <c r="T29" s="235"/>
      <c r="U29" s="235"/>
      <c r="V29" s="235"/>
      <c r="W29" s="235"/>
      <c r="X29" s="754"/>
    </row>
    <row r="30" spans="2:24" ht="30" customHeight="1" x14ac:dyDescent="0.25">
      <c r="B30" s="156"/>
      <c r="C30" s="1053" t="s">
        <v>956</v>
      </c>
      <c r="D30" s="1054"/>
      <c r="E30" s="757">
        <v>0.55000000000000004</v>
      </c>
      <c r="F30" s="572">
        <f>F29*E30</f>
        <v>3781.97622</v>
      </c>
      <c r="G30" s="572">
        <f>G29*E30</f>
        <v>3967.8516094776205</v>
      </c>
      <c r="H30" s="328" t="s">
        <v>953</v>
      </c>
      <c r="I30" s="758"/>
      <c r="J30" s="758"/>
      <c r="K30" s="758"/>
      <c r="L30" s="758"/>
      <c r="M30" s="1052" t="s">
        <v>1058</v>
      </c>
      <c r="N30" s="1052"/>
      <c r="O30" s="1052"/>
      <c r="P30" s="1052"/>
      <c r="Q30" s="1052"/>
      <c r="R30" s="1052"/>
      <c r="S30" s="1052"/>
      <c r="T30" s="1052"/>
      <c r="U30" s="1052"/>
      <c r="V30" s="1052"/>
      <c r="W30" s="1052"/>
      <c r="X30" s="1054"/>
    </row>
    <row r="31" spans="2:24" x14ac:dyDescent="0.25">
      <c r="B31" s="156"/>
      <c r="C31" s="759" t="s">
        <v>957</v>
      </c>
      <c r="D31" s="760"/>
      <c r="E31" s="816"/>
      <c r="F31" s="815">
        <f>F29-F30</f>
        <v>3094.3441799999996</v>
      </c>
      <c r="G31" s="815">
        <f>G29-G30</f>
        <v>3246.4240441180527</v>
      </c>
      <c r="H31" s="195"/>
      <c r="I31" s="192"/>
      <c r="J31" s="192"/>
      <c r="K31" s="192"/>
      <c r="L31" s="192"/>
      <c r="M31" s="192"/>
      <c r="N31" s="192"/>
      <c r="O31" s="192"/>
      <c r="P31" s="192"/>
      <c r="Q31" s="192"/>
      <c r="R31" s="192"/>
      <c r="S31" s="192"/>
      <c r="T31" s="192"/>
      <c r="U31" s="192"/>
      <c r="V31" s="192"/>
      <c r="W31" s="192"/>
      <c r="X31" s="164"/>
    </row>
    <row r="32" spans="2:24" ht="30" customHeight="1" x14ac:dyDescent="0.25">
      <c r="B32" s="156"/>
      <c r="C32" s="230" t="s">
        <v>958</v>
      </c>
      <c r="D32" s="760"/>
      <c r="E32" s="757">
        <v>0.86</v>
      </c>
      <c r="F32" s="572">
        <f>F31*E32</f>
        <v>2661.1359947999995</v>
      </c>
      <c r="G32" s="572">
        <f>G31*E32</f>
        <v>2791.9246779415253</v>
      </c>
      <c r="H32" s="1055" t="s">
        <v>1059</v>
      </c>
      <c r="I32" s="1056"/>
      <c r="J32" s="1056"/>
      <c r="K32" s="1056"/>
      <c r="L32" s="1056"/>
      <c r="M32" s="1056"/>
      <c r="N32" s="1056"/>
      <c r="O32" s="1056"/>
      <c r="P32" s="1056"/>
      <c r="Q32" s="1056"/>
      <c r="R32" s="1056"/>
      <c r="S32" s="1056"/>
      <c r="T32" s="1056"/>
      <c r="U32" s="1056"/>
      <c r="V32" s="1056"/>
      <c r="W32" s="1056"/>
      <c r="X32" s="1057"/>
    </row>
    <row r="33" spans="2:24" x14ac:dyDescent="0.25">
      <c r="B33" s="156"/>
      <c r="C33" s="759" t="s">
        <v>959</v>
      </c>
      <c r="D33" s="760"/>
      <c r="E33" s="757">
        <v>0.75</v>
      </c>
      <c r="F33" s="572">
        <f>F32*E33</f>
        <v>1995.8519960999997</v>
      </c>
      <c r="G33" s="572">
        <f>G32*E33</f>
        <v>2093.9435084561437</v>
      </c>
      <c r="H33" s="230" t="s">
        <v>1060</v>
      </c>
      <c r="I33" s="192"/>
      <c r="J33" s="192"/>
      <c r="K33" s="192"/>
      <c r="L33" s="192"/>
      <c r="M33" s="192"/>
      <c r="N33" s="192"/>
      <c r="O33" s="192"/>
      <c r="P33" s="192"/>
      <c r="Q33" s="192"/>
      <c r="R33" s="192"/>
      <c r="S33" s="192"/>
      <c r="T33" s="192"/>
      <c r="U33" s="192"/>
      <c r="V33" s="192"/>
      <c r="W33" s="192"/>
      <c r="X33" s="164"/>
    </row>
    <row r="34" spans="2:24" x14ac:dyDescent="0.25">
      <c r="B34" s="156"/>
      <c r="C34" s="219" t="s">
        <v>674</v>
      </c>
      <c r="D34" s="192"/>
      <c r="E34" s="813"/>
      <c r="F34" s="177">
        <f>F33</f>
        <v>1995.8519960999997</v>
      </c>
      <c r="G34" s="177">
        <f>G33</f>
        <v>2093.9435084561437</v>
      </c>
      <c r="H34" s="195"/>
      <c r="I34" s="192"/>
      <c r="J34" s="192"/>
      <c r="K34" s="192"/>
      <c r="L34" s="192"/>
      <c r="M34" s="192"/>
      <c r="N34" s="192"/>
      <c r="O34" s="192"/>
      <c r="P34" s="192"/>
      <c r="Q34" s="192"/>
      <c r="R34" s="192"/>
      <c r="S34" s="192"/>
      <c r="T34" s="192"/>
      <c r="U34" s="192"/>
      <c r="V34" s="192"/>
      <c r="W34" s="192"/>
      <c r="X34" s="164"/>
    </row>
    <row r="35" spans="2:24" x14ac:dyDescent="0.25">
      <c r="B35" s="156"/>
      <c r="C35" s="332"/>
      <c r="E35" s="333"/>
      <c r="F35" s="334"/>
      <c r="G35" s="334"/>
      <c r="H35" s="186"/>
      <c r="X35" s="155"/>
    </row>
    <row r="36" spans="2:24" x14ac:dyDescent="0.25">
      <c r="B36" s="156"/>
      <c r="C36" t="s">
        <v>675</v>
      </c>
      <c r="F36" s="570" t="s">
        <v>53</v>
      </c>
      <c r="G36" s="334"/>
      <c r="H36" s="186"/>
      <c r="X36" s="155"/>
    </row>
    <row r="37" spans="2:24" x14ac:dyDescent="0.25">
      <c r="B37" s="156"/>
      <c r="C37" s="332"/>
      <c r="E37" s="333"/>
      <c r="F37" s="334"/>
      <c r="G37" s="334"/>
      <c r="H37" s="186"/>
      <c r="X37" s="155"/>
    </row>
    <row r="38" spans="2:24" x14ac:dyDescent="0.25">
      <c r="B38" s="156"/>
      <c r="C38" t="str">
        <f>"Manually entered current eligible population "&amp;IF(F36="no","","(n/a)")</f>
        <v>Manually entered current eligible population (n/a)</v>
      </c>
      <c r="F38" s="573"/>
      <c r="G38" s="611" t="str">
        <f>IF(F36="yes","Leave blue cell on left blank if NICE estimate is used","local value")</f>
        <v>Leave blue cell on left blank if NICE estimate is used</v>
      </c>
      <c r="X38" s="155"/>
    </row>
    <row r="39" spans="2:24" x14ac:dyDescent="0.25">
      <c r="B39" s="156"/>
      <c r="G39" s="510" t="str">
        <f>IF(AND(F36="yes",F38&gt;0),"error, set the drop down above to be 'no'","")</f>
        <v/>
      </c>
      <c r="X39" s="155"/>
    </row>
    <row r="40" spans="2:24" ht="45" x14ac:dyDescent="0.25">
      <c r="B40" s="156"/>
      <c r="C40" s="158"/>
      <c r="F40" s="228" t="s">
        <v>668</v>
      </c>
      <c r="G40" s="161" t="s">
        <v>676</v>
      </c>
      <c r="H40" s="161" t="s">
        <v>677</v>
      </c>
      <c r="I40" s="229" t="s">
        <v>678</v>
      </c>
      <c r="J40" s="161" t="s">
        <v>679</v>
      </c>
      <c r="K40" s="161" t="s">
        <v>680</v>
      </c>
      <c r="L40" s="511"/>
      <c r="M40" s="511"/>
      <c r="N40" s="511"/>
      <c r="O40" s="511"/>
      <c r="P40" s="511"/>
      <c r="Q40" s="511"/>
      <c r="X40" s="155"/>
    </row>
    <row r="41" spans="2:24" x14ac:dyDescent="0.25">
      <c r="B41" s="156"/>
      <c r="C41" s="230" t="s">
        <v>681</v>
      </c>
      <c r="D41" s="192"/>
      <c r="E41" s="164"/>
      <c r="F41" s="203"/>
      <c r="G41" s="325">
        <f>IF(E19&lt;&gt;"",E19+100%,100%)</f>
        <v>1.0096418074639288</v>
      </c>
      <c r="H41" s="325">
        <f>IF($E$19&lt;&gt;"",G41*(100%+$E$19),100%)</f>
        <v>1.0193765793790293</v>
      </c>
      <c r="I41" s="325">
        <f>IF($E$19&lt;&gt;"",H41*(100%+$E$19),100%)</f>
        <v>1.0292052120906403</v>
      </c>
      <c r="J41" s="325">
        <f>IF($E$19&lt;&gt;"",I41*(100%+$E$19),100%)</f>
        <v>1.0391286105864903</v>
      </c>
      <c r="K41" s="325">
        <f>IF($E$19&lt;&gt;"",J41*(100%+$E$19),100%)</f>
        <v>1.0491476885800251</v>
      </c>
      <c r="L41" t="s">
        <v>682</v>
      </c>
      <c r="M41" s="503"/>
      <c r="N41" s="503"/>
      <c r="O41" s="503"/>
      <c r="P41" s="503"/>
      <c r="Q41" s="503"/>
      <c r="X41" s="155"/>
    </row>
    <row r="42" spans="2:24" x14ac:dyDescent="0.25">
      <c r="B42" s="156"/>
      <c r="C42" s="230" t="s">
        <v>683</v>
      </c>
      <c r="D42" s="192"/>
      <c r="E42" s="164"/>
      <c r="F42" s="203"/>
      <c r="G42" s="325">
        <f>IF(E20&lt;&gt;"",E20+100%,100%)</f>
        <v>1</v>
      </c>
      <c r="H42" s="325">
        <f>IF($E$20&lt;&gt;"",G42*(100%+$E$20),100%)</f>
        <v>1</v>
      </c>
      <c r="I42" s="325">
        <f>IF($E$20&lt;&gt;"",H42*(100%+$E$20),100%)</f>
        <v>1</v>
      </c>
      <c r="J42" s="325">
        <f>IF($E$20&lt;&gt;"",I42*(100%+$E$20),100%)</f>
        <v>1</v>
      </c>
      <c r="K42" s="325">
        <f>IF($E$20&lt;&gt;"",J42*(100%+$E$20),100%)</f>
        <v>1</v>
      </c>
      <c r="L42" t="s">
        <v>682</v>
      </c>
      <c r="M42" s="503"/>
      <c r="N42" s="503"/>
      <c r="O42" s="503"/>
      <c r="P42" s="503"/>
      <c r="Q42" s="503"/>
      <c r="X42" s="155"/>
    </row>
    <row r="43" spans="2:24" x14ac:dyDescent="0.25">
      <c r="B43" s="156"/>
      <c r="C43" s="367" t="str">
        <f>IF('Inputs and eligible population'!E17=0,"Baseline population (inflated by growth(s))","Manually entered locality population (inflated by growth(s))")</f>
        <v>Baseline population (inflated by growth(s))</v>
      </c>
      <c r="D43" s="192"/>
      <c r="E43" s="164"/>
      <c r="F43" s="126">
        <f>IF(ISBLANK(E17),G14,'Population selection'!F16)</f>
        <v>46148904.437507473</v>
      </c>
      <c r="G43" s="126">
        <f>F43*G41</f>
        <v>46593863.28876517</v>
      </c>
      <c r="H43" s="126">
        <f>F43*H41</f>
        <v>47043112.347596072</v>
      </c>
      <c r="I43" s="126">
        <f>F43*I41</f>
        <v>47496692.979355574</v>
      </c>
      <c r="J43" s="126">
        <f>F43*J41</f>
        <v>47954646.948235855</v>
      </c>
      <c r="K43" s="126">
        <f>F43*K41</f>
        <v>48417016.421111427</v>
      </c>
      <c r="M43" s="277"/>
      <c r="N43" s="277"/>
      <c r="O43" s="277"/>
      <c r="P43" s="277"/>
      <c r="Q43" s="277"/>
      <c r="X43" s="155"/>
    </row>
    <row r="44" spans="2:24" x14ac:dyDescent="0.25">
      <c r="B44" s="156"/>
      <c r="C44" s="219" t="str">
        <f>IF(ISBLANK(F38),"Eligible population, NICE estimate","Eligible population, local estimate")</f>
        <v>Eligible population, NICE estimate</v>
      </c>
      <c r="D44" s="192"/>
      <c r="E44" s="164"/>
      <c r="F44" s="177">
        <f>IF(ISBLANK(F38),F34,F38)</f>
        <v>1995.8519960999997</v>
      </c>
      <c r="G44" s="177">
        <f>$F$44*G41*G42</f>
        <v>2015.0956167728939</v>
      </c>
      <c r="H44" s="177">
        <f>$F$44*H41*H42</f>
        <v>2034.5247807312253</v>
      </c>
      <c r="I44" s="177">
        <f>$F$44*I41*I42</f>
        <v>2054.1412769476278</v>
      </c>
      <c r="J44" s="177">
        <f>$F$44*J41*J42</f>
        <v>2073.9469116436658</v>
      </c>
      <c r="K44" s="177">
        <f>$F$44*K41*K42</f>
        <v>2093.9435084561437</v>
      </c>
      <c r="L44" s="166" t="str">
        <f>IF(F36="no","local estimate used","")</f>
        <v/>
      </c>
      <c r="M44" s="334"/>
      <c r="N44" s="334"/>
      <c r="O44" s="334"/>
      <c r="P44" s="334"/>
      <c r="Q44" s="334"/>
      <c r="X44" s="155"/>
    </row>
    <row r="45" spans="2:24" x14ac:dyDescent="0.25">
      <c r="B45" s="157"/>
      <c r="C45" s="158"/>
      <c r="D45" s="158"/>
      <c r="E45" s="158"/>
      <c r="F45" s="158"/>
      <c r="G45" s="158"/>
      <c r="H45" s="158"/>
      <c r="I45" s="158"/>
      <c r="J45" s="158"/>
      <c r="K45" s="158"/>
      <c r="L45" s="158"/>
      <c r="M45" s="158"/>
      <c r="N45" s="158"/>
      <c r="O45" s="158"/>
      <c r="P45" s="158"/>
      <c r="Q45" s="158"/>
      <c r="R45" s="158"/>
      <c r="S45" s="158"/>
      <c r="T45" s="158"/>
      <c r="U45" s="158"/>
      <c r="V45" s="158"/>
      <c r="W45" s="158"/>
      <c r="X45" s="159"/>
    </row>
    <row r="48" spans="2:24" x14ac:dyDescent="0.25">
      <c r="B48" s="152" t="s">
        <v>684</v>
      </c>
      <c r="C48" s="308"/>
      <c r="D48" s="308"/>
      <c r="E48" s="308"/>
      <c r="F48" s="308"/>
      <c r="G48" s="308"/>
      <c r="H48" s="308"/>
      <c r="I48" s="308"/>
      <c r="J48" s="308"/>
      <c r="K48" s="308"/>
      <c r="L48" s="308"/>
      <c r="M48" s="308"/>
      <c r="N48" s="308"/>
      <c r="O48" s="308"/>
      <c r="P48" s="308"/>
      <c r="Q48" s="308"/>
      <c r="R48" s="308"/>
      <c r="S48" s="153"/>
    </row>
    <row r="49" spans="2:19" x14ac:dyDescent="0.25">
      <c r="B49" s="156"/>
      <c r="D49" s="206" t="s">
        <v>1070</v>
      </c>
      <c r="E49" s="206" t="s">
        <v>1092</v>
      </c>
      <c r="F49" s="206" t="s">
        <v>685</v>
      </c>
      <c r="G49" s="206" t="s">
        <v>686</v>
      </c>
      <c r="H49" s="206" t="s">
        <v>687</v>
      </c>
      <c r="I49" s="206" t="s">
        <v>688</v>
      </c>
      <c r="J49" s="206" t="s">
        <v>689</v>
      </c>
      <c r="K49" s="206" t="s">
        <v>690</v>
      </c>
      <c r="L49" s="505"/>
      <c r="M49" s="505"/>
      <c r="N49" s="505"/>
      <c r="O49" s="505"/>
      <c r="P49" s="505"/>
      <c r="Q49" s="505"/>
      <c r="S49" s="155"/>
    </row>
    <row r="50" spans="2:19" x14ac:dyDescent="0.25">
      <c r="B50" s="156"/>
      <c r="C50" s="320" t="s">
        <v>1107</v>
      </c>
      <c r="D50" s="574">
        <v>21</v>
      </c>
      <c r="E50" s="906" t="s">
        <v>1122</v>
      </c>
      <c r="F50" s="601">
        <v>4</v>
      </c>
      <c r="G50" s="581"/>
      <c r="H50" s="581"/>
      <c r="I50" s="581"/>
      <c r="J50" s="581"/>
      <c r="K50" s="319">
        <f>SUM(F50:J50)</f>
        <v>4</v>
      </c>
      <c r="L50" t="s">
        <v>1167</v>
      </c>
      <c r="S50" s="155"/>
    </row>
    <row r="51" spans="2:19" x14ac:dyDescent="0.25">
      <c r="B51" s="156"/>
      <c r="C51" s="320" t="s">
        <v>1108</v>
      </c>
      <c r="D51" s="574">
        <v>28</v>
      </c>
      <c r="E51" s="575">
        <v>1</v>
      </c>
      <c r="F51" s="601">
        <v>12</v>
      </c>
      <c r="G51" s="601"/>
      <c r="H51" s="581"/>
      <c r="I51" s="581"/>
      <c r="J51" s="581"/>
      <c r="K51" s="319">
        <f>SUM(F51:J51)</f>
        <v>12</v>
      </c>
      <c r="L51" t="s">
        <v>1167</v>
      </c>
      <c r="S51" s="155"/>
    </row>
    <row r="52" spans="2:19" x14ac:dyDescent="0.25">
      <c r="B52" s="156"/>
      <c r="C52" s="320" t="s">
        <v>960</v>
      </c>
      <c r="D52" s="574">
        <v>21</v>
      </c>
      <c r="E52" s="906" t="s">
        <v>1122</v>
      </c>
      <c r="F52" s="601">
        <v>3.6</v>
      </c>
      <c r="G52" s="581"/>
      <c r="H52" s="581"/>
      <c r="I52" s="581"/>
      <c r="J52" s="581"/>
      <c r="K52" s="319">
        <f t="shared" ref="K52:K55" si="0">SUM(F52:J52)</f>
        <v>3.6</v>
      </c>
      <c r="L52" t="s">
        <v>1166</v>
      </c>
      <c r="S52" s="155"/>
    </row>
    <row r="53" spans="2:19" x14ac:dyDescent="0.25">
      <c r="B53" s="156"/>
      <c r="C53" s="320" t="s">
        <v>1068</v>
      </c>
      <c r="D53" s="577">
        <v>21</v>
      </c>
      <c r="E53" s="578">
        <v>1</v>
      </c>
      <c r="F53" s="602">
        <v>10.5</v>
      </c>
      <c r="G53" s="581"/>
      <c r="H53" s="581"/>
      <c r="I53" s="581"/>
      <c r="J53" s="581"/>
      <c r="K53" s="319">
        <f t="shared" si="0"/>
        <v>10.5</v>
      </c>
      <c r="L53" t="s">
        <v>1166</v>
      </c>
      <c r="S53" s="155"/>
    </row>
    <row r="54" spans="2:19" x14ac:dyDescent="0.25">
      <c r="B54" s="156"/>
      <c r="C54" s="320" t="s">
        <v>1069</v>
      </c>
      <c r="D54" s="577">
        <v>42</v>
      </c>
      <c r="E54" s="578">
        <v>1</v>
      </c>
      <c r="F54" s="602">
        <v>5.5</v>
      </c>
      <c r="G54" s="581"/>
      <c r="H54" s="581"/>
      <c r="I54" s="581"/>
      <c r="J54" s="581"/>
      <c r="K54" s="319">
        <f t="shared" si="0"/>
        <v>5.5</v>
      </c>
      <c r="L54" t="s">
        <v>1166</v>
      </c>
      <c r="S54" s="155"/>
    </row>
    <row r="55" spans="2:19" x14ac:dyDescent="0.25">
      <c r="B55" s="156"/>
      <c r="C55" s="320" t="s">
        <v>1081</v>
      </c>
      <c r="D55" s="577">
        <v>21</v>
      </c>
      <c r="E55" s="578">
        <v>1</v>
      </c>
      <c r="F55" s="602">
        <v>3</v>
      </c>
      <c r="G55" s="581"/>
      <c r="H55" s="581"/>
      <c r="I55" s="581"/>
      <c r="J55" s="581"/>
      <c r="K55" s="319">
        <f t="shared" si="0"/>
        <v>3</v>
      </c>
      <c r="L55" t="s">
        <v>1167</v>
      </c>
      <c r="S55" s="155"/>
    </row>
    <row r="56" spans="2:19" x14ac:dyDescent="0.25">
      <c r="B56" s="156"/>
      <c r="D56" s="148"/>
      <c r="E56" s="148"/>
      <c r="F56" s="148"/>
      <c r="G56" s="148"/>
      <c r="S56" s="155"/>
    </row>
    <row r="57" spans="2:19" ht="32.1" customHeight="1" x14ac:dyDescent="0.25">
      <c r="B57" s="156"/>
      <c r="C57" s="203" t="s">
        <v>691</v>
      </c>
      <c r="D57" s="208" t="s">
        <v>692</v>
      </c>
      <c r="E57" s="204"/>
      <c r="F57" s="204"/>
      <c r="G57" s="204"/>
      <c r="H57" s="205"/>
      <c r="I57" s="206" t="s">
        <v>693</v>
      </c>
      <c r="J57" s="161" t="s">
        <v>694</v>
      </c>
      <c r="K57" s="206" t="s">
        <v>695</v>
      </c>
      <c r="S57" s="155"/>
    </row>
    <row r="58" spans="2:19" x14ac:dyDescent="0.25">
      <c r="B58" s="156"/>
      <c r="C58" s="320" t="s">
        <v>962</v>
      </c>
      <c r="D58" t="s">
        <v>981</v>
      </c>
      <c r="E58" s="196"/>
      <c r="F58" s="196"/>
      <c r="G58" s="196"/>
      <c r="H58" s="192"/>
      <c r="I58" s="579"/>
      <c r="J58" s="580">
        <v>0.2</v>
      </c>
      <c r="K58" s="326" t="s">
        <v>1071</v>
      </c>
      <c r="S58" s="155"/>
    </row>
    <row r="59" spans="2:19" x14ac:dyDescent="0.25">
      <c r="B59" s="156"/>
      <c r="C59" s="320" t="s">
        <v>962</v>
      </c>
      <c r="D59" s="230" t="s">
        <v>982</v>
      </c>
      <c r="E59" s="196"/>
      <c r="F59" s="196"/>
      <c r="G59" s="196"/>
      <c r="H59" s="192"/>
      <c r="I59" s="762"/>
      <c r="J59" s="580">
        <v>0.2</v>
      </c>
      <c r="K59" s="326" t="s">
        <v>1071</v>
      </c>
      <c r="S59" s="155"/>
    </row>
    <row r="60" spans="2:19" x14ac:dyDescent="0.25">
      <c r="B60" s="156"/>
      <c r="C60" s="320" t="s">
        <v>964</v>
      </c>
      <c r="D60" s="195" t="s">
        <v>965</v>
      </c>
      <c r="E60" s="196"/>
      <c r="F60" s="196"/>
      <c r="G60" s="196"/>
      <c r="H60" s="192"/>
      <c r="I60" s="592"/>
      <c r="J60" s="580">
        <v>0.2</v>
      </c>
      <c r="K60" s="326" t="s">
        <v>1071</v>
      </c>
      <c r="S60" s="155"/>
    </row>
    <row r="61" spans="2:19" x14ac:dyDescent="0.25">
      <c r="B61" s="156"/>
      <c r="C61" s="320" t="s">
        <v>980</v>
      </c>
      <c r="D61" s="195" t="s">
        <v>963</v>
      </c>
      <c r="E61" s="196"/>
      <c r="F61" s="196"/>
      <c r="G61" s="196"/>
      <c r="H61" s="192"/>
      <c r="I61" s="592"/>
      <c r="J61" s="580">
        <v>0.2</v>
      </c>
      <c r="K61" s="326" t="s">
        <v>1071</v>
      </c>
      <c r="S61" s="155"/>
    </row>
    <row r="62" spans="2:19" x14ac:dyDescent="0.25">
      <c r="B62" s="156"/>
      <c r="C62" s="156" t="s">
        <v>966</v>
      </c>
      <c r="D62" s="230" t="s">
        <v>967</v>
      </c>
      <c r="E62" s="192"/>
      <c r="F62" s="196"/>
      <c r="G62" s="196"/>
      <c r="H62" s="192"/>
      <c r="I62" s="761">
        <v>23.18</v>
      </c>
      <c r="J62" s="580">
        <v>0.2</v>
      </c>
      <c r="K62" s="326" t="s">
        <v>968</v>
      </c>
      <c r="S62" s="155"/>
    </row>
    <row r="63" spans="2:19" x14ac:dyDescent="0.25">
      <c r="B63" s="156"/>
      <c r="C63" s="230" t="s">
        <v>966</v>
      </c>
      <c r="D63" s="230" t="s">
        <v>969</v>
      </c>
      <c r="E63" s="192"/>
      <c r="F63" s="196"/>
      <c r="G63" s="196"/>
      <c r="H63" s="192"/>
      <c r="I63" s="761">
        <v>38.93</v>
      </c>
      <c r="J63" s="580">
        <v>0.2</v>
      </c>
      <c r="K63" s="326" t="s">
        <v>968</v>
      </c>
      <c r="S63" s="155"/>
    </row>
    <row r="64" spans="2:19" x14ac:dyDescent="0.25">
      <c r="B64" s="156"/>
      <c r="C64" s="230" t="s">
        <v>970</v>
      </c>
      <c r="D64" s="230" t="s">
        <v>971</v>
      </c>
      <c r="E64" s="192"/>
      <c r="F64" s="196"/>
      <c r="G64" s="196"/>
      <c r="H64" s="192"/>
      <c r="I64" s="761">
        <v>37.340000000000003</v>
      </c>
      <c r="J64" s="580">
        <v>0.2</v>
      </c>
      <c r="K64" s="326" t="s">
        <v>968</v>
      </c>
      <c r="S64" s="155"/>
    </row>
    <row r="65" spans="2:19" x14ac:dyDescent="0.25">
      <c r="B65" s="156"/>
      <c r="C65" s="230" t="s">
        <v>970</v>
      </c>
      <c r="D65" s="230" t="s">
        <v>972</v>
      </c>
      <c r="E65" s="192"/>
      <c r="F65" s="196"/>
      <c r="G65" s="196"/>
      <c r="H65" s="192"/>
      <c r="I65" s="761">
        <v>3.67</v>
      </c>
      <c r="J65" s="580">
        <v>0.2</v>
      </c>
      <c r="K65" s="326" t="s">
        <v>968</v>
      </c>
      <c r="S65" s="155"/>
    </row>
    <row r="66" spans="2:19" x14ac:dyDescent="0.25">
      <c r="B66" s="156"/>
      <c r="C66" s="230" t="s">
        <v>984</v>
      </c>
      <c r="D66" s="230" t="s">
        <v>983</v>
      </c>
      <c r="E66" s="192"/>
      <c r="F66" s="196"/>
      <c r="G66" s="196"/>
      <c r="H66" s="192"/>
      <c r="I66" s="761">
        <v>19.7</v>
      </c>
      <c r="J66" s="580">
        <v>0.2</v>
      </c>
      <c r="K66" s="326" t="s">
        <v>968</v>
      </c>
      <c r="S66" s="155"/>
    </row>
    <row r="67" spans="2:19" x14ac:dyDescent="0.25">
      <c r="B67" s="156"/>
      <c r="C67" s="230" t="s">
        <v>973</v>
      </c>
      <c r="D67" s="230" t="s">
        <v>974</v>
      </c>
      <c r="E67" s="192"/>
      <c r="F67" s="196"/>
      <c r="G67" s="196"/>
      <c r="H67" s="192"/>
      <c r="I67" s="761">
        <v>19.739999999999998</v>
      </c>
      <c r="J67" s="580">
        <v>0.2</v>
      </c>
      <c r="K67" s="326" t="s">
        <v>968</v>
      </c>
      <c r="S67" s="155"/>
    </row>
    <row r="68" spans="2:19" x14ac:dyDescent="0.25">
      <c r="B68" s="156"/>
      <c r="C68" s="230" t="s">
        <v>973</v>
      </c>
      <c r="D68" s="230" t="s">
        <v>1072</v>
      </c>
      <c r="E68" s="192"/>
      <c r="F68" s="196"/>
      <c r="G68" s="196"/>
      <c r="H68" s="192"/>
      <c r="I68" s="761">
        <v>17.75</v>
      </c>
      <c r="J68" s="580">
        <v>0.2</v>
      </c>
      <c r="K68" s="326" t="s">
        <v>968</v>
      </c>
      <c r="S68" s="155"/>
    </row>
    <row r="69" spans="2:19" x14ac:dyDescent="0.25">
      <c r="B69" s="156"/>
      <c r="C69" s="230" t="s">
        <v>975</v>
      </c>
      <c r="D69" s="230" t="s">
        <v>976</v>
      </c>
      <c r="E69" s="192"/>
      <c r="F69" s="196"/>
      <c r="G69" s="196"/>
      <c r="H69" s="192"/>
      <c r="I69" s="761">
        <v>12.89</v>
      </c>
      <c r="J69" s="580">
        <v>0.2</v>
      </c>
      <c r="K69" s="326" t="s">
        <v>968</v>
      </c>
      <c r="S69" s="155"/>
    </row>
    <row r="70" spans="2:19" x14ac:dyDescent="0.25">
      <c r="B70" s="156"/>
      <c r="C70" s="230" t="s">
        <v>975</v>
      </c>
      <c r="D70" s="230" t="s">
        <v>977</v>
      </c>
      <c r="E70" s="192"/>
      <c r="F70" s="196"/>
      <c r="G70" s="196"/>
      <c r="H70" s="192"/>
      <c r="I70" s="761">
        <v>31.89</v>
      </c>
      <c r="J70" s="580">
        <v>0.2</v>
      </c>
      <c r="K70" s="326" t="s">
        <v>968</v>
      </c>
      <c r="L70" s="504"/>
      <c r="M70" s="504"/>
      <c r="N70" s="504"/>
      <c r="O70" s="504"/>
      <c r="P70" s="504"/>
      <c r="Q70" s="504"/>
      <c r="S70" s="155"/>
    </row>
    <row r="71" spans="2:19" x14ac:dyDescent="0.25">
      <c r="B71" s="156"/>
      <c r="C71" s="230" t="s">
        <v>978</v>
      </c>
      <c r="D71" s="230" t="s">
        <v>979</v>
      </c>
      <c r="E71" s="192"/>
      <c r="F71" s="196"/>
      <c r="G71" s="196"/>
      <c r="H71" s="192"/>
      <c r="I71" s="761">
        <v>215.12</v>
      </c>
      <c r="J71" s="580">
        <v>0.2</v>
      </c>
      <c r="K71" s="326" t="s">
        <v>968</v>
      </c>
      <c r="L71" s="504"/>
      <c r="M71" s="504"/>
      <c r="N71" s="504"/>
      <c r="O71" s="504"/>
      <c r="P71" s="504"/>
      <c r="Q71" s="504"/>
      <c r="S71" s="155"/>
    </row>
    <row r="72" spans="2:19" x14ac:dyDescent="0.25">
      <c r="B72" s="156"/>
      <c r="C72" s="190" t="s">
        <v>1073</v>
      </c>
      <c r="D72" s="148"/>
      <c r="E72" s="148"/>
      <c r="F72" s="148"/>
      <c r="G72" s="148"/>
      <c r="S72" s="155"/>
    </row>
    <row r="73" spans="2:19" x14ac:dyDescent="0.25">
      <c r="B73" s="156"/>
      <c r="D73" s="148"/>
      <c r="E73" s="148"/>
      <c r="F73" s="148"/>
      <c r="G73" s="148"/>
      <c r="S73" s="155"/>
    </row>
    <row r="74" spans="2:19" x14ac:dyDescent="0.25">
      <c r="B74" s="156"/>
      <c r="C74" s="194" t="s">
        <v>696</v>
      </c>
      <c r="D74" s="581">
        <v>79.3</v>
      </c>
      <c r="E74" s="1058" t="s">
        <v>1075</v>
      </c>
      <c r="F74" s="1056"/>
      <c r="G74" s="1056"/>
      <c r="H74" s="1056"/>
      <c r="I74" s="1056"/>
      <c r="J74" s="1056"/>
      <c r="K74" s="1057"/>
      <c r="S74" s="155"/>
    </row>
    <row r="75" spans="2:19" ht="30" customHeight="1" x14ac:dyDescent="0.25">
      <c r="B75" s="156"/>
      <c r="C75" s="194" t="s">
        <v>697</v>
      </c>
      <c r="D75" s="576">
        <v>1.79</v>
      </c>
      <c r="E75" s="1058" t="s">
        <v>1074</v>
      </c>
      <c r="F75" s="1056"/>
      <c r="G75" s="1056"/>
      <c r="H75" s="1056"/>
      <c r="I75" s="1056"/>
      <c r="J75" s="1056"/>
      <c r="K75" s="1057"/>
      <c r="S75" s="155"/>
    </row>
    <row r="76" spans="2:19" x14ac:dyDescent="0.25">
      <c r="B76" s="156"/>
      <c r="S76" s="155"/>
    </row>
    <row r="77" spans="2:19" x14ac:dyDescent="0.25">
      <c r="B77" s="156"/>
      <c r="C77" s="145" t="s">
        <v>698</v>
      </c>
      <c r="S77" s="155"/>
    </row>
    <row r="78" spans="2:19" x14ac:dyDescent="0.25">
      <c r="B78" s="156"/>
      <c r="D78" s="335" t="s">
        <v>699</v>
      </c>
      <c r="E78" s="835" t="s">
        <v>700</v>
      </c>
      <c r="F78" s="836" t="s">
        <v>701</v>
      </c>
      <c r="G78" s="836" t="s">
        <v>702</v>
      </c>
      <c r="H78" s="836" t="s">
        <v>703</v>
      </c>
      <c r="I78" s="206" t="s">
        <v>704</v>
      </c>
      <c r="J78" s="206" t="s">
        <v>705</v>
      </c>
      <c r="L78" s="206" t="s">
        <v>700</v>
      </c>
      <c r="M78" s="512" t="s">
        <v>701</v>
      </c>
      <c r="N78" s="207" t="s">
        <v>702</v>
      </c>
      <c r="O78" s="207" t="s">
        <v>703</v>
      </c>
      <c r="P78" s="206" t="s">
        <v>704</v>
      </c>
      <c r="Q78" s="206" t="s">
        <v>705</v>
      </c>
      <c r="S78" s="155"/>
    </row>
    <row r="79" spans="2:19" x14ac:dyDescent="0.25">
      <c r="B79" s="156"/>
      <c r="D79" s="832" t="s">
        <v>985</v>
      </c>
      <c r="E79" s="833"/>
      <c r="F79" s="833"/>
      <c r="G79" s="833"/>
      <c r="H79" s="833"/>
      <c r="I79" s="833"/>
      <c r="J79" s="833"/>
      <c r="L79" s="829"/>
      <c r="M79" s="819"/>
      <c r="N79" s="819"/>
      <c r="O79" s="819"/>
      <c r="P79" s="819"/>
      <c r="Q79" s="819"/>
      <c r="S79" s="155"/>
    </row>
    <row r="80" spans="2:19" x14ac:dyDescent="0.25">
      <c r="B80" s="156"/>
      <c r="D80" s="817" t="s">
        <v>993</v>
      </c>
      <c r="E80" s="582">
        <v>0</v>
      </c>
      <c r="F80" s="583">
        <v>0.15</v>
      </c>
      <c r="G80" s="583">
        <v>0.3</v>
      </c>
      <c r="H80" s="583">
        <f t="shared" ref="H80:J82" si="1">100%/3</f>
        <v>0.33333333333333331</v>
      </c>
      <c r="I80" s="583">
        <f t="shared" si="1"/>
        <v>0.33333333333333331</v>
      </c>
      <c r="J80" s="583">
        <f>100%/3</f>
        <v>0.33333333333333331</v>
      </c>
      <c r="L80" s="820">
        <f t="shared" ref="L80:Q80" si="2">F44*E80</f>
        <v>0</v>
      </c>
      <c r="M80" s="820">
        <f t="shared" si="2"/>
        <v>302.26434251593406</v>
      </c>
      <c r="N80" s="820">
        <f t="shared" si="2"/>
        <v>610.35743421936752</v>
      </c>
      <c r="O80" s="820">
        <f t="shared" si="2"/>
        <v>684.71375898254257</v>
      </c>
      <c r="P80" s="820">
        <f t="shared" si="2"/>
        <v>691.31563721455518</v>
      </c>
      <c r="Q80" s="820">
        <f t="shared" si="2"/>
        <v>697.9811694853812</v>
      </c>
      <c r="S80" s="155"/>
    </row>
    <row r="81" spans="2:19" x14ac:dyDescent="0.25">
      <c r="B81" s="156"/>
      <c r="D81" s="163" t="s">
        <v>986</v>
      </c>
      <c r="E81" s="583">
        <v>0.05</v>
      </c>
      <c r="F81" s="583">
        <v>0.2</v>
      </c>
      <c r="G81" s="583">
        <v>0.3</v>
      </c>
      <c r="H81" s="583">
        <f t="shared" si="1"/>
        <v>0.33333333333333331</v>
      </c>
      <c r="I81" s="583">
        <f t="shared" si="1"/>
        <v>0.33333333333333331</v>
      </c>
      <c r="J81" s="583">
        <f t="shared" si="1"/>
        <v>0.33333333333333331</v>
      </c>
      <c r="L81" s="820">
        <f t="shared" ref="L81:Q81" si="3">F44*E81</f>
        <v>99.792599804999995</v>
      </c>
      <c r="M81" s="820">
        <f t="shared" si="3"/>
        <v>403.01912335457882</v>
      </c>
      <c r="N81" s="820">
        <f t="shared" si="3"/>
        <v>610.35743421936752</v>
      </c>
      <c r="O81" s="820">
        <f t="shared" si="3"/>
        <v>684.71375898254257</v>
      </c>
      <c r="P81" s="820">
        <f t="shared" si="3"/>
        <v>691.31563721455518</v>
      </c>
      <c r="Q81" s="820">
        <f t="shared" si="3"/>
        <v>697.9811694853812</v>
      </c>
      <c r="S81" s="155"/>
    </row>
    <row r="82" spans="2:19" x14ac:dyDescent="0.25">
      <c r="B82" s="156"/>
      <c r="D82" s="163" t="s">
        <v>987</v>
      </c>
      <c r="E82" s="583">
        <v>0.95</v>
      </c>
      <c r="F82" s="583">
        <v>0.65</v>
      </c>
      <c r="G82" s="583">
        <v>0.4</v>
      </c>
      <c r="H82" s="583">
        <f t="shared" si="1"/>
        <v>0.33333333333333331</v>
      </c>
      <c r="I82" s="583">
        <f>100%/3</f>
        <v>0.33333333333333331</v>
      </c>
      <c r="J82" s="583">
        <f t="shared" si="1"/>
        <v>0.33333333333333331</v>
      </c>
      <c r="L82" s="820">
        <f t="shared" ref="L82:Q82" si="4">F44*E82</f>
        <v>1896.0593962949997</v>
      </c>
      <c r="M82" s="820">
        <f t="shared" si="4"/>
        <v>1309.8121509023811</v>
      </c>
      <c r="N82" s="820">
        <f t="shared" si="4"/>
        <v>813.80991229249014</v>
      </c>
      <c r="O82" s="820">
        <f t="shared" si="4"/>
        <v>684.71375898254257</v>
      </c>
      <c r="P82" s="820">
        <f t="shared" si="4"/>
        <v>691.31563721455518</v>
      </c>
      <c r="Q82" s="820">
        <f t="shared" si="4"/>
        <v>697.9811694853812</v>
      </c>
      <c r="S82" s="155"/>
    </row>
    <row r="83" spans="2:19" x14ac:dyDescent="0.25">
      <c r="B83" s="156"/>
      <c r="D83" s="219" t="s">
        <v>988</v>
      </c>
      <c r="E83" s="764">
        <f>SUM(E80:E82)</f>
        <v>1</v>
      </c>
      <c r="F83" s="764">
        <f t="shared" ref="F83:J83" si="5">SUM(F80:F82)</f>
        <v>1</v>
      </c>
      <c r="G83" s="764">
        <f t="shared" si="5"/>
        <v>1</v>
      </c>
      <c r="H83" s="764">
        <f t="shared" si="5"/>
        <v>1</v>
      </c>
      <c r="I83" s="764">
        <f t="shared" si="5"/>
        <v>1</v>
      </c>
      <c r="J83" s="764">
        <f t="shared" si="5"/>
        <v>1</v>
      </c>
      <c r="L83" s="821">
        <f>SUM(L80:L82)</f>
        <v>1995.8519960999997</v>
      </c>
      <c r="M83" s="821">
        <f t="shared" ref="M83:Q83" si="6">SUM(M80:M82)</f>
        <v>2015.0956167728939</v>
      </c>
      <c r="N83" s="821">
        <f t="shared" si="6"/>
        <v>2034.5247807312253</v>
      </c>
      <c r="O83" s="821">
        <f t="shared" si="6"/>
        <v>2054.1412769476278</v>
      </c>
      <c r="P83" s="821">
        <f t="shared" si="6"/>
        <v>2073.9469116436658</v>
      </c>
      <c r="Q83" s="821">
        <f t="shared" si="6"/>
        <v>2093.9435084561437</v>
      </c>
      <c r="S83" s="155"/>
    </row>
    <row r="84" spans="2:19" x14ac:dyDescent="0.25">
      <c r="B84" s="156"/>
      <c r="D84" s="830"/>
      <c r="E84" s="831"/>
      <c r="F84" s="831"/>
      <c r="G84" s="831"/>
      <c r="H84" s="831"/>
      <c r="I84" s="831"/>
      <c r="J84" s="831"/>
      <c r="L84" s="828"/>
      <c r="M84" s="828"/>
      <c r="N84" s="828"/>
      <c r="O84" s="828"/>
      <c r="P84" s="828"/>
      <c r="Q84" s="828"/>
      <c r="S84" s="155"/>
    </row>
    <row r="85" spans="2:19" x14ac:dyDescent="0.25">
      <c r="B85" s="156"/>
      <c r="C85" t="s">
        <v>1066</v>
      </c>
      <c r="D85" s="332"/>
      <c r="E85" s="1007"/>
      <c r="F85" s="1007"/>
      <c r="G85" s="1007"/>
      <c r="H85" s="1007"/>
      <c r="I85" s="1007"/>
      <c r="J85" s="1007"/>
      <c r="L85" s="828"/>
      <c r="M85" s="828"/>
      <c r="N85" s="828"/>
      <c r="O85" s="828"/>
      <c r="P85" s="828"/>
      <c r="Q85" s="828"/>
      <c r="S85" s="155"/>
    </row>
    <row r="86" spans="2:19" x14ac:dyDescent="0.25">
      <c r="B86" s="156"/>
      <c r="C86" t="s">
        <v>1152</v>
      </c>
      <c r="D86" s="332"/>
      <c r="E86" s="1007"/>
      <c r="F86" s="1007"/>
      <c r="G86" s="1007"/>
      <c r="H86" s="1007"/>
      <c r="I86" s="1007"/>
      <c r="J86" s="1007"/>
      <c r="L86" s="828"/>
      <c r="M86" s="828"/>
      <c r="N86" s="828"/>
      <c r="O86" s="828"/>
      <c r="P86" s="828"/>
      <c r="Q86" s="828"/>
      <c r="S86" s="155"/>
    </row>
    <row r="87" spans="2:19" x14ac:dyDescent="0.25">
      <c r="B87" s="156"/>
      <c r="D87" s="332"/>
      <c r="E87" s="1007"/>
      <c r="F87" s="1007"/>
      <c r="G87" s="1007"/>
      <c r="H87" s="1007"/>
      <c r="I87" s="1007"/>
      <c r="J87" s="1007"/>
      <c r="L87" s="828"/>
      <c r="M87" s="828"/>
      <c r="N87" s="828"/>
      <c r="O87" s="828"/>
      <c r="P87" s="828"/>
      <c r="Q87" s="828"/>
      <c r="S87" s="155"/>
    </row>
    <row r="88" spans="2:19" x14ac:dyDescent="0.25">
      <c r="B88" s="156"/>
      <c r="D88" s="834" t="s">
        <v>989</v>
      </c>
      <c r="E88" s="833"/>
      <c r="F88" s="833"/>
      <c r="G88" s="833"/>
      <c r="H88" s="833"/>
      <c r="I88" s="833"/>
      <c r="J88" s="833"/>
      <c r="L88" s="829"/>
      <c r="M88" s="829"/>
      <c r="N88" s="829"/>
      <c r="O88" s="829"/>
      <c r="P88" s="829"/>
      <c r="Q88" s="829"/>
      <c r="S88" s="155"/>
    </row>
    <row r="89" spans="2:19" ht="45" x14ac:dyDescent="0.25">
      <c r="B89" s="156"/>
      <c r="D89" s="163" t="s">
        <v>992</v>
      </c>
      <c r="E89" s="765">
        <v>0.66</v>
      </c>
      <c r="F89" s="766">
        <v>0.66</v>
      </c>
      <c r="G89" s="766">
        <v>0.66</v>
      </c>
      <c r="H89" s="765">
        <v>0.66</v>
      </c>
      <c r="I89" s="766">
        <v>0.66</v>
      </c>
      <c r="J89" s="767">
        <v>0.66</v>
      </c>
      <c r="L89" s="824">
        <f>L80*E89</f>
        <v>0</v>
      </c>
      <c r="M89" s="825">
        <f t="shared" ref="M89:Q89" si="7">M80*F89</f>
        <v>199.49446606051649</v>
      </c>
      <c r="N89" s="825">
        <f t="shared" si="7"/>
        <v>402.83590658478261</v>
      </c>
      <c r="O89" s="825">
        <f t="shared" si="7"/>
        <v>451.9110809284781</v>
      </c>
      <c r="P89" s="825">
        <f t="shared" si="7"/>
        <v>456.26832056160646</v>
      </c>
      <c r="Q89" s="825">
        <f t="shared" si="7"/>
        <v>460.66757186035164</v>
      </c>
      <c r="S89" s="155"/>
    </row>
    <row r="90" spans="2:19" ht="45" x14ac:dyDescent="0.25">
      <c r="B90" s="156"/>
      <c r="D90" s="163" t="s">
        <v>990</v>
      </c>
      <c r="E90" s="765">
        <f>89.2%-18%</f>
        <v>0.71199999999999997</v>
      </c>
      <c r="F90" s="766">
        <f t="shared" ref="F90:J90" si="8">89.2%-18%</f>
        <v>0.71199999999999997</v>
      </c>
      <c r="G90" s="766">
        <f t="shared" si="8"/>
        <v>0.71199999999999997</v>
      </c>
      <c r="H90" s="765">
        <f t="shared" si="8"/>
        <v>0.71199999999999997</v>
      </c>
      <c r="I90" s="766">
        <f t="shared" si="8"/>
        <v>0.71199999999999997</v>
      </c>
      <c r="J90" s="767">
        <f t="shared" si="8"/>
        <v>0.71199999999999997</v>
      </c>
      <c r="L90" s="820">
        <f t="shared" ref="L90:Q90" si="9">E90*L81</f>
        <v>71.05233106115999</v>
      </c>
      <c r="M90" s="820">
        <f t="shared" si="9"/>
        <v>286.94961582846008</v>
      </c>
      <c r="N90" s="820">
        <f t="shared" si="9"/>
        <v>434.57449316418968</v>
      </c>
      <c r="O90" s="820">
        <f t="shared" si="9"/>
        <v>487.51619639557026</v>
      </c>
      <c r="P90" s="820">
        <f t="shared" si="9"/>
        <v>492.21673369676324</v>
      </c>
      <c r="Q90" s="820">
        <f t="shared" si="9"/>
        <v>496.96259267359142</v>
      </c>
      <c r="S90" s="155"/>
    </row>
    <row r="91" spans="2:19" ht="15.6" customHeight="1" x14ac:dyDescent="0.25">
      <c r="B91" s="156"/>
      <c r="D91" s="163"/>
      <c r="E91" s="818"/>
      <c r="F91" s="818"/>
      <c r="G91" s="818"/>
      <c r="H91" s="818"/>
      <c r="I91" s="818"/>
      <c r="J91" s="763"/>
      <c r="L91" s="822"/>
      <c r="M91" s="819"/>
      <c r="N91" s="819"/>
      <c r="O91" s="819"/>
      <c r="P91" s="819"/>
      <c r="Q91" s="823"/>
      <c r="S91" s="155"/>
    </row>
    <row r="92" spans="2:19" ht="30" x14ac:dyDescent="0.25">
      <c r="B92" s="156"/>
      <c r="D92" s="163" t="s">
        <v>994</v>
      </c>
      <c r="E92" s="768">
        <f>E89*E80</f>
        <v>0</v>
      </c>
      <c r="F92" s="768">
        <f>F89*F80</f>
        <v>9.9000000000000005E-2</v>
      </c>
      <c r="G92" s="768">
        <f t="shared" ref="G92:J92" si="10">G89*G80</f>
        <v>0.19800000000000001</v>
      </c>
      <c r="H92" s="768">
        <f t="shared" si="10"/>
        <v>0.22</v>
      </c>
      <c r="I92" s="768">
        <f>I89*I80</f>
        <v>0.22</v>
      </c>
      <c r="J92" s="803">
        <f t="shared" si="10"/>
        <v>0.22</v>
      </c>
      <c r="L92" s="820">
        <f>L83*E92</f>
        <v>0</v>
      </c>
      <c r="M92" s="820">
        <f t="shared" ref="M92:Q92" si="11">M83*F92</f>
        <v>199.49446606051652</v>
      </c>
      <c r="N92" s="820">
        <f t="shared" si="11"/>
        <v>402.83590658478261</v>
      </c>
      <c r="O92" s="820">
        <f t="shared" si="11"/>
        <v>451.9110809284781</v>
      </c>
      <c r="P92" s="820">
        <f t="shared" si="11"/>
        <v>456.26832056160646</v>
      </c>
      <c r="Q92" s="820">
        <f t="shared" si="11"/>
        <v>460.66757186035164</v>
      </c>
      <c r="S92" s="155"/>
    </row>
    <row r="93" spans="2:19" ht="30" x14ac:dyDescent="0.25">
      <c r="B93" s="156"/>
      <c r="D93" s="163" t="s">
        <v>991</v>
      </c>
      <c r="E93" s="583">
        <f>E90*E81</f>
        <v>3.56E-2</v>
      </c>
      <c r="F93" s="583">
        <f t="shared" ref="F93:J93" si="12">F90*F81</f>
        <v>0.1424</v>
      </c>
      <c r="G93" s="583">
        <f t="shared" si="12"/>
        <v>0.21359999999999998</v>
      </c>
      <c r="H93" s="583">
        <f t="shared" si="12"/>
        <v>0.23733333333333331</v>
      </c>
      <c r="I93" s="583">
        <f t="shared" si="12"/>
        <v>0.23733333333333331</v>
      </c>
      <c r="J93" s="583">
        <f t="shared" si="12"/>
        <v>0.23733333333333331</v>
      </c>
      <c r="L93" s="820">
        <f>E93*L83</f>
        <v>71.05233106115999</v>
      </c>
      <c r="M93" s="820">
        <f t="shared" ref="M93:Q93" si="13">F93*M83</f>
        <v>286.94961582846008</v>
      </c>
      <c r="N93" s="820">
        <f t="shared" si="13"/>
        <v>434.57449316418968</v>
      </c>
      <c r="O93" s="820">
        <f t="shared" si="13"/>
        <v>487.51619639557032</v>
      </c>
      <c r="P93" s="820">
        <f t="shared" si="13"/>
        <v>492.2167336967633</v>
      </c>
      <c r="Q93" s="820">
        <f t="shared" si="13"/>
        <v>496.96259267359142</v>
      </c>
      <c r="S93" s="155"/>
    </row>
    <row r="94" spans="2:19" x14ac:dyDescent="0.25">
      <c r="B94" s="156"/>
      <c r="D94" s="219" t="s">
        <v>988</v>
      </c>
      <c r="E94" s="827">
        <f t="shared" ref="E94:J94" si="14">SUM(E92:E93)</f>
        <v>3.56E-2</v>
      </c>
      <c r="F94" s="827">
        <f t="shared" si="14"/>
        <v>0.2414</v>
      </c>
      <c r="G94" s="827">
        <f t="shared" si="14"/>
        <v>0.41159999999999997</v>
      </c>
      <c r="H94" s="827">
        <f t="shared" si="14"/>
        <v>0.45733333333333331</v>
      </c>
      <c r="I94" s="827">
        <f t="shared" si="14"/>
        <v>0.45733333333333331</v>
      </c>
      <c r="J94" s="827">
        <f t="shared" si="14"/>
        <v>0.45733333333333331</v>
      </c>
      <c r="L94" s="826">
        <f t="shared" ref="L94:Q94" si="15">SUM(L92:L93)</f>
        <v>71.05233106115999</v>
      </c>
      <c r="M94" s="826">
        <f t="shared" si="15"/>
        <v>486.4440818889766</v>
      </c>
      <c r="N94" s="826">
        <f t="shared" si="15"/>
        <v>837.41039974897228</v>
      </c>
      <c r="O94" s="826">
        <f t="shared" si="15"/>
        <v>939.42727732404842</v>
      </c>
      <c r="P94" s="826">
        <f t="shared" si="15"/>
        <v>948.4850542583697</v>
      </c>
      <c r="Q94" s="826">
        <f t="shared" si="15"/>
        <v>957.63016453394312</v>
      </c>
      <c r="S94" s="155"/>
    </row>
    <row r="95" spans="2:19" x14ac:dyDescent="0.25">
      <c r="B95" s="156"/>
      <c r="E95" s="329"/>
      <c r="F95" s="329"/>
      <c r="G95" s="329"/>
      <c r="H95" s="329"/>
      <c r="I95" s="329"/>
      <c r="J95" s="329"/>
      <c r="S95" s="155"/>
    </row>
    <row r="96" spans="2:19" x14ac:dyDescent="0.25">
      <c r="B96" s="156"/>
      <c r="C96" s="145" t="s">
        <v>995</v>
      </c>
      <c r="D96" s="755"/>
      <c r="E96" s="488"/>
      <c r="F96" s="488"/>
      <c r="G96" s="488"/>
      <c r="H96" s="488"/>
      <c r="I96" s="488"/>
      <c r="J96" s="488"/>
      <c r="K96" s="488"/>
      <c r="L96" s="1048"/>
      <c r="M96" s="1048"/>
      <c r="N96" s="1048"/>
      <c r="O96" s="1048"/>
      <c r="P96" s="1048"/>
      <c r="Q96" s="1048"/>
      <c r="S96" s="155"/>
    </row>
    <row r="97" spans="2:19" x14ac:dyDescent="0.25">
      <c r="B97" s="156"/>
      <c r="C97" t="s">
        <v>996</v>
      </c>
      <c r="E97" s="488"/>
      <c r="F97" s="488"/>
      <c r="G97" s="488"/>
      <c r="H97" s="488"/>
      <c r="I97" s="488"/>
      <c r="J97" s="488"/>
      <c r="K97" s="488"/>
      <c r="L97" s="1048"/>
      <c r="M97" s="1048"/>
      <c r="N97" s="1048"/>
      <c r="O97" s="1048"/>
      <c r="P97" s="1048"/>
      <c r="Q97" s="1048"/>
      <c r="S97" s="155"/>
    </row>
    <row r="98" spans="2:19" ht="14.45" customHeight="1" x14ac:dyDescent="0.25">
      <c r="B98" s="156"/>
      <c r="C98" s="1049" t="s">
        <v>1147</v>
      </c>
      <c r="D98" s="1049"/>
      <c r="E98" s="1049"/>
      <c r="F98" s="1049"/>
      <c r="G98" s="1049"/>
      <c r="H98" s="1049"/>
      <c r="I98" s="1049"/>
      <c r="J98" s="1049"/>
      <c r="K98" s="1049"/>
      <c r="L98" s="1049"/>
      <c r="M98" s="1049"/>
      <c r="N98" s="1049"/>
      <c r="O98" s="1049"/>
      <c r="P98" s="1049"/>
      <c r="Q98" s="1049"/>
      <c r="S98" s="155"/>
    </row>
    <row r="99" spans="2:19" ht="14.45" customHeight="1" x14ac:dyDescent="0.25">
      <c r="B99" s="156"/>
      <c r="C99" s="1049" t="s">
        <v>1146</v>
      </c>
      <c r="D99" s="1049"/>
      <c r="E99" s="1049"/>
      <c r="F99" s="1049"/>
      <c r="G99" s="1049"/>
      <c r="H99" s="1049"/>
      <c r="I99" s="1049"/>
      <c r="J99" s="1049"/>
      <c r="K99" s="1049"/>
      <c r="L99" s="1049"/>
      <c r="M99" s="1049"/>
      <c r="N99" s="1049"/>
      <c r="O99" s="1049"/>
      <c r="P99" s="1049"/>
      <c r="Q99" s="1049"/>
      <c r="S99" s="155"/>
    </row>
    <row r="100" spans="2:19" ht="14.45" customHeight="1" x14ac:dyDescent="0.25">
      <c r="B100" s="156"/>
      <c r="C100" t="s">
        <v>1067</v>
      </c>
      <c r="D100" s="945"/>
      <c r="E100" s="945"/>
      <c r="F100" s="945"/>
      <c r="G100" s="945"/>
      <c r="H100" s="945"/>
      <c r="I100" s="945"/>
      <c r="J100" s="945"/>
      <c r="K100" s="945"/>
      <c r="L100" s="945"/>
      <c r="M100" s="945"/>
      <c r="N100" s="945"/>
      <c r="O100" s="945"/>
      <c r="P100" s="945"/>
      <c r="Q100" s="945"/>
      <c r="S100" s="155"/>
    </row>
    <row r="101" spans="2:19" ht="14.45" customHeight="1" x14ac:dyDescent="0.25">
      <c r="B101" s="156"/>
      <c r="C101" t="s">
        <v>1148</v>
      </c>
      <c r="D101" s="945"/>
      <c r="E101" s="945"/>
      <c r="F101" s="945"/>
      <c r="G101" s="945"/>
      <c r="H101" s="945"/>
      <c r="I101" s="945"/>
      <c r="J101" s="945"/>
      <c r="K101" s="945"/>
      <c r="L101" s="945"/>
      <c r="M101" s="945"/>
      <c r="N101" s="945"/>
      <c r="O101" s="945"/>
      <c r="P101" s="945"/>
      <c r="Q101" s="945"/>
      <c r="S101" s="155"/>
    </row>
    <row r="102" spans="2:19" ht="14.45" customHeight="1" x14ac:dyDescent="0.25">
      <c r="B102" s="156"/>
      <c r="C102" t="s">
        <v>1149</v>
      </c>
      <c r="D102" s="945"/>
      <c r="E102" s="945"/>
      <c r="F102" s="945"/>
      <c r="G102" s="945"/>
      <c r="H102" s="945"/>
      <c r="I102" s="945"/>
      <c r="J102" s="945"/>
      <c r="K102" s="945"/>
      <c r="L102" s="945"/>
      <c r="M102" s="945"/>
      <c r="N102" s="945"/>
      <c r="O102" s="945"/>
      <c r="P102" s="945"/>
      <c r="Q102" s="945"/>
      <c r="S102" s="155"/>
    </row>
    <row r="103" spans="2:19" ht="14.45" customHeight="1" x14ac:dyDescent="0.25">
      <c r="B103" s="156"/>
      <c r="C103" s="328" t="s">
        <v>1150</v>
      </c>
      <c r="D103" s="945"/>
      <c r="E103" s="945"/>
      <c r="F103" s="945"/>
      <c r="G103" s="945"/>
      <c r="H103" s="945"/>
      <c r="I103" s="945"/>
      <c r="J103" s="945"/>
      <c r="K103" s="945"/>
      <c r="L103" s="945"/>
      <c r="M103" s="945"/>
      <c r="N103" s="945"/>
      <c r="O103" s="945"/>
      <c r="P103" s="945"/>
      <c r="Q103" s="945"/>
      <c r="S103" s="155"/>
    </row>
    <row r="104" spans="2:19" ht="43.5" customHeight="1" x14ac:dyDescent="0.25">
      <c r="B104" s="156"/>
      <c r="C104" s="1048" t="s">
        <v>1151</v>
      </c>
      <c r="D104" s="1048"/>
      <c r="E104" s="1048"/>
      <c r="F104" s="1048"/>
      <c r="G104" s="1048"/>
      <c r="H104" s="1048"/>
      <c r="I104" s="1048"/>
      <c r="J104" s="1048"/>
      <c r="K104" s="1048"/>
      <c r="L104" s="1048"/>
      <c r="M104" s="1048"/>
      <c r="N104" s="1048"/>
      <c r="O104" s="1048"/>
      <c r="P104" s="1048"/>
      <c r="Q104" s="1048"/>
      <c r="R104" s="1048"/>
      <c r="S104" s="155"/>
    </row>
    <row r="105" spans="2:19" x14ac:dyDescent="0.25">
      <c r="B105" s="157"/>
      <c r="C105" s="158"/>
      <c r="D105" s="158"/>
      <c r="E105" s="158"/>
      <c r="F105" s="158"/>
      <c r="G105" s="158"/>
      <c r="H105" s="158"/>
      <c r="I105" s="158"/>
      <c r="J105" s="158"/>
      <c r="K105" s="158"/>
      <c r="L105" s="158"/>
      <c r="M105" s="158"/>
      <c r="N105" s="158"/>
      <c r="O105" s="158"/>
      <c r="P105" s="158"/>
      <c r="Q105" s="158"/>
      <c r="R105" s="158"/>
      <c r="S105" s="159"/>
    </row>
    <row r="106" spans="2:19" x14ac:dyDescent="0.25">
      <c r="D106" s="192"/>
      <c r="K106" s="192"/>
    </row>
    <row r="107" spans="2:19" x14ac:dyDescent="0.25">
      <c r="B107" s="152" t="s">
        <v>706</v>
      </c>
      <c r="C107" s="308"/>
      <c r="E107" s="308"/>
      <c r="F107" s="308"/>
      <c r="G107" s="308"/>
      <c r="H107" s="308"/>
      <c r="I107" s="308"/>
      <c r="J107" s="308"/>
      <c r="L107" s="308"/>
      <c r="M107" s="308"/>
      <c r="N107" s="308"/>
      <c r="O107" s="308"/>
      <c r="P107" s="308"/>
      <c r="Q107" s="308"/>
      <c r="R107" s="308"/>
      <c r="S107" s="153"/>
    </row>
    <row r="108" spans="2:19" x14ac:dyDescent="0.25">
      <c r="B108" s="156" t="s">
        <v>707</v>
      </c>
      <c r="S108" s="155"/>
    </row>
    <row r="109" spans="2:19" x14ac:dyDescent="0.25">
      <c r="B109" s="156" t="s">
        <v>708</v>
      </c>
      <c r="M109" s="335" t="s">
        <v>1084</v>
      </c>
      <c r="S109" s="155"/>
    </row>
    <row r="110" spans="2:19" x14ac:dyDescent="0.25">
      <c r="B110" s="156"/>
      <c r="C110" s="327"/>
      <c r="D110" s="209"/>
      <c r="E110" s="209"/>
      <c r="F110" s="209"/>
      <c r="J110" s="145"/>
      <c r="M110" s="335" t="s">
        <v>1083</v>
      </c>
      <c r="S110" s="155"/>
    </row>
    <row r="111" spans="2:19" ht="42.95" customHeight="1" x14ac:dyDescent="0.25">
      <c r="B111" s="156"/>
      <c r="C111" s="375" t="s">
        <v>709</v>
      </c>
      <c r="D111" s="375" t="s">
        <v>710</v>
      </c>
      <c r="E111" s="375" t="s">
        <v>711</v>
      </c>
      <c r="F111" s="777" t="s">
        <v>1077</v>
      </c>
      <c r="G111" s="375" t="s">
        <v>1076</v>
      </c>
      <c r="H111" s="772" t="s">
        <v>1078</v>
      </c>
      <c r="I111" s="243" t="s">
        <v>1079</v>
      </c>
      <c r="J111" s="243" t="s">
        <v>1080</v>
      </c>
      <c r="L111" s="375" t="s">
        <v>712</v>
      </c>
      <c r="M111" s="375" t="s">
        <v>713</v>
      </c>
      <c r="S111" s="155"/>
    </row>
    <row r="112" spans="2:19" ht="30" x14ac:dyDescent="0.25">
      <c r="B112" s="156"/>
      <c r="C112" s="376" t="s">
        <v>998</v>
      </c>
      <c r="D112" s="161" t="s">
        <v>715</v>
      </c>
      <c r="E112" s="161" t="s">
        <v>716</v>
      </c>
      <c r="F112" s="782">
        <v>1</v>
      </c>
      <c r="G112" s="203"/>
      <c r="H112" s="773">
        <v>1</v>
      </c>
      <c r="I112" s="952"/>
      <c r="J112" s="769">
        <v>1</v>
      </c>
      <c r="L112" s="203"/>
      <c r="M112" s="203"/>
      <c r="S112" s="155"/>
    </row>
    <row r="113" spans="2:19" ht="45" x14ac:dyDescent="0.25">
      <c r="B113" s="156"/>
      <c r="C113" s="376" t="s">
        <v>998</v>
      </c>
      <c r="D113" s="161" t="s">
        <v>717</v>
      </c>
      <c r="E113" s="161" t="s">
        <v>718</v>
      </c>
      <c r="F113" s="778">
        <v>30</v>
      </c>
      <c r="G113" s="953"/>
      <c r="H113" s="774">
        <v>30</v>
      </c>
      <c r="I113" s="954"/>
      <c r="J113" s="576">
        <v>30</v>
      </c>
      <c r="L113" s="586" t="s">
        <v>719</v>
      </c>
      <c r="M113" s="587">
        <f>VLOOKUP(L113,payscales!B:K,10,0)</f>
        <v>121.08</v>
      </c>
      <c r="S113" s="155"/>
    </row>
    <row r="114" spans="2:19" ht="30" x14ac:dyDescent="0.25">
      <c r="B114" s="156"/>
      <c r="C114" s="376" t="s">
        <v>998</v>
      </c>
      <c r="D114" s="161" t="s">
        <v>720</v>
      </c>
      <c r="E114" s="161" t="s">
        <v>716</v>
      </c>
      <c r="F114" s="782">
        <v>3</v>
      </c>
      <c r="G114" s="782">
        <v>3</v>
      </c>
      <c r="H114" s="837">
        <v>3</v>
      </c>
      <c r="I114" s="576">
        <v>3</v>
      </c>
      <c r="J114" s="576">
        <v>3</v>
      </c>
      <c r="L114" s="203"/>
      <c r="M114" s="203"/>
      <c r="S114" s="155"/>
    </row>
    <row r="115" spans="2:19" ht="45" x14ac:dyDescent="0.25">
      <c r="B115" s="156"/>
      <c r="C115" s="376" t="s">
        <v>998</v>
      </c>
      <c r="D115" s="161" t="s">
        <v>721</v>
      </c>
      <c r="E115" s="161" t="s">
        <v>718</v>
      </c>
      <c r="F115" s="778">
        <v>20</v>
      </c>
      <c r="G115" s="779">
        <v>20</v>
      </c>
      <c r="H115" s="774">
        <v>20</v>
      </c>
      <c r="I115" s="576">
        <v>20</v>
      </c>
      <c r="J115" s="576">
        <v>20</v>
      </c>
      <c r="L115" s="586" t="s">
        <v>719</v>
      </c>
      <c r="M115" s="587">
        <f>VLOOKUP(L115,payscales!B:K,10,0)</f>
        <v>121.08</v>
      </c>
      <c r="S115" s="155"/>
    </row>
    <row r="116" spans="2:19" ht="33" customHeight="1" x14ac:dyDescent="0.25">
      <c r="B116" s="156"/>
      <c r="C116" s="373" t="s">
        <v>722</v>
      </c>
      <c r="D116" s="161" t="s">
        <v>723</v>
      </c>
      <c r="E116" s="161" t="s">
        <v>716</v>
      </c>
      <c r="F116" s="782">
        <v>60</v>
      </c>
      <c r="G116" s="782">
        <v>60</v>
      </c>
      <c r="H116" s="775">
        <v>30</v>
      </c>
      <c r="I116" s="584">
        <v>30</v>
      </c>
      <c r="J116" s="769">
        <v>30</v>
      </c>
      <c r="L116" s="586" t="s">
        <v>724</v>
      </c>
      <c r="M116" s="587">
        <f>VLOOKUP(L116,payscales!B:K,10,0)</f>
        <v>42.15</v>
      </c>
      <c r="S116" s="155"/>
    </row>
    <row r="117" spans="2:19" ht="30" x14ac:dyDescent="0.25">
      <c r="B117" s="156"/>
      <c r="C117" s="373" t="s">
        <v>722</v>
      </c>
      <c r="D117" s="161" t="s">
        <v>725</v>
      </c>
      <c r="E117" s="161" t="s">
        <v>716</v>
      </c>
      <c r="F117" s="778">
        <v>30</v>
      </c>
      <c r="G117" s="779">
        <v>30</v>
      </c>
      <c r="H117" s="775">
        <v>30</v>
      </c>
      <c r="I117" s="584">
        <v>30</v>
      </c>
      <c r="J117" s="770">
        <v>30</v>
      </c>
      <c r="L117" s="586" t="s">
        <v>724</v>
      </c>
      <c r="M117" s="587">
        <f>VLOOKUP(L117,payscales!B:K,10,0)</f>
        <v>42.15</v>
      </c>
      <c r="S117" s="155"/>
    </row>
    <row r="118" spans="2:19" ht="30" x14ac:dyDescent="0.25">
      <c r="B118" s="156"/>
      <c r="C118" s="373" t="s">
        <v>722</v>
      </c>
      <c r="D118" s="161" t="s">
        <v>726</v>
      </c>
      <c r="E118" s="161" t="s">
        <v>716</v>
      </c>
      <c r="F118" s="782">
        <v>30</v>
      </c>
      <c r="G118" s="782">
        <v>30</v>
      </c>
      <c r="H118" s="775">
        <v>30</v>
      </c>
      <c r="I118" s="584">
        <v>30</v>
      </c>
      <c r="J118" s="771">
        <v>30</v>
      </c>
      <c r="L118" s="586" t="s">
        <v>724</v>
      </c>
      <c r="M118" s="587">
        <f>VLOOKUP(L118,payscales!B:K,10,0)</f>
        <v>42.15</v>
      </c>
      <c r="S118" s="155"/>
    </row>
    <row r="119" spans="2:19" ht="30" x14ac:dyDescent="0.25">
      <c r="B119" s="156"/>
      <c r="C119" s="374" t="s">
        <v>727</v>
      </c>
      <c r="D119" s="161" t="s">
        <v>999</v>
      </c>
      <c r="E119" s="161" t="s">
        <v>716</v>
      </c>
      <c r="F119" s="780">
        <v>15</v>
      </c>
      <c r="G119" s="781">
        <v>15</v>
      </c>
      <c r="H119" s="776">
        <v>15</v>
      </c>
      <c r="I119" s="585">
        <v>15</v>
      </c>
      <c r="J119" s="585">
        <v>15</v>
      </c>
      <c r="L119" s="586" t="s">
        <v>728</v>
      </c>
      <c r="M119" s="587">
        <f>VLOOKUP(L119,payscales!B:K,10,0)</f>
        <v>46.77</v>
      </c>
      <c r="S119" s="155"/>
    </row>
    <row r="120" spans="2:19" x14ac:dyDescent="0.25">
      <c r="B120" s="156"/>
      <c r="C120" s="327"/>
      <c r="D120" s="209"/>
      <c r="E120" s="209"/>
      <c r="F120" s="209"/>
      <c r="S120" s="155"/>
    </row>
    <row r="121" spans="2:19" x14ac:dyDescent="0.25">
      <c r="B121" s="156"/>
      <c r="C121" s="193" t="s">
        <v>731</v>
      </c>
      <c r="D121" s="148"/>
      <c r="S121" s="155"/>
    </row>
    <row r="122" spans="2:19" x14ac:dyDescent="0.25">
      <c r="B122" s="156"/>
      <c r="C122" t="s">
        <v>1001</v>
      </c>
      <c r="D122" s="148"/>
      <c r="S122" s="155"/>
    </row>
    <row r="123" spans="2:19" x14ac:dyDescent="0.25">
      <c r="B123" s="156"/>
      <c r="C123" t="s">
        <v>1003</v>
      </c>
      <c r="D123" s="148"/>
      <c r="S123" s="155"/>
    </row>
    <row r="124" spans="2:19" x14ac:dyDescent="0.25">
      <c r="B124" s="156"/>
      <c r="C124" s="186" t="s">
        <v>732</v>
      </c>
      <c r="D124" s="148"/>
      <c r="S124" s="155"/>
    </row>
    <row r="125" spans="2:19" x14ac:dyDescent="0.25">
      <c r="B125" s="156"/>
      <c r="C125" s="186" t="s">
        <v>1004</v>
      </c>
      <c r="D125" s="148"/>
      <c r="L125" s="783"/>
      <c r="S125" s="155"/>
    </row>
    <row r="126" spans="2:19" x14ac:dyDescent="0.25">
      <c r="B126" s="156"/>
      <c r="C126" s="328" t="s">
        <v>733</v>
      </c>
      <c r="D126" s="148"/>
      <c r="S126" s="155"/>
    </row>
    <row r="127" spans="2:19" x14ac:dyDescent="0.25">
      <c r="B127" s="156"/>
      <c r="C127" s="784" t="s">
        <v>1002</v>
      </c>
      <c r="D127" s="148"/>
      <c r="S127" s="155"/>
    </row>
    <row r="128" spans="2:19" x14ac:dyDescent="0.25">
      <c r="B128" s="156"/>
      <c r="C128" t="s">
        <v>1082</v>
      </c>
      <c r="D128" s="148"/>
      <c r="H128" s="465"/>
      <c r="S128" s="155"/>
    </row>
    <row r="129" spans="2:19" x14ac:dyDescent="0.25">
      <c r="B129" s="157"/>
      <c r="C129" s="158"/>
      <c r="D129" s="160"/>
      <c r="E129" s="160"/>
      <c r="F129" s="160"/>
      <c r="G129" s="160"/>
      <c r="H129" s="158"/>
      <c r="I129" s="158"/>
      <c r="J129" s="158"/>
      <c r="K129" s="158"/>
      <c r="L129" s="158"/>
      <c r="M129" s="158"/>
      <c r="N129" s="158"/>
      <c r="O129" s="158"/>
      <c r="P129" s="158"/>
      <c r="Q129" s="158"/>
      <c r="R129" s="158"/>
      <c r="S129" s="159"/>
    </row>
    <row r="130" spans="2:19" x14ac:dyDescent="0.25">
      <c r="D130" s="148"/>
      <c r="E130" s="148"/>
      <c r="F130" s="148"/>
      <c r="G130" s="148"/>
    </row>
    <row r="131" spans="2:19" x14ac:dyDescent="0.25">
      <c r="B131" s="370" t="s">
        <v>734</v>
      </c>
      <c r="C131" s="369"/>
      <c r="D131" s="369"/>
      <c r="E131" s="369"/>
      <c r="F131" s="369"/>
      <c r="G131" s="369"/>
      <c r="H131" s="369"/>
      <c r="I131" s="369"/>
      <c r="J131" s="369"/>
      <c r="K131" s="369"/>
      <c r="L131" s="369"/>
      <c r="M131" s="369"/>
      <c r="N131" s="369"/>
      <c r="O131" s="369"/>
      <c r="P131" s="369"/>
      <c r="Q131" s="369"/>
      <c r="R131" s="369"/>
      <c r="S131" s="221"/>
    </row>
    <row r="132" spans="2:19" x14ac:dyDescent="0.25">
      <c r="B132" s="225"/>
      <c r="C132" s="218"/>
      <c r="D132" s="218"/>
      <c r="E132" s="218"/>
      <c r="F132" s="218"/>
      <c r="G132" s="218"/>
      <c r="H132" s="218"/>
      <c r="I132" s="218"/>
      <c r="J132" s="218"/>
      <c r="K132" s="218"/>
      <c r="L132" s="218"/>
      <c r="M132" s="218"/>
      <c r="N132" s="218"/>
      <c r="O132" s="218"/>
      <c r="P132" s="218"/>
      <c r="Q132" s="218"/>
      <c r="R132" s="218"/>
      <c r="S132" s="226"/>
    </row>
    <row r="133" spans="2:19" x14ac:dyDescent="0.25">
      <c r="B133" s="225"/>
      <c r="C133" s="617" t="s">
        <v>735</v>
      </c>
      <c r="D133" s="218"/>
      <c r="E133" s="218"/>
      <c r="F133" s="218"/>
      <c r="G133" s="218"/>
      <c r="H133" s="218"/>
      <c r="I133" s="218"/>
      <c r="J133" s="218"/>
      <c r="K133" s="218"/>
      <c r="L133" s="218"/>
      <c r="M133" s="218"/>
      <c r="N133" s="218"/>
      <c r="O133" s="218"/>
      <c r="P133" s="218"/>
      <c r="Q133" s="218"/>
      <c r="R133" s="218"/>
      <c r="S133" s="226"/>
    </row>
    <row r="134" spans="2:19" x14ac:dyDescent="0.25">
      <c r="B134" s="225"/>
      <c r="C134" s="612" t="s">
        <v>736</v>
      </c>
      <c r="D134" s="218"/>
      <c r="E134" s="218"/>
      <c r="F134" s="218"/>
      <c r="G134" s="218"/>
      <c r="H134" s="218"/>
      <c r="I134" s="218"/>
      <c r="J134" s="218"/>
      <c r="K134" s="218"/>
      <c r="L134" s="218"/>
      <c r="M134" s="218"/>
      <c r="N134" s="218"/>
      <c r="O134" s="218"/>
      <c r="P134" s="218"/>
      <c r="Q134" s="218"/>
      <c r="R134" s="218"/>
      <c r="S134" s="226"/>
    </row>
    <row r="135" spans="2:19" x14ac:dyDescent="0.25">
      <c r="B135" s="225"/>
      <c r="C135" s="612" t="s">
        <v>737</v>
      </c>
      <c r="D135" s="218"/>
      <c r="E135" s="218"/>
      <c r="F135" s="218"/>
      <c r="G135" s="218"/>
      <c r="H135" s="218"/>
      <c r="I135" s="218"/>
      <c r="J135" s="218"/>
      <c r="K135" s="218"/>
      <c r="L135" s="218"/>
      <c r="M135" s="218"/>
      <c r="N135" s="218"/>
      <c r="O135" s="218"/>
      <c r="P135" s="218"/>
      <c r="Q135" s="218"/>
      <c r="R135" s="218"/>
      <c r="S135" s="226"/>
    </row>
    <row r="136" spans="2:19" x14ac:dyDescent="0.25">
      <c r="B136" s="225"/>
      <c r="C136" s="415" t="s">
        <v>738</v>
      </c>
      <c r="D136" s="218"/>
      <c r="E136" s="218"/>
      <c r="F136" s="218"/>
      <c r="G136" s="218"/>
      <c r="H136" s="218"/>
      <c r="I136" s="218"/>
      <c r="J136" s="218"/>
      <c r="K136" s="218"/>
      <c r="L136" s="218"/>
      <c r="M136" s="218"/>
      <c r="N136" s="218"/>
      <c r="O136" s="218"/>
      <c r="P136" s="218"/>
      <c r="Q136" s="218"/>
      <c r="R136" s="218"/>
      <c r="S136" s="226"/>
    </row>
    <row r="137" spans="2:19" x14ac:dyDescent="0.25">
      <c r="B137" s="225"/>
      <c r="C137" s="415" t="s">
        <v>739</v>
      </c>
      <c r="D137" s="218"/>
      <c r="E137" s="218"/>
      <c r="F137" s="218"/>
      <c r="G137" s="218"/>
      <c r="H137" s="218"/>
      <c r="I137" s="218"/>
      <c r="J137" s="218"/>
      <c r="K137" s="218"/>
      <c r="L137" s="218"/>
      <c r="M137" s="218"/>
      <c r="N137" s="218"/>
      <c r="O137" s="218"/>
      <c r="P137" s="218"/>
      <c r="Q137" s="218"/>
      <c r="R137" s="218"/>
      <c r="S137" s="226"/>
    </row>
    <row r="138" spans="2:19" x14ac:dyDescent="0.25">
      <c r="B138" s="225"/>
      <c r="C138" s="415"/>
      <c r="D138" s="218"/>
      <c r="E138" s="218"/>
      <c r="F138" s="218"/>
      <c r="G138" s="218"/>
      <c r="H138" s="218"/>
      <c r="I138" s="218"/>
      <c r="J138" s="218"/>
      <c r="K138" s="218"/>
      <c r="L138" s="218"/>
      <c r="M138" s="218"/>
      <c r="N138" s="218"/>
      <c r="O138" s="218"/>
      <c r="P138" s="218"/>
      <c r="Q138" s="218"/>
      <c r="R138" s="218"/>
      <c r="S138" s="226"/>
    </row>
    <row r="139" spans="2:19" x14ac:dyDescent="0.25">
      <c r="B139" s="225"/>
      <c r="C139" s="616" t="s">
        <v>740</v>
      </c>
      <c r="D139" s="218"/>
      <c r="E139" s="218"/>
      <c r="F139" s="218"/>
      <c r="G139" s="218"/>
      <c r="H139" s="218"/>
      <c r="I139" s="218"/>
      <c r="J139" s="218"/>
      <c r="K139" s="218"/>
      <c r="L139" s="218"/>
      <c r="M139" s="218"/>
      <c r="N139" s="218"/>
      <c r="O139" s="218"/>
      <c r="P139" s="218"/>
      <c r="Q139" s="218"/>
      <c r="R139" s="218"/>
      <c r="S139" s="226"/>
    </row>
    <row r="140" spans="2:19" x14ac:dyDescent="0.25">
      <c r="B140" s="225"/>
      <c r="C140" s="612" t="s">
        <v>741</v>
      </c>
      <c r="D140" s="218"/>
      <c r="E140" s="218"/>
      <c r="F140" s="218"/>
      <c r="G140" s="218"/>
      <c r="H140" s="218"/>
      <c r="I140" s="218"/>
      <c r="J140" s="218"/>
      <c r="K140" s="218"/>
      <c r="L140" s="218"/>
      <c r="M140" s="218"/>
      <c r="N140" s="218"/>
      <c r="O140" s="218"/>
      <c r="P140" s="218"/>
      <c r="Q140" s="218"/>
      <c r="R140" s="218"/>
      <c r="S140" s="226"/>
    </row>
    <row r="141" spans="2:19" x14ac:dyDescent="0.25">
      <c r="B141" s="225"/>
      <c r="C141" s="415" t="s">
        <v>742</v>
      </c>
      <c r="D141" s="218"/>
      <c r="E141" s="218"/>
      <c r="F141" s="218"/>
      <c r="G141" s="218"/>
      <c r="H141" s="218"/>
      <c r="I141" s="218"/>
      <c r="J141" s="218"/>
      <c r="K141" s="218"/>
      <c r="L141" s="218"/>
      <c r="M141" s="218"/>
      <c r="N141" s="218"/>
      <c r="O141" s="218"/>
      <c r="P141" s="218"/>
      <c r="Q141" s="218"/>
      <c r="R141" s="218"/>
      <c r="S141" s="226"/>
    </row>
    <row r="142" spans="2:19" x14ac:dyDescent="0.25">
      <c r="B142" s="225"/>
      <c r="C142" s="415" t="s">
        <v>743</v>
      </c>
      <c r="D142" s="218"/>
      <c r="E142" s="218"/>
      <c r="F142" s="218"/>
      <c r="G142" s="218"/>
      <c r="H142" s="218"/>
      <c r="I142" s="218"/>
      <c r="J142" s="218"/>
      <c r="K142" s="218"/>
      <c r="L142" s="218"/>
      <c r="M142" s="218"/>
      <c r="N142" s="218"/>
      <c r="O142" s="218"/>
      <c r="P142" s="218"/>
      <c r="Q142" s="218"/>
      <c r="R142" s="218"/>
      <c r="S142" s="226"/>
    </row>
    <row r="143" spans="2:19" x14ac:dyDescent="0.25">
      <c r="B143" s="225"/>
      <c r="C143" s="415" t="s">
        <v>744</v>
      </c>
      <c r="D143" s="218"/>
      <c r="E143" s="218"/>
      <c r="F143" s="218"/>
      <c r="G143" s="218"/>
      <c r="H143" s="218"/>
      <c r="I143" s="218"/>
      <c r="J143" s="218"/>
      <c r="K143" s="218"/>
      <c r="L143" s="218"/>
      <c r="M143" s="218"/>
      <c r="N143" s="218"/>
      <c r="O143" s="218"/>
      <c r="P143" s="218"/>
      <c r="Q143" s="218"/>
      <c r="R143" s="218"/>
      <c r="S143" s="226"/>
    </row>
    <row r="144" spans="2:19" x14ac:dyDescent="0.25">
      <c r="B144" s="223"/>
      <c r="C144" s="227"/>
      <c r="D144" s="222"/>
      <c r="E144" s="222"/>
      <c r="F144" s="222"/>
      <c r="G144" s="222"/>
      <c r="H144" s="222"/>
      <c r="I144" s="222"/>
      <c r="J144" s="222"/>
      <c r="K144" s="222"/>
      <c r="L144" s="222"/>
      <c r="M144" s="222"/>
      <c r="N144" s="222"/>
      <c r="O144" s="222"/>
      <c r="P144" s="222"/>
      <c r="Q144" s="222"/>
      <c r="R144" s="222"/>
      <c r="S144" s="224"/>
    </row>
  </sheetData>
  <sheetProtection algorithmName="SHA-512" hashValue="EKLM9OKhsfhk1aDE3p2kVm3IqcbfVAKtmYhIaPF4tCs0LcKTG3GgpINHGAHGIEwEsnQ0XPZhPhz1bA5VI6S1yA==" saltValue="FWdBSx+CYro0aewDOK1B9g==" spinCount="100000" sheet="1" objects="1" scenarios="1"/>
  <protectedRanges>
    <protectedRange sqref="E11 E12 G13 E15 E89:J90 E92:J93 F112:F119 H112:H119 G114:G119 I114:I119 L115:M119 J112:J119 L113:M113" name="Range1"/>
  </protectedRanges>
  <mergeCells count="13">
    <mergeCell ref="L97:Q97"/>
    <mergeCell ref="C98:Q98"/>
    <mergeCell ref="C104:R104"/>
    <mergeCell ref="H28:L28"/>
    <mergeCell ref="M29:N29"/>
    <mergeCell ref="C30:D30"/>
    <mergeCell ref="M30:X30"/>
    <mergeCell ref="L96:Q96"/>
    <mergeCell ref="M28:N28"/>
    <mergeCell ref="H32:X32"/>
    <mergeCell ref="E75:K75"/>
    <mergeCell ref="E74:K74"/>
    <mergeCell ref="C99:Q99"/>
  </mergeCells>
  <phoneticPr fontId="43" type="noConversion"/>
  <conditionalFormatting sqref="G12:G14">
    <cfRule type="cellIs" dxfId="0" priority="1" operator="equal">
      <formula>0</formula>
    </cfRule>
  </conditionalFormatting>
  <dataValidations disablePrompts="1" count="1">
    <dataValidation type="list" allowBlank="1" showInputMessage="1" showErrorMessage="1" sqref="E11" xr:uid="{A1309421-97D1-407A-BD55-015169719BCD}">
      <formula1>ORGTYPE</formula1>
    </dataValidation>
  </dataValidations>
  <hyperlinks>
    <hyperlink ref="C134" r:id="rId1" display="Office for National Statistics Population Estimates, England and Wales: mid-2022" xr:uid="{E5307553-7A6C-4E4A-A884-E27CF8AE4772}"/>
    <hyperlink ref="C135" r:id="rId2" xr:uid="{7973B0A5-0DDC-4D6E-A615-7910C6E2CF4A}"/>
    <hyperlink ref="C140" r:id="rId3" xr:uid="{EDC70E40-643A-4353-80EE-8CAA529E12F0}"/>
    <hyperlink ref="E74" r:id="rId4" display="Source; Health Survey for England, 2021." xr:uid="{0E08A779-33C3-4F7D-BF78-6B0A0AFD427A}"/>
    <hyperlink ref="E75" r:id="rId5" display="Source: https://pmc.ncbi.nlm.nih.gov/articles/PMC2812484/" xr:uid="{88E04311-B8B3-498E-97F1-580B0F7B7CAC}"/>
    <hyperlink ref="H29" r:id="rId6" display="https://www.lungcanceraudit.org.uk/reports-publications/nlca-state-of-the-nation-2024/" xr:uid="{E7F94DCB-C2ED-4E37-BFB3-794116A0A970}"/>
    <hyperlink ref="C126" r:id="rId7" display="Duration of administrations as per SmPC" xr:uid="{8B6628A8-AD7F-4C9A-B27B-CDD67467FB4B}"/>
    <hyperlink ref="H30" r:id="rId8" display="https://www.lungcanceraudit.org.uk/reports-publications/nlca-state-of-the-nation-2024/" xr:uid="{A2FDB52D-FA71-438B-A1B2-2D1BD646285A}"/>
    <hyperlink ref="K59" r:id="rId9" display="https://bnf.nice.org.uk/" xr:uid="{C63F7EB5-49F3-4F6F-AA9B-BC559DCE6C14}"/>
    <hyperlink ref="K58" r:id="rId10" display="https://bnf.nice.org.uk/" xr:uid="{5B3955A4-95B8-4B64-900F-E9E624269AAE}"/>
    <hyperlink ref="K61" r:id="rId11" display="https://bnf.nice.org.uk/" xr:uid="{07120C07-DCF3-47D8-856D-3D8FC18B7883}"/>
    <hyperlink ref="K60" r:id="rId12" display="https://bnf.nice.org.uk/" xr:uid="{0A12F8DC-6E1E-4F9B-B81E-2A91DEF59804}"/>
    <hyperlink ref="K62" r:id="rId13" xr:uid="{DADBB91C-3899-47E5-8BAB-1BD6EA00DB20}"/>
    <hyperlink ref="K63" r:id="rId14" xr:uid="{C9AE2B34-71EA-44C5-BB68-2BE1C948B81C}"/>
    <hyperlink ref="K64" r:id="rId15" xr:uid="{EDDB1888-EB24-4F44-89FB-3614C6E8B544}"/>
    <hyperlink ref="K65" r:id="rId16" xr:uid="{6F8555A0-B7CD-4F27-BD6B-1C7C7E3C731D}"/>
    <hyperlink ref="K66" r:id="rId17" xr:uid="{20ABB6DC-8F39-47A3-8CD5-F968430D2BA2}"/>
    <hyperlink ref="K67" r:id="rId18" xr:uid="{DC8D8A25-958B-4793-8666-1B057D96D14C}"/>
    <hyperlink ref="K68" r:id="rId19" xr:uid="{0E51D9EA-3453-41D1-AD7E-A69D9747E66E}"/>
    <hyperlink ref="K69" r:id="rId20" xr:uid="{D28615F8-93DC-4BDE-9D1A-5CB49900527E}"/>
    <hyperlink ref="K70" r:id="rId21" xr:uid="{936E18AD-DC59-46DA-B664-80F8DECD084B}"/>
    <hyperlink ref="K71" r:id="rId22" xr:uid="{68CD8C87-F77B-496E-8584-9E9BDAAEC0FF}"/>
    <hyperlink ref="C103" r:id="rId23" display="https://www.nejm.org/doi/full/10.1056/NEJMoa2302983" xr:uid="{86107D58-C63A-4A91-9B36-C1518DAFEC9A}"/>
  </hyperlinks>
  <pageMargins left="0.7" right="0.7" top="0.75" bottom="0.75" header="0.3" footer="0.3"/>
  <pageSetup paperSize="9" scale="49" orientation="portrait" verticalDpi="0" r:id="rId24"/>
  <rowBreaks count="1" manualBreakCount="1">
    <brk id="76" max="12" man="1"/>
  </rowBreaks>
  <legacyDrawing r:id="rId25"/>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Please select yes or no" xr:uid="{39366EE1-C007-48FC-9822-34A2EDD2FCE5}">
          <x14:formula1>
            <xm:f>'Population selection'!$R$6:$R$7</xm:f>
          </x14:formula1>
          <xm:sqref>E15 F36</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L113 L115:L119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Y112"/>
  <sheetViews>
    <sheetView showGridLines="0" zoomScale="60" zoomScaleNormal="60" workbookViewId="0"/>
  </sheetViews>
  <sheetFormatPr defaultColWidth="9.140625" defaultRowHeight="12.75" x14ac:dyDescent="0.2"/>
  <cols>
    <col min="1" max="1" width="3" style="3" customWidth="1"/>
    <col min="2" max="2" width="14.85546875" style="3" customWidth="1"/>
    <col min="3" max="3" width="3.5703125" style="3" customWidth="1"/>
    <col min="4" max="4" width="41.5703125" style="3" customWidth="1"/>
    <col min="5" max="5" width="37.7109375" style="3" customWidth="1"/>
    <col min="6" max="6" width="11.85546875" style="3" customWidth="1"/>
    <col min="7" max="7" width="11.42578125" style="3" customWidth="1"/>
    <col min="8" max="8" width="10.85546875" style="3" customWidth="1"/>
    <col min="9" max="9" width="10.42578125" style="3" bestFit="1" customWidth="1"/>
    <col min="10" max="10" width="11.140625" style="3" customWidth="1"/>
    <col min="11" max="11" width="9.42578125" style="3" customWidth="1"/>
    <col min="12" max="12" width="11.42578125" style="3" customWidth="1"/>
    <col min="13" max="14" width="10.5703125" style="3" customWidth="1"/>
    <col min="15" max="15" width="12.5703125" style="3" customWidth="1"/>
    <col min="16" max="18" width="12.42578125" style="3" customWidth="1"/>
    <col min="19" max="21" width="12.140625" style="3" customWidth="1"/>
    <col min="22" max="22" width="11.85546875" style="3" customWidth="1"/>
    <col min="23" max="23" width="2" style="3" customWidth="1"/>
    <col min="24" max="16384" width="9.140625" style="3"/>
  </cols>
  <sheetData>
    <row r="1" spans="1:23" ht="30" customHeight="1" x14ac:dyDescent="0.35">
      <c r="A1" s="188"/>
      <c r="B1" s="490" t="str">
        <f>'Inputs and eligible population'!B1</f>
        <v>Durvalumab with chemotherapy before surgery (neoadjuvant) then alone after surgery (adjuvant) for treating resectable non-small-cell lung cancer</v>
      </c>
      <c r="C1" s="188"/>
      <c r="D1" s="188"/>
      <c r="E1" s="144"/>
      <c r="F1" s="129"/>
      <c r="G1" s="129"/>
      <c r="H1" s="129"/>
      <c r="I1" s="129"/>
      <c r="J1" s="129"/>
      <c r="K1" s="129"/>
      <c r="L1" s="129"/>
      <c r="M1" s="129"/>
      <c r="N1" s="129"/>
      <c r="O1" s="129"/>
      <c r="P1" s="149"/>
      <c r="Q1" s="149"/>
      <c r="R1" s="149"/>
      <c r="S1" s="188"/>
      <c r="T1" s="188"/>
      <c r="U1" s="188"/>
      <c r="V1" s="188"/>
      <c r="W1" s="188"/>
    </row>
    <row r="2" spans="1:23" ht="26.25" customHeight="1" x14ac:dyDescent="0.35">
      <c r="A2" s="188"/>
      <c r="B2" s="1014" t="s">
        <v>41</v>
      </c>
      <c r="C2" s="1015"/>
      <c r="D2" s="1016"/>
      <c r="E2" s="143" t="s">
        <v>745</v>
      </c>
      <c r="F2" s="129" t="s">
        <v>745</v>
      </c>
      <c r="G2" s="129" t="s">
        <v>745</v>
      </c>
      <c r="H2" s="129" t="s">
        <v>745</v>
      </c>
      <c r="I2" s="129" t="s">
        <v>745</v>
      </c>
      <c r="J2" s="129" t="s">
        <v>745</v>
      </c>
      <c r="K2" s="129" t="s">
        <v>745</v>
      </c>
      <c r="L2" s="129" t="s">
        <v>745</v>
      </c>
      <c r="M2" s="130" t="s">
        <v>745</v>
      </c>
      <c r="N2" s="909" t="s">
        <v>1095</v>
      </c>
      <c r="O2" s="130"/>
      <c r="P2" s="130"/>
      <c r="Q2" s="130"/>
      <c r="R2" s="130"/>
      <c r="S2" s="188"/>
      <c r="T2" s="188"/>
      <c r="U2" s="188"/>
      <c r="V2" s="188"/>
      <c r="W2" s="188"/>
    </row>
    <row r="3" spans="1:23" ht="14.45" customHeight="1" x14ac:dyDescent="0.35">
      <c r="A3" s="188"/>
      <c r="B3" s="188"/>
      <c r="C3" s="188"/>
      <c r="D3" s="127"/>
      <c r="E3" s="144"/>
      <c r="F3" s="129"/>
      <c r="G3" s="129"/>
      <c r="H3" s="129"/>
      <c r="I3" s="129" t="s">
        <v>745</v>
      </c>
      <c r="J3" s="129" t="s">
        <v>745</v>
      </c>
      <c r="K3" s="129" t="s">
        <v>745</v>
      </c>
      <c r="L3" s="129" t="s">
        <v>745</v>
      </c>
      <c r="M3" s="130" t="s">
        <v>745</v>
      </c>
      <c r="N3" s="909" t="s">
        <v>1094</v>
      </c>
      <c r="O3" s="130"/>
      <c r="P3" s="130"/>
      <c r="Q3" s="130"/>
      <c r="R3" s="130"/>
      <c r="S3" s="188"/>
      <c r="T3" s="188"/>
      <c r="U3" s="188"/>
      <c r="V3" s="188"/>
      <c r="W3" s="188"/>
    </row>
    <row r="4" spans="1:23" ht="14.45" customHeight="1" x14ac:dyDescent="0.35">
      <c r="A4" s="188"/>
      <c r="B4" t="s">
        <v>746</v>
      </c>
      <c r="C4" s="188"/>
      <c r="D4" s="188"/>
      <c r="E4" s="144"/>
      <c r="F4" s="129"/>
      <c r="G4" s="129"/>
      <c r="H4" s="129"/>
      <c r="I4" s="129" t="s">
        <v>745</v>
      </c>
      <c r="J4" s="129" t="s">
        <v>745</v>
      </c>
      <c r="K4" s="129" t="s">
        <v>745</v>
      </c>
      <c r="L4" s="129" t="s">
        <v>745</v>
      </c>
      <c r="M4" s="130" t="s">
        <v>745</v>
      </c>
      <c r="N4" s="149"/>
      <c r="O4" s="130"/>
      <c r="P4" s="130"/>
      <c r="Q4" s="130"/>
      <c r="R4" s="130"/>
      <c r="S4" s="130"/>
      <c r="T4" s="130"/>
      <c r="U4" s="130"/>
      <c r="V4" s="130"/>
      <c r="W4" s="188"/>
    </row>
    <row r="5" spans="1:23" ht="14.45" customHeight="1" x14ac:dyDescent="0.35">
      <c r="A5" s="188"/>
      <c r="B5" t="s">
        <v>658</v>
      </c>
      <c r="C5" s="188"/>
      <c r="D5" s="188"/>
      <c r="E5" s="144"/>
      <c r="F5" s="129"/>
      <c r="G5" s="129"/>
      <c r="H5" s="129"/>
      <c r="I5" s="129"/>
      <c r="J5" s="129" t="s">
        <v>745</v>
      </c>
      <c r="K5" s="129" t="s">
        <v>745</v>
      </c>
      <c r="L5" s="129" t="s">
        <v>745</v>
      </c>
      <c r="M5" s="130" t="s">
        <v>745</v>
      </c>
      <c r="N5" s="149"/>
      <c r="O5" s="130"/>
      <c r="P5" s="130"/>
      <c r="Q5" s="130"/>
      <c r="R5" s="130"/>
      <c r="S5" s="130"/>
      <c r="T5" s="130"/>
      <c r="U5" s="130"/>
      <c r="V5" s="130"/>
      <c r="W5" s="188"/>
    </row>
    <row r="6" spans="1:23" ht="14.45" customHeight="1" x14ac:dyDescent="0.35">
      <c r="A6" s="188"/>
      <c r="B6" s="188"/>
      <c r="C6" s="188"/>
      <c r="D6" s="188"/>
      <c r="E6" s="144"/>
      <c r="F6" s="129"/>
      <c r="G6" s="129"/>
      <c r="H6" s="129"/>
      <c r="I6" s="129"/>
      <c r="J6" s="129"/>
      <c r="K6" s="129"/>
      <c r="L6" s="129"/>
      <c r="M6" s="130"/>
      <c r="N6" s="129"/>
      <c r="O6" s="130"/>
      <c r="P6" s="130"/>
      <c r="Q6" s="130"/>
      <c r="R6" s="130"/>
      <c r="S6" s="130"/>
      <c r="T6" s="130"/>
      <c r="U6" s="130"/>
      <c r="V6" s="130"/>
      <c r="W6" s="188"/>
    </row>
    <row r="7" spans="1:23" ht="14.45" customHeight="1" x14ac:dyDescent="0.35">
      <c r="A7" s="188"/>
      <c r="B7" s="188"/>
      <c r="C7" s="188"/>
      <c r="D7" s="237" t="s">
        <v>747</v>
      </c>
      <c r="E7" s="144"/>
      <c r="F7" s="129"/>
      <c r="G7" s="129"/>
      <c r="H7" s="129"/>
      <c r="I7" s="129"/>
      <c r="J7" s="129"/>
      <c r="K7" s="129"/>
      <c r="L7" s="129"/>
      <c r="M7" s="130"/>
      <c r="N7" s="129"/>
      <c r="O7" s="130"/>
      <c r="P7" s="130"/>
      <c r="Q7" s="130"/>
      <c r="R7" s="130"/>
      <c r="S7" s="130"/>
      <c r="T7" s="130"/>
      <c r="U7" s="130"/>
      <c r="V7" s="130"/>
      <c r="W7" s="188"/>
    </row>
    <row r="8" spans="1:23" ht="14.45" customHeight="1" thickBot="1" x14ac:dyDescent="0.4">
      <c r="A8" s="188"/>
      <c r="B8" s="188"/>
      <c r="C8" s="188"/>
      <c r="D8" s="237"/>
      <c r="E8" s="144"/>
      <c r="F8" s="129"/>
      <c r="G8" s="129"/>
      <c r="H8" s="129"/>
      <c r="I8" s="129"/>
      <c r="J8" s="129"/>
      <c r="K8" s="129"/>
      <c r="L8" s="129"/>
      <c r="M8" s="130"/>
      <c r="N8" s="129"/>
      <c r="O8" s="130"/>
      <c r="P8" s="130"/>
      <c r="Q8" s="130"/>
      <c r="R8" s="130"/>
      <c r="S8" s="130"/>
      <c r="T8" s="130"/>
      <c r="U8" s="130"/>
      <c r="V8" s="130"/>
      <c r="W8" s="188"/>
    </row>
    <row r="9" spans="1:23" ht="14.45" customHeight="1" thickBot="1" x14ac:dyDescent="0.3">
      <c r="A9" s="188"/>
      <c r="B9" s="1008"/>
      <c r="C9" s="188"/>
      <c r="D9" s="237" t="s">
        <v>1000</v>
      </c>
      <c r="E9" s="188"/>
      <c r="F9" s="883" t="s">
        <v>748</v>
      </c>
      <c r="G9" s="884"/>
      <c r="H9" s="884"/>
      <c r="I9" s="884"/>
      <c r="J9" s="884"/>
      <c r="K9" s="883" t="s">
        <v>749</v>
      </c>
      <c r="L9" s="884"/>
      <c r="M9" s="884"/>
      <c r="N9" s="884"/>
      <c r="O9" s="884"/>
      <c r="P9" s="884"/>
      <c r="Q9" s="884"/>
      <c r="R9" s="884"/>
      <c r="S9" s="884"/>
      <c r="T9" s="884"/>
      <c r="U9" s="884"/>
      <c r="V9" s="885"/>
      <c r="W9" s="188"/>
    </row>
    <row r="10" spans="1:23" ht="87.6" customHeight="1" x14ac:dyDescent="0.25">
      <c r="A10" s="188"/>
      <c r="B10" s="1009"/>
      <c r="C10" s="188"/>
      <c r="D10" s="242" t="s">
        <v>750</v>
      </c>
      <c r="E10" s="240" t="s">
        <v>1085</v>
      </c>
      <c r="F10" s="880" t="s">
        <v>751</v>
      </c>
      <c r="G10" s="880" t="s">
        <v>752</v>
      </c>
      <c r="H10" s="880" t="s">
        <v>753</v>
      </c>
      <c r="I10" s="880" t="s">
        <v>754</v>
      </c>
      <c r="J10" s="1017" t="s">
        <v>755</v>
      </c>
      <c r="K10" s="1021" t="s">
        <v>756</v>
      </c>
      <c r="L10" s="881" t="s">
        <v>757</v>
      </c>
      <c r="M10" s="880" t="s">
        <v>758</v>
      </c>
      <c r="N10" s="880" t="s">
        <v>759</v>
      </c>
      <c r="O10" s="880" t="s">
        <v>1087</v>
      </c>
      <c r="P10" s="880" t="s">
        <v>1161</v>
      </c>
      <c r="Q10" s="882" t="s">
        <v>1088</v>
      </c>
      <c r="R10" s="880" t="s">
        <v>1089</v>
      </c>
      <c r="S10" s="881" t="s">
        <v>1039</v>
      </c>
      <c r="T10" s="880" t="s">
        <v>1041</v>
      </c>
      <c r="U10" s="881" t="s">
        <v>761</v>
      </c>
      <c r="V10" s="880" t="s">
        <v>1040</v>
      </c>
      <c r="W10" s="188"/>
    </row>
    <row r="11" spans="1:23" ht="14.45" customHeight="1" x14ac:dyDescent="0.25">
      <c r="A11" s="188"/>
      <c r="B11" s="1009"/>
      <c r="C11" s="188"/>
      <c r="D11" s="838" t="s">
        <v>1000</v>
      </c>
      <c r="E11" s="785" t="s">
        <v>1025</v>
      </c>
      <c r="F11" s="589" t="s">
        <v>763</v>
      </c>
      <c r="G11" s="589" t="s">
        <v>764</v>
      </c>
      <c r="H11" s="590">
        <v>500</v>
      </c>
      <c r="I11" s="590">
        <v>1</v>
      </c>
      <c r="J11" s="1018">
        <v>500</v>
      </c>
      <c r="K11" s="1022">
        <v>1500</v>
      </c>
      <c r="L11" s="591" t="s">
        <v>765</v>
      </c>
      <c r="M11" s="591" t="s">
        <v>765</v>
      </c>
      <c r="N11" s="590">
        <f>K11</f>
        <v>1500</v>
      </c>
      <c r="O11" s="845">
        <f>ROUNDUP(N11/J11,0)</f>
        <v>3</v>
      </c>
      <c r="P11" s="894">
        <f>'Inputs and eligible population'!K50</f>
        <v>4</v>
      </c>
      <c r="Q11" s="588">
        <f>ROUNDUP(P11*O11,0)</f>
        <v>12</v>
      </c>
      <c r="R11" s="842">
        <f>'Inputs and eligible population'!I58</f>
        <v>0</v>
      </c>
      <c r="S11" s="843"/>
      <c r="T11" s="786"/>
      <c r="U11" s="593">
        <v>0.2</v>
      </c>
      <c r="V11" s="596">
        <f>Q11*R11*(100%+U11)</f>
        <v>0</v>
      </c>
      <c r="W11" s="188"/>
    </row>
    <row r="12" spans="1:23" ht="14.45" customHeight="1" x14ac:dyDescent="0.25">
      <c r="A12" s="188"/>
      <c r="B12" s="1009"/>
      <c r="C12" s="188"/>
      <c r="D12" s="907"/>
      <c r="E12" s="797" t="s">
        <v>1038</v>
      </c>
      <c r="F12" s="851"/>
      <c r="G12" s="851"/>
      <c r="H12" s="798"/>
      <c r="I12" s="798"/>
      <c r="J12" s="798"/>
      <c r="K12" s="1023"/>
      <c r="L12" s="852"/>
      <c r="M12" s="852"/>
      <c r="N12" s="798"/>
      <c r="O12" s="853"/>
      <c r="P12" s="895"/>
      <c r="Q12" s="853"/>
      <c r="R12" s="854"/>
      <c r="S12" s="854"/>
      <c r="T12" s="853"/>
      <c r="U12" s="855"/>
      <c r="V12" s="850"/>
      <c r="W12" s="188"/>
    </row>
    <row r="13" spans="1:23" ht="14.45" customHeight="1" x14ac:dyDescent="0.25">
      <c r="A13" s="188"/>
      <c r="B13" s="1009"/>
      <c r="C13" s="188"/>
      <c r="D13" s="840" t="s">
        <v>1026</v>
      </c>
      <c r="E13" s="796" t="s">
        <v>1032</v>
      </c>
      <c r="F13" s="589" t="s">
        <v>763</v>
      </c>
      <c r="G13" s="589" t="s">
        <v>764</v>
      </c>
      <c r="H13" s="844">
        <v>450</v>
      </c>
      <c r="I13" s="590">
        <v>1</v>
      </c>
      <c r="J13" s="1018">
        <f t="shared" ref="J13:J20" si="0">H13*I13</f>
        <v>450</v>
      </c>
      <c r="K13" s="1024">
        <v>5</v>
      </c>
      <c r="L13" s="799" t="s">
        <v>765</v>
      </c>
      <c r="M13" s="793">
        <f>'Inputs and eligible population'!$D$74</f>
        <v>79.3</v>
      </c>
      <c r="N13" s="590">
        <f>(K13*M13)</f>
        <v>396.5</v>
      </c>
      <c r="O13" s="1037">
        <f t="shared" ref="O13:O24" si="1">ROUNDUP(N13/J13,0)</f>
        <v>1</v>
      </c>
      <c r="P13" s="894">
        <f>P11</f>
        <v>4</v>
      </c>
      <c r="Q13" s="845">
        <f t="shared" ref="Q13:Q24" si="2">O13*P13</f>
        <v>4</v>
      </c>
      <c r="R13" s="842">
        <f>'Inputs and eligible population'!I62</f>
        <v>23.18</v>
      </c>
      <c r="S13" s="842">
        <f>R13*Q13</f>
        <v>92.72</v>
      </c>
      <c r="T13" s="786"/>
      <c r="U13" s="800"/>
      <c r="V13" s="846"/>
      <c r="W13" s="188"/>
    </row>
    <row r="14" spans="1:23" ht="14.45" customHeight="1" thickBot="1" x14ac:dyDescent="0.3">
      <c r="A14" s="188"/>
      <c r="B14" s="1010"/>
      <c r="C14" s="188"/>
      <c r="D14" s="841" t="s">
        <v>1027</v>
      </c>
      <c r="E14" s="878" t="s">
        <v>1033</v>
      </c>
      <c r="F14" s="605" t="s">
        <v>763</v>
      </c>
      <c r="G14" s="605" t="s">
        <v>764</v>
      </c>
      <c r="H14" s="867">
        <v>1000</v>
      </c>
      <c r="I14" s="606">
        <v>1</v>
      </c>
      <c r="J14" s="1019">
        <f t="shared" si="0"/>
        <v>1000</v>
      </c>
      <c r="K14" s="1025">
        <v>500</v>
      </c>
      <c r="L14" s="868">
        <f>'Inputs and eligible population'!$D$75</f>
        <v>1.79</v>
      </c>
      <c r="M14" s="869" t="s">
        <v>765</v>
      </c>
      <c r="N14" s="606">
        <f>K14*L14</f>
        <v>895</v>
      </c>
      <c r="O14" s="1038">
        <f t="shared" si="1"/>
        <v>1</v>
      </c>
      <c r="P14" s="896">
        <f>P11</f>
        <v>4</v>
      </c>
      <c r="Q14" s="870">
        <f t="shared" si="2"/>
        <v>4</v>
      </c>
      <c r="R14" s="871">
        <f>'Inputs and eligible population'!I71</f>
        <v>215.12</v>
      </c>
      <c r="S14" s="871">
        <f t="shared" ref="S14:S24" si="3">R14*Q14</f>
        <v>860.48</v>
      </c>
      <c r="T14" s="875">
        <v>0.39400000000000002</v>
      </c>
      <c r="U14" s="872">
        <v>0.2</v>
      </c>
      <c r="V14" s="873">
        <f>(S14+S13)*(1+U14)*T14</f>
        <v>450.67295999999999</v>
      </c>
      <c r="W14" s="188"/>
    </row>
    <row r="15" spans="1:23" ht="14.45" customHeight="1" x14ac:dyDescent="0.25">
      <c r="A15" s="188"/>
      <c r="B15" s="1012" t="s">
        <v>1158</v>
      </c>
      <c r="C15" s="188"/>
      <c r="D15" s="780" t="s">
        <v>1009</v>
      </c>
      <c r="E15" s="876" t="s">
        <v>1034</v>
      </c>
      <c r="F15" s="856" t="s">
        <v>763</v>
      </c>
      <c r="G15" s="856" t="s">
        <v>764</v>
      </c>
      <c r="H15" s="857">
        <v>100</v>
      </c>
      <c r="I15" s="858">
        <v>1</v>
      </c>
      <c r="J15" s="1020">
        <f t="shared" si="0"/>
        <v>100</v>
      </c>
      <c r="K15" s="1026">
        <v>75</v>
      </c>
      <c r="L15" s="859">
        <f>'Inputs and eligible population'!$D$75</f>
        <v>1.79</v>
      </c>
      <c r="M15" s="860" t="s">
        <v>765</v>
      </c>
      <c r="N15" s="858">
        <f t="shared" ref="N15:N16" si="4">K15*L15</f>
        <v>134.25</v>
      </c>
      <c r="O15" s="1039">
        <f t="shared" si="1"/>
        <v>2</v>
      </c>
      <c r="P15" s="897">
        <f>P11</f>
        <v>4</v>
      </c>
      <c r="Q15" s="861">
        <f t="shared" si="2"/>
        <v>8</v>
      </c>
      <c r="R15" s="862">
        <f>'Inputs and eligible population'!I64</f>
        <v>37.340000000000003</v>
      </c>
      <c r="S15" s="862">
        <f t="shared" si="3"/>
        <v>298.72000000000003</v>
      </c>
      <c r="T15" s="863"/>
      <c r="U15" s="864"/>
      <c r="V15" s="865"/>
      <c r="W15" s="188"/>
    </row>
    <row r="16" spans="1:23" ht="14.45" customHeight="1" thickBot="1" x14ac:dyDescent="0.3">
      <c r="A16" s="188"/>
      <c r="B16" s="1012" t="s">
        <v>1159</v>
      </c>
      <c r="C16" s="188"/>
      <c r="D16" s="841" t="s">
        <v>1010</v>
      </c>
      <c r="E16" s="879" t="s">
        <v>1033</v>
      </c>
      <c r="F16" s="605" t="s">
        <v>763</v>
      </c>
      <c r="G16" s="605" t="s">
        <v>764</v>
      </c>
      <c r="H16" s="874">
        <v>1000</v>
      </c>
      <c r="I16" s="606">
        <v>1</v>
      </c>
      <c r="J16" s="1019">
        <f t="shared" si="0"/>
        <v>1000</v>
      </c>
      <c r="K16" s="1027">
        <v>500</v>
      </c>
      <c r="L16" s="868">
        <f>'Inputs and eligible population'!$D$75</f>
        <v>1.79</v>
      </c>
      <c r="M16" s="869" t="s">
        <v>765</v>
      </c>
      <c r="N16" s="606">
        <f t="shared" si="4"/>
        <v>895</v>
      </c>
      <c r="O16" s="1038">
        <f t="shared" si="1"/>
        <v>1</v>
      </c>
      <c r="P16" s="896">
        <f>P11</f>
        <v>4</v>
      </c>
      <c r="Q16" s="870">
        <f t="shared" si="2"/>
        <v>4</v>
      </c>
      <c r="R16" s="871">
        <f>'Inputs and eligible population'!I71</f>
        <v>215.12</v>
      </c>
      <c r="S16" s="871">
        <f t="shared" si="3"/>
        <v>860.48</v>
      </c>
      <c r="T16" s="875">
        <v>0.157</v>
      </c>
      <c r="U16" s="872">
        <v>0.2</v>
      </c>
      <c r="V16" s="873">
        <f>(S16+S15)*(1+U16)*T16</f>
        <v>218.39328</v>
      </c>
      <c r="W16" s="188"/>
    </row>
    <row r="17" spans="1:25" ht="14.45" customHeight="1" x14ac:dyDescent="0.25">
      <c r="A17" s="188"/>
      <c r="B17" s="1009"/>
      <c r="C17" s="188"/>
      <c r="D17" s="780" t="s">
        <v>1012</v>
      </c>
      <c r="E17" s="876" t="s">
        <v>1035</v>
      </c>
      <c r="F17" s="856" t="s">
        <v>763</v>
      </c>
      <c r="G17" s="856" t="s">
        <v>764</v>
      </c>
      <c r="H17" s="857">
        <v>450</v>
      </c>
      <c r="I17" s="858">
        <v>1</v>
      </c>
      <c r="J17" s="1020">
        <f t="shared" si="0"/>
        <v>450</v>
      </c>
      <c r="K17" s="1026">
        <v>6</v>
      </c>
      <c r="L17" s="860" t="s">
        <v>765</v>
      </c>
      <c r="M17" s="859">
        <f>'Inputs and eligible population'!$D$74</f>
        <v>79.3</v>
      </c>
      <c r="N17" s="858">
        <f>(K17*(M17+25))</f>
        <v>625.79999999999995</v>
      </c>
      <c r="O17" s="1039">
        <f t="shared" si="1"/>
        <v>2</v>
      </c>
      <c r="P17" s="897">
        <f>P11</f>
        <v>4</v>
      </c>
      <c r="Q17" s="861">
        <f t="shared" si="2"/>
        <v>8</v>
      </c>
      <c r="R17" s="862">
        <f>'Inputs and eligible population'!I62</f>
        <v>23.18</v>
      </c>
      <c r="S17" s="862">
        <f t="shared" si="3"/>
        <v>185.44</v>
      </c>
      <c r="T17" s="863"/>
      <c r="U17" s="864"/>
      <c r="V17" s="865"/>
      <c r="W17" s="188"/>
    </row>
    <row r="18" spans="1:25" ht="14.45" customHeight="1" thickBot="1" x14ac:dyDescent="0.3">
      <c r="A18" s="188"/>
      <c r="B18" s="1009"/>
      <c r="C18" s="188"/>
      <c r="D18" s="841" t="s">
        <v>1013</v>
      </c>
      <c r="E18" s="879" t="s">
        <v>1036</v>
      </c>
      <c r="F18" s="605" t="s">
        <v>763</v>
      </c>
      <c r="G18" s="605" t="s">
        <v>764</v>
      </c>
      <c r="H18" s="874">
        <v>100</v>
      </c>
      <c r="I18" s="606">
        <v>1</v>
      </c>
      <c r="J18" s="1019">
        <f t="shared" si="0"/>
        <v>100</v>
      </c>
      <c r="K18" s="1027">
        <v>200</v>
      </c>
      <c r="L18" s="868">
        <f>'Inputs and eligible population'!$D$75</f>
        <v>1.79</v>
      </c>
      <c r="M18" s="869" t="s">
        <v>765</v>
      </c>
      <c r="N18" s="606">
        <f>K18*L18</f>
        <v>358</v>
      </c>
      <c r="O18" s="1038">
        <f t="shared" si="1"/>
        <v>4</v>
      </c>
      <c r="P18" s="896">
        <f>P11</f>
        <v>4</v>
      </c>
      <c r="Q18" s="870">
        <f t="shared" si="2"/>
        <v>16</v>
      </c>
      <c r="R18" s="871">
        <f>'Inputs and eligible population'!I69</f>
        <v>12.89</v>
      </c>
      <c r="S18" s="871">
        <f t="shared" si="3"/>
        <v>206.24</v>
      </c>
      <c r="T18" s="875">
        <v>0.307</v>
      </c>
      <c r="U18" s="872">
        <v>0.2</v>
      </c>
      <c r="V18" s="873">
        <f>(S18+S17)*(1+U18)*T18</f>
        <v>144.29491199999998</v>
      </c>
      <c r="W18" s="188"/>
    </row>
    <row r="19" spans="1:25" ht="14.45" customHeight="1" x14ac:dyDescent="0.25">
      <c r="A19" s="188"/>
      <c r="B19" s="1009"/>
      <c r="C19" s="188"/>
      <c r="D19" s="780" t="s">
        <v>1007</v>
      </c>
      <c r="E19" s="876" t="s">
        <v>1032</v>
      </c>
      <c r="F19" s="856" t="s">
        <v>763</v>
      </c>
      <c r="G19" s="856" t="s">
        <v>764</v>
      </c>
      <c r="H19" s="857">
        <v>100</v>
      </c>
      <c r="I19" s="858">
        <v>1</v>
      </c>
      <c r="J19" s="1020">
        <f t="shared" si="0"/>
        <v>100</v>
      </c>
      <c r="K19" s="1026">
        <v>5</v>
      </c>
      <c r="L19" s="860" t="s">
        <v>765</v>
      </c>
      <c r="M19" s="859">
        <f>'Inputs and eligible population'!$D$74</f>
        <v>79.3</v>
      </c>
      <c r="N19" s="858">
        <f>(K19*M19)</f>
        <v>396.5</v>
      </c>
      <c r="O19" s="1039">
        <f t="shared" si="1"/>
        <v>4</v>
      </c>
      <c r="P19" s="897">
        <f>P11</f>
        <v>4</v>
      </c>
      <c r="Q19" s="861">
        <f t="shared" si="2"/>
        <v>16</v>
      </c>
      <c r="R19" s="862">
        <f>'Inputs and eligible population'!I64</f>
        <v>37.340000000000003</v>
      </c>
      <c r="S19" s="862">
        <f t="shared" si="3"/>
        <v>597.44000000000005</v>
      </c>
      <c r="T19" s="863"/>
      <c r="U19" s="864"/>
      <c r="V19" s="865"/>
      <c r="W19" s="188"/>
    </row>
    <row r="20" spans="1:25" ht="14.45" customHeight="1" thickBot="1" x14ac:dyDescent="0.3">
      <c r="A20" s="188"/>
      <c r="B20" s="1009"/>
      <c r="C20" s="188"/>
      <c r="D20" s="841" t="s">
        <v>1008</v>
      </c>
      <c r="E20" s="879" t="s">
        <v>1037</v>
      </c>
      <c r="F20" s="605" t="s">
        <v>763</v>
      </c>
      <c r="G20" s="605" t="s">
        <v>764</v>
      </c>
      <c r="H20" s="874">
        <v>1000</v>
      </c>
      <c r="I20" s="606">
        <v>1</v>
      </c>
      <c r="J20" s="1019">
        <f t="shared" si="0"/>
        <v>1000</v>
      </c>
      <c r="K20" s="1027">
        <v>1250</v>
      </c>
      <c r="L20" s="868">
        <f>'Inputs and eligible population'!$D$75</f>
        <v>1.79</v>
      </c>
      <c r="M20" s="869" t="s">
        <v>765</v>
      </c>
      <c r="N20" s="606">
        <f>K20*L20*2</f>
        <v>4475</v>
      </c>
      <c r="O20" s="1038">
        <f t="shared" si="1"/>
        <v>5</v>
      </c>
      <c r="P20" s="896">
        <f>P11</f>
        <v>4</v>
      </c>
      <c r="Q20" s="870">
        <f t="shared" si="2"/>
        <v>20</v>
      </c>
      <c r="R20" s="871">
        <f>'Inputs and eligible population'!I68</f>
        <v>17.75</v>
      </c>
      <c r="S20" s="871">
        <f t="shared" si="3"/>
        <v>355</v>
      </c>
      <c r="T20" s="875">
        <v>0.115</v>
      </c>
      <c r="U20" s="872">
        <v>0.2</v>
      </c>
      <c r="V20" s="873">
        <f>(S20+S19)*(1+U20)*T20</f>
        <v>131.43672000000001</v>
      </c>
      <c r="W20" s="188"/>
    </row>
    <row r="21" spans="1:25" ht="14.45" customHeight="1" x14ac:dyDescent="0.25">
      <c r="A21" s="188"/>
      <c r="B21" s="1009"/>
      <c r="C21" s="188"/>
      <c r="D21" s="780" t="s">
        <v>1028</v>
      </c>
      <c r="E21" s="876" t="s">
        <v>1034</v>
      </c>
      <c r="F21" s="856" t="s">
        <v>763</v>
      </c>
      <c r="G21" s="856" t="s">
        <v>764</v>
      </c>
      <c r="H21" s="857">
        <v>100</v>
      </c>
      <c r="I21" s="858">
        <v>1</v>
      </c>
      <c r="J21" s="1020">
        <f>H21*I21</f>
        <v>100</v>
      </c>
      <c r="K21" s="1026">
        <v>75</v>
      </c>
      <c r="L21" s="859">
        <f>'Inputs and eligible population'!$D$75</f>
        <v>1.79</v>
      </c>
      <c r="M21" s="860" t="s">
        <v>765</v>
      </c>
      <c r="N21" s="858">
        <f t="shared" ref="N21:N22" si="5">K21*L21</f>
        <v>134.25</v>
      </c>
      <c r="O21" s="1039">
        <f t="shared" si="1"/>
        <v>2</v>
      </c>
      <c r="P21" s="897">
        <f>P11</f>
        <v>4</v>
      </c>
      <c r="Q21" s="861">
        <f t="shared" si="2"/>
        <v>8</v>
      </c>
      <c r="R21" s="862">
        <f>'Inputs and eligible population'!I64</f>
        <v>37.340000000000003</v>
      </c>
      <c r="S21" s="862">
        <f t="shared" si="3"/>
        <v>298.72000000000003</v>
      </c>
      <c r="T21" s="866"/>
      <c r="U21" s="864"/>
      <c r="V21" s="865"/>
      <c r="W21" s="188"/>
    </row>
    <row r="22" spans="1:25" ht="14.45" customHeight="1" thickBot="1" x14ac:dyDescent="0.3">
      <c r="A22" s="188"/>
      <c r="B22" s="1009"/>
      <c r="C22" s="188"/>
      <c r="D22" s="841" t="s">
        <v>1029</v>
      </c>
      <c r="E22" s="879" t="s">
        <v>1036</v>
      </c>
      <c r="F22" s="605" t="s">
        <v>763</v>
      </c>
      <c r="G22" s="605" t="s">
        <v>764</v>
      </c>
      <c r="H22" s="874">
        <v>100</v>
      </c>
      <c r="I22" s="606">
        <v>1</v>
      </c>
      <c r="J22" s="1019">
        <f t="shared" ref="J22:J24" si="6">H22*I22</f>
        <v>100</v>
      </c>
      <c r="K22" s="1027">
        <v>200</v>
      </c>
      <c r="L22" s="868">
        <f>'Inputs and eligible population'!$D$75</f>
        <v>1.79</v>
      </c>
      <c r="M22" s="869" t="s">
        <v>765</v>
      </c>
      <c r="N22" s="606">
        <f t="shared" si="5"/>
        <v>358</v>
      </c>
      <c r="O22" s="1038">
        <f t="shared" si="1"/>
        <v>4</v>
      </c>
      <c r="P22" s="896">
        <f>P11</f>
        <v>4</v>
      </c>
      <c r="Q22" s="870">
        <f t="shared" si="2"/>
        <v>16</v>
      </c>
      <c r="R22" s="871">
        <f>'Inputs and eligible population'!I69</f>
        <v>12.89</v>
      </c>
      <c r="S22" s="871">
        <f t="shared" si="3"/>
        <v>206.24</v>
      </c>
      <c r="T22" s="875">
        <v>0</v>
      </c>
      <c r="U22" s="872">
        <v>0.2</v>
      </c>
      <c r="V22" s="873">
        <f>(S22+S21)*(1+U22)*T22</f>
        <v>0</v>
      </c>
      <c r="W22" s="188"/>
    </row>
    <row r="23" spans="1:25" ht="14.45" customHeight="1" x14ac:dyDescent="0.25">
      <c r="A23" s="188"/>
      <c r="B23" s="1009"/>
      <c r="C23" s="188"/>
      <c r="D23" s="780" t="s">
        <v>1030</v>
      </c>
      <c r="E23" s="877" t="s">
        <v>1032</v>
      </c>
      <c r="F23" s="856" t="s">
        <v>763</v>
      </c>
      <c r="G23" s="856" t="s">
        <v>764</v>
      </c>
      <c r="H23" s="860">
        <v>600</v>
      </c>
      <c r="I23" s="858">
        <v>1</v>
      </c>
      <c r="J23" s="1020">
        <f t="shared" si="6"/>
        <v>600</v>
      </c>
      <c r="K23" s="1028">
        <v>5</v>
      </c>
      <c r="L23" s="860" t="s">
        <v>765</v>
      </c>
      <c r="M23" s="859">
        <f>'Inputs and eligible population'!$D$74</f>
        <v>79.3</v>
      </c>
      <c r="N23" s="858">
        <f>(K23*(M23+25))</f>
        <v>521.5</v>
      </c>
      <c r="O23" s="1039">
        <f t="shared" si="1"/>
        <v>1</v>
      </c>
      <c r="P23" s="897">
        <f>P11</f>
        <v>4</v>
      </c>
      <c r="Q23" s="861">
        <f t="shared" si="2"/>
        <v>4</v>
      </c>
      <c r="R23" s="862">
        <f>'Inputs and eligible population'!I63</f>
        <v>38.93</v>
      </c>
      <c r="S23" s="862">
        <f t="shared" si="3"/>
        <v>155.72</v>
      </c>
      <c r="T23" s="866"/>
      <c r="U23" s="864"/>
      <c r="V23" s="865"/>
      <c r="W23" s="188"/>
    </row>
    <row r="24" spans="1:25" ht="14.45" customHeight="1" x14ac:dyDescent="0.25">
      <c r="A24" s="188"/>
      <c r="B24" s="1009"/>
      <c r="C24" s="188"/>
      <c r="D24" s="840" t="s">
        <v>1031</v>
      </c>
      <c r="E24" s="787" t="s">
        <v>1037</v>
      </c>
      <c r="F24" s="589" t="s">
        <v>763</v>
      </c>
      <c r="G24" s="589" t="s">
        <v>764</v>
      </c>
      <c r="H24" s="799">
        <v>1000</v>
      </c>
      <c r="I24" s="590">
        <v>1</v>
      </c>
      <c r="J24" s="1018">
        <f t="shared" si="6"/>
        <v>1000</v>
      </c>
      <c r="K24" s="1029">
        <v>1250</v>
      </c>
      <c r="L24" s="793">
        <f>'Inputs and eligible population'!$D$75</f>
        <v>1.79</v>
      </c>
      <c r="M24" s="799" t="s">
        <v>765</v>
      </c>
      <c r="N24" s="590">
        <f>K24*L24*2</f>
        <v>4475</v>
      </c>
      <c r="O24" s="1037">
        <f t="shared" si="1"/>
        <v>5</v>
      </c>
      <c r="P24" s="894">
        <f>P11</f>
        <v>4</v>
      </c>
      <c r="Q24" s="845">
        <f t="shared" si="2"/>
        <v>20</v>
      </c>
      <c r="R24" s="842">
        <f>'Inputs and eligible population'!I68</f>
        <v>17.75</v>
      </c>
      <c r="S24" s="842">
        <f t="shared" si="3"/>
        <v>355</v>
      </c>
      <c r="T24" s="849">
        <v>2.7E-2</v>
      </c>
      <c r="U24" s="593">
        <v>0.2</v>
      </c>
      <c r="V24" s="596">
        <f>(S24+S23)*(1+U24)*T24</f>
        <v>16.547328</v>
      </c>
      <c r="W24" s="188"/>
    </row>
    <row r="25" spans="1:25" ht="14.45" customHeight="1" x14ac:dyDescent="0.25">
      <c r="A25" s="188"/>
      <c r="B25" s="1009"/>
      <c r="C25" s="188"/>
      <c r="D25" s="600"/>
      <c r="E25" s="788" t="s">
        <v>766</v>
      </c>
      <c r="F25" s="604"/>
      <c r="G25" s="604"/>
      <c r="H25" s="604"/>
      <c r="I25" s="604"/>
      <c r="J25" s="604"/>
      <c r="K25" s="604"/>
      <c r="L25" s="604"/>
      <c r="M25" s="604"/>
      <c r="N25" s="604"/>
      <c r="O25" s="604"/>
      <c r="P25" s="604"/>
      <c r="Q25" s="604"/>
      <c r="R25" s="604"/>
      <c r="S25" s="604"/>
      <c r="T25" s="604"/>
      <c r="U25" s="608"/>
      <c r="V25" s="789">
        <f>+V24+V22+V20+V18+V16+V14+V11</f>
        <v>961.34519999999998</v>
      </c>
      <c r="W25" s="188"/>
    </row>
    <row r="26" spans="1:25" ht="14.45" customHeight="1" thickBot="1" x14ac:dyDescent="0.3">
      <c r="A26" s="188"/>
      <c r="B26" s="1009"/>
      <c r="C26" s="188"/>
      <c r="D26" s="241"/>
      <c r="E26" s="241"/>
      <c r="F26" s="241"/>
      <c r="G26" s="241"/>
      <c r="H26" s="241"/>
      <c r="I26" s="241"/>
      <c r="J26" s="241"/>
      <c r="K26" s="241"/>
      <c r="L26" s="241"/>
      <c r="M26" s="241"/>
      <c r="N26" s="241"/>
      <c r="O26" s="241"/>
      <c r="P26" s="241"/>
      <c r="Q26" s="241"/>
      <c r="R26" s="241"/>
      <c r="S26" s="241"/>
      <c r="T26" s="241"/>
      <c r="U26" s="241"/>
      <c r="V26" s="802"/>
      <c r="W26" s="188"/>
    </row>
    <row r="27" spans="1:25" ht="14.45" customHeight="1" thickBot="1" x14ac:dyDescent="0.3">
      <c r="A27" s="188"/>
      <c r="B27" s="1009"/>
      <c r="C27" s="188"/>
      <c r="D27" s="237" t="s">
        <v>1042</v>
      </c>
      <c r="E27" s="188"/>
      <c r="F27" s="883" t="s">
        <v>748</v>
      </c>
      <c r="G27" s="884"/>
      <c r="H27" s="884"/>
      <c r="I27" s="884"/>
      <c r="J27" s="884"/>
      <c r="K27" s="883" t="s">
        <v>749</v>
      </c>
      <c r="L27" s="884"/>
      <c r="M27" s="884"/>
      <c r="N27" s="884"/>
      <c r="O27" s="884"/>
      <c r="P27" s="884"/>
      <c r="Q27" s="884"/>
      <c r="R27" s="884"/>
      <c r="S27" s="884"/>
      <c r="T27" s="884"/>
      <c r="U27" s="884"/>
      <c r="V27" s="892"/>
      <c r="W27" s="188"/>
    </row>
    <row r="28" spans="1:25" ht="14.45" customHeight="1" x14ac:dyDescent="0.25">
      <c r="A28" s="188"/>
      <c r="B28" s="1009"/>
      <c r="C28" s="188"/>
      <c r="D28" s="886" t="s">
        <v>1042</v>
      </c>
      <c r="E28" s="893" t="s">
        <v>1086</v>
      </c>
      <c r="F28" s="887" t="s">
        <v>763</v>
      </c>
      <c r="G28" s="856" t="s">
        <v>764</v>
      </c>
      <c r="H28" s="858">
        <v>500</v>
      </c>
      <c r="I28" s="858">
        <v>1</v>
      </c>
      <c r="J28" s="1030">
        <f>I28*H28</f>
        <v>500</v>
      </c>
      <c r="K28" s="1031">
        <v>1500</v>
      </c>
      <c r="L28" s="888" t="s">
        <v>765</v>
      </c>
      <c r="M28" s="888" t="s">
        <v>765</v>
      </c>
      <c r="N28" s="858">
        <f>K28</f>
        <v>1500</v>
      </c>
      <c r="O28" s="861">
        <f>ROUNDUP(N28/J28,0)</f>
        <v>3</v>
      </c>
      <c r="P28" s="889">
        <f>'Inputs and eligible population'!F51</f>
        <v>12</v>
      </c>
      <c r="Q28" s="889">
        <f>ROUNDUP(P28*O28,0)</f>
        <v>36</v>
      </c>
      <c r="R28" s="890">
        <f>'Inputs and eligible population'!I58</f>
        <v>0</v>
      </c>
      <c r="S28" s="890">
        <f>R28*Q28</f>
        <v>0</v>
      </c>
      <c r="T28" s="863"/>
      <c r="U28" s="891">
        <v>0.2</v>
      </c>
      <c r="V28" s="898">
        <f>Q28*R28*(100%+U28)</f>
        <v>0</v>
      </c>
      <c r="W28" s="188"/>
    </row>
    <row r="29" spans="1:25" s="239" customFormat="1" ht="15" x14ac:dyDescent="0.25">
      <c r="A29" s="241"/>
      <c r="B29" s="1009"/>
      <c r="C29" s="241"/>
      <c r="D29" s="241"/>
      <c r="E29" s="788" t="s">
        <v>766</v>
      </c>
      <c r="F29" s="604"/>
      <c r="G29" s="604"/>
      <c r="H29" s="604"/>
      <c r="I29" s="604"/>
      <c r="J29" s="604"/>
      <c r="K29" s="604"/>
      <c r="L29" s="604"/>
      <c r="M29" s="604"/>
      <c r="N29" s="604"/>
      <c r="O29" s="604"/>
      <c r="P29" s="610"/>
      <c r="Q29" s="610"/>
      <c r="R29" s="604"/>
      <c r="S29" s="604"/>
      <c r="T29" s="610"/>
      <c r="U29" s="608"/>
      <c r="V29" s="609">
        <f>SUM(V28:V28)</f>
        <v>0</v>
      </c>
      <c r="W29" s="241"/>
      <c r="X29" s="3"/>
      <c r="Y29" s="3"/>
    </row>
    <row r="30" spans="1:25" s="239" customFormat="1" ht="15" x14ac:dyDescent="0.25">
      <c r="A30" s="241"/>
      <c r="B30" s="1011"/>
      <c r="C30" s="241"/>
      <c r="D30" s="241" t="s">
        <v>1164</v>
      </c>
      <c r="E30" s="241"/>
      <c r="F30" s="1041"/>
      <c r="G30" s="1041"/>
      <c r="H30" s="1041"/>
      <c r="I30" s="1041"/>
      <c r="J30" s="1041"/>
      <c r="K30" s="1041"/>
      <c r="L30" s="1041"/>
      <c r="M30" s="1041"/>
      <c r="N30" s="1041"/>
      <c r="O30" s="1041"/>
      <c r="P30" s="1042"/>
      <c r="Q30" s="1042"/>
      <c r="R30" s="1041"/>
      <c r="S30" s="1041"/>
      <c r="T30" s="1042"/>
      <c r="U30" s="1041"/>
      <c r="V30" s="1043"/>
      <c r="W30" s="241"/>
      <c r="X30" s="3"/>
      <c r="Y30" s="3"/>
    </row>
    <row r="31" spans="1:25" s="239" customFormat="1" ht="15" x14ac:dyDescent="0.25">
      <c r="A31" s="241"/>
      <c r="B31" s="241"/>
      <c r="C31" s="241"/>
      <c r="D31" s="241"/>
      <c r="E31" s="241"/>
      <c r="F31" s="241"/>
      <c r="G31" s="241"/>
      <c r="H31" s="241"/>
      <c r="I31" s="241"/>
      <c r="J31" s="241"/>
      <c r="K31" s="241"/>
      <c r="L31" s="241"/>
      <c r="M31" s="241"/>
      <c r="N31" s="241"/>
      <c r="O31" s="241"/>
      <c r="P31" s="568"/>
      <c r="Q31" s="568"/>
      <c r="R31" s="241"/>
      <c r="S31" s="241"/>
      <c r="T31" s="568"/>
      <c r="U31" s="241"/>
      <c r="V31" s="607"/>
      <c r="W31" s="241"/>
      <c r="X31" s="3"/>
      <c r="Y31" s="3"/>
    </row>
    <row r="32" spans="1:25" s="239" customFormat="1" ht="15.75" thickBot="1" x14ac:dyDescent="0.3">
      <c r="A32" s="241"/>
      <c r="B32" s="241"/>
      <c r="C32" s="241"/>
      <c r="D32" s="241"/>
      <c r="E32" s="241"/>
      <c r="F32" s="604"/>
      <c r="G32" s="604"/>
      <c r="H32" s="604"/>
      <c r="I32" s="604"/>
      <c r="J32" s="604"/>
      <c r="K32" s="604"/>
      <c r="L32" s="604"/>
      <c r="M32" s="604"/>
      <c r="N32" s="604"/>
      <c r="O32" s="604"/>
      <c r="P32" s="610"/>
      <c r="Q32" s="610"/>
      <c r="R32" s="604"/>
      <c r="S32" s="604"/>
      <c r="T32" s="610"/>
      <c r="U32" s="604"/>
      <c r="V32" s="801"/>
      <c r="W32" s="241"/>
      <c r="X32" s="3"/>
      <c r="Y32" s="3"/>
    </row>
    <row r="33" spans="1:25" s="239" customFormat="1" ht="15.75" thickBot="1" x14ac:dyDescent="0.3">
      <c r="A33" s="241"/>
      <c r="B33" s="1008"/>
      <c r="C33" s="241"/>
      <c r="D33" s="237" t="s">
        <v>997</v>
      </c>
      <c r="E33" s="241"/>
      <c r="F33" s="883" t="s">
        <v>748</v>
      </c>
      <c r="G33" s="884"/>
      <c r="H33" s="884"/>
      <c r="I33" s="884"/>
      <c r="J33" s="884"/>
      <c r="K33" s="883" t="s">
        <v>749</v>
      </c>
      <c r="L33" s="884"/>
      <c r="M33" s="884"/>
      <c r="N33" s="884"/>
      <c r="O33" s="884"/>
      <c r="P33" s="884"/>
      <c r="Q33" s="884"/>
      <c r="R33" s="884"/>
      <c r="S33" s="884"/>
      <c r="T33" s="884"/>
      <c r="U33" s="884"/>
      <c r="V33" s="885"/>
      <c r="W33" s="241"/>
      <c r="X33" s="3"/>
      <c r="Y33" s="3"/>
    </row>
    <row r="34" spans="1:25" s="239" customFormat="1" ht="60" x14ac:dyDescent="0.25">
      <c r="A34" s="241"/>
      <c r="B34" s="1009"/>
      <c r="C34" s="241"/>
      <c r="D34" s="242" t="s">
        <v>750</v>
      </c>
      <c r="E34" s="240" t="s">
        <v>1085</v>
      </c>
      <c r="F34" s="880" t="s">
        <v>751</v>
      </c>
      <c r="G34" s="880" t="s">
        <v>752</v>
      </c>
      <c r="H34" s="880" t="s">
        <v>753</v>
      </c>
      <c r="I34" s="880" t="s">
        <v>754</v>
      </c>
      <c r="J34" s="1017" t="s">
        <v>755</v>
      </c>
      <c r="K34" s="1021" t="s">
        <v>756</v>
      </c>
      <c r="L34" s="881" t="s">
        <v>757</v>
      </c>
      <c r="M34" s="880" t="s">
        <v>758</v>
      </c>
      <c r="N34" s="880" t="s">
        <v>759</v>
      </c>
      <c r="O34" s="880" t="s">
        <v>1087</v>
      </c>
      <c r="P34" s="880" t="s">
        <v>1161</v>
      </c>
      <c r="Q34" s="882" t="s">
        <v>1088</v>
      </c>
      <c r="R34" s="880" t="s">
        <v>1089</v>
      </c>
      <c r="S34" s="881" t="s">
        <v>1039</v>
      </c>
      <c r="T34" s="880" t="s">
        <v>1005</v>
      </c>
      <c r="U34" s="881" t="s">
        <v>761</v>
      </c>
      <c r="V34" s="880" t="s">
        <v>762</v>
      </c>
      <c r="W34" s="241"/>
      <c r="X34" s="3"/>
      <c r="Y34" s="3"/>
    </row>
    <row r="35" spans="1:25" s="239" customFormat="1" ht="15" x14ac:dyDescent="0.25">
      <c r="A35" s="241"/>
      <c r="B35" s="1009"/>
      <c r="C35" s="241"/>
      <c r="D35" s="588" t="s">
        <v>980</v>
      </c>
      <c r="E35" s="785" t="s">
        <v>1006</v>
      </c>
      <c r="F35" s="589" t="s">
        <v>763</v>
      </c>
      <c r="G35" s="589" t="s">
        <v>764</v>
      </c>
      <c r="H35" s="590">
        <v>100</v>
      </c>
      <c r="I35" s="590">
        <v>1</v>
      </c>
      <c r="J35" s="1018">
        <v>100</v>
      </c>
      <c r="K35" s="1022">
        <v>200</v>
      </c>
      <c r="L35" s="591" t="s">
        <v>765</v>
      </c>
      <c r="M35" s="591" t="s">
        <v>765</v>
      </c>
      <c r="N35" s="590">
        <f>K35</f>
        <v>200</v>
      </c>
      <c r="O35" s="845">
        <f>ROUNDUP(N35/J35,0)</f>
        <v>2</v>
      </c>
      <c r="P35" s="588">
        <f>'Inputs and eligible population'!F52</f>
        <v>3.6</v>
      </c>
      <c r="Q35" s="588">
        <f>ROUNDUP(P35*O35,0)</f>
        <v>8</v>
      </c>
      <c r="R35" s="842">
        <f>'Inputs and eligible population'!I61</f>
        <v>0</v>
      </c>
      <c r="S35" s="843"/>
      <c r="T35" s="786"/>
      <c r="U35" s="593">
        <f>'Inputs and eligible population'!J61</f>
        <v>0.2</v>
      </c>
      <c r="V35" s="596">
        <f>Q35*R35*(100%+U35)</f>
        <v>0</v>
      </c>
      <c r="W35" s="241"/>
      <c r="X35" s="3"/>
      <c r="Y35" s="3"/>
    </row>
    <row r="36" spans="1:25" ht="14.45" customHeight="1" x14ac:dyDescent="0.25">
      <c r="A36" s="188"/>
      <c r="B36" s="1009"/>
      <c r="C36" s="188"/>
      <c r="D36" s="907"/>
      <c r="E36" s="797" t="s">
        <v>1038</v>
      </c>
      <c r="F36" s="851"/>
      <c r="G36" s="851"/>
      <c r="H36" s="798"/>
      <c r="I36" s="798"/>
      <c r="J36" s="798"/>
      <c r="K36" s="1023"/>
      <c r="L36" s="852"/>
      <c r="M36" s="852"/>
      <c r="N36" s="798"/>
      <c r="O36" s="853"/>
      <c r="P36" s="895"/>
      <c r="Q36" s="853"/>
      <c r="R36" s="854"/>
      <c r="S36" s="854"/>
      <c r="T36" s="853"/>
      <c r="U36" s="855"/>
      <c r="V36" s="850"/>
      <c r="W36" s="188"/>
    </row>
    <row r="37" spans="1:25" s="239" customFormat="1" ht="15" x14ac:dyDescent="0.25">
      <c r="A37" s="241"/>
      <c r="B37" s="1012" t="s">
        <v>1154</v>
      </c>
      <c r="C37" s="241"/>
      <c r="D37" s="782" t="s">
        <v>1007</v>
      </c>
      <c r="E37" s="787" t="s">
        <v>1090</v>
      </c>
      <c r="F37" s="589" t="s">
        <v>763</v>
      </c>
      <c r="G37" s="589" t="s">
        <v>764</v>
      </c>
      <c r="H37" s="590">
        <v>100</v>
      </c>
      <c r="I37" s="590">
        <v>1</v>
      </c>
      <c r="J37" s="1018">
        <f>H37*I37</f>
        <v>100</v>
      </c>
      <c r="K37" s="1022">
        <v>75</v>
      </c>
      <c r="L37" s="591">
        <v>1.85</v>
      </c>
      <c r="M37" s="591" t="s">
        <v>765</v>
      </c>
      <c r="N37" s="590">
        <f>K37*L37</f>
        <v>138.75</v>
      </c>
      <c r="O37" s="845">
        <f>ROUNDUP(N37/J37,0)</f>
        <v>2</v>
      </c>
      <c r="P37" s="588">
        <f>P35</f>
        <v>3.6</v>
      </c>
      <c r="Q37" s="845">
        <f>O37*P37</f>
        <v>7.2</v>
      </c>
      <c r="R37" s="842">
        <f>'Inputs and eligible population'!I64</f>
        <v>37.340000000000003</v>
      </c>
      <c r="S37" s="596">
        <f t="shared" ref="S37:S40" si="7">R37*Q37</f>
        <v>268.84800000000001</v>
      </c>
      <c r="T37" s="848"/>
      <c r="U37" s="593">
        <f>'Inputs and eligible population'!J64</f>
        <v>0.2</v>
      </c>
      <c r="V37" s="846"/>
      <c r="W37" s="241"/>
      <c r="X37" s="3"/>
      <c r="Y37" s="3"/>
    </row>
    <row r="38" spans="1:25" s="239" customFormat="1" ht="15.75" thickBot="1" x14ac:dyDescent="0.3">
      <c r="A38" s="241"/>
      <c r="B38" s="1012" t="s">
        <v>1155</v>
      </c>
      <c r="C38" s="241"/>
      <c r="D38" s="900" t="s">
        <v>1008</v>
      </c>
      <c r="E38" s="901" t="s">
        <v>1091</v>
      </c>
      <c r="F38" s="605" t="s">
        <v>763</v>
      </c>
      <c r="G38" s="605" t="s">
        <v>764</v>
      </c>
      <c r="H38" s="606">
        <v>1000</v>
      </c>
      <c r="I38" s="606">
        <v>1</v>
      </c>
      <c r="J38" s="1019">
        <f t="shared" ref="J38:J40" si="8">H38*I38</f>
        <v>1000</v>
      </c>
      <c r="K38" s="1032">
        <v>1000</v>
      </c>
      <c r="L38" s="902">
        <v>1.85</v>
      </c>
      <c r="M38" s="902" t="s">
        <v>765</v>
      </c>
      <c r="N38" s="606">
        <f>K38*2*L38</f>
        <v>3700</v>
      </c>
      <c r="O38" s="870">
        <f>ROUNDUP(N38/J38,0)</f>
        <v>4</v>
      </c>
      <c r="P38" s="903">
        <f>P35</f>
        <v>3.6</v>
      </c>
      <c r="Q38" s="870">
        <f>O38*P38</f>
        <v>14.4</v>
      </c>
      <c r="R38" s="871">
        <f>'Inputs and eligible population'!I68</f>
        <v>17.75</v>
      </c>
      <c r="S38" s="873">
        <f t="shared" si="7"/>
        <v>255.6</v>
      </c>
      <c r="T38" s="875">
        <v>0.439</v>
      </c>
      <c r="U38" s="872">
        <f>'Inputs and eligible population'!J65</f>
        <v>0.2</v>
      </c>
      <c r="V38" s="873">
        <f>(S37+S38)*(100%+U38)*T38</f>
        <v>276.27920639999996</v>
      </c>
      <c r="W38" s="241"/>
      <c r="X38" s="3"/>
      <c r="Y38" s="3"/>
    </row>
    <row r="39" spans="1:25" s="239" customFormat="1" ht="15" x14ac:dyDescent="0.25">
      <c r="A39" s="241"/>
      <c r="B39" s="1012" t="s">
        <v>1153</v>
      </c>
      <c r="C39" s="241"/>
      <c r="D39" s="781" t="s">
        <v>1009</v>
      </c>
      <c r="E39" s="876" t="s">
        <v>1090</v>
      </c>
      <c r="F39" s="856" t="s">
        <v>763</v>
      </c>
      <c r="G39" s="856" t="s">
        <v>764</v>
      </c>
      <c r="H39" s="858">
        <v>100</v>
      </c>
      <c r="I39" s="858">
        <v>1</v>
      </c>
      <c r="J39" s="1020">
        <f t="shared" si="8"/>
        <v>100</v>
      </c>
      <c r="K39" s="1031">
        <v>75</v>
      </c>
      <c r="L39" s="888">
        <v>1.85</v>
      </c>
      <c r="M39" s="888" t="s">
        <v>765</v>
      </c>
      <c r="N39" s="858">
        <f>K39*L39</f>
        <v>138.75</v>
      </c>
      <c r="O39" s="861">
        <f>ROUNDUP(N39/J39,0)</f>
        <v>2</v>
      </c>
      <c r="P39" s="889">
        <f>P35</f>
        <v>3.6</v>
      </c>
      <c r="Q39" s="861">
        <f>O39*P39</f>
        <v>7.2</v>
      </c>
      <c r="R39" s="862">
        <f>'Inputs and eligible population'!I64</f>
        <v>37.340000000000003</v>
      </c>
      <c r="S39" s="899">
        <f t="shared" si="7"/>
        <v>268.84800000000001</v>
      </c>
      <c r="T39" s="866"/>
      <c r="U39" s="891">
        <f>'Inputs and eligible population'!J71</f>
        <v>0.2</v>
      </c>
      <c r="V39" s="865"/>
      <c r="W39" s="241"/>
      <c r="X39" s="3"/>
      <c r="Y39" s="3"/>
    </row>
    <row r="40" spans="1:25" s="239" customFormat="1" ht="15" x14ac:dyDescent="0.25">
      <c r="A40" s="241"/>
      <c r="B40" s="1009"/>
      <c r="C40" s="241"/>
      <c r="D40" s="782" t="s">
        <v>1010</v>
      </c>
      <c r="E40" s="787" t="s">
        <v>1093</v>
      </c>
      <c r="F40" s="589" t="s">
        <v>763</v>
      </c>
      <c r="G40" s="589" t="s">
        <v>764</v>
      </c>
      <c r="H40" s="590">
        <v>1000</v>
      </c>
      <c r="I40" s="590">
        <v>1</v>
      </c>
      <c r="J40" s="1018">
        <f t="shared" si="8"/>
        <v>1000</v>
      </c>
      <c r="K40" s="1022">
        <v>500</v>
      </c>
      <c r="L40" s="591">
        <v>1.85</v>
      </c>
      <c r="M40" s="591" t="s">
        <v>765</v>
      </c>
      <c r="N40" s="590">
        <f>K40*L40</f>
        <v>925</v>
      </c>
      <c r="O40" s="845">
        <f>ROUNDUP(N40/J40,0)</f>
        <v>1</v>
      </c>
      <c r="P40" s="588">
        <f>P35</f>
        <v>3.6</v>
      </c>
      <c r="Q40" s="845">
        <f>O40*P40</f>
        <v>3.6</v>
      </c>
      <c r="R40" s="842">
        <f>'Inputs and eligible population'!I71</f>
        <v>215.12</v>
      </c>
      <c r="S40" s="596">
        <f t="shared" si="7"/>
        <v>774.43200000000002</v>
      </c>
      <c r="T40" s="849">
        <v>0.56100000000000005</v>
      </c>
      <c r="U40" s="593">
        <f>'Inputs and eligible population'!J71</f>
        <v>0.2</v>
      </c>
      <c r="V40" s="596">
        <f>(S39+S40)*(100%+U40)*T40</f>
        <v>702.336096</v>
      </c>
      <c r="W40" s="241"/>
      <c r="X40" s="3"/>
      <c r="Y40" s="3"/>
    </row>
    <row r="41" spans="1:25" s="239" customFormat="1" ht="15" x14ac:dyDescent="0.25">
      <c r="A41" s="241"/>
      <c r="B41" s="1009"/>
      <c r="C41" s="241"/>
      <c r="D41" s="600"/>
      <c r="E41" s="788" t="s">
        <v>766</v>
      </c>
      <c r="F41" s="604"/>
      <c r="G41" s="604"/>
      <c r="H41" s="604"/>
      <c r="I41" s="604"/>
      <c r="J41" s="604"/>
      <c r="K41" s="604"/>
      <c r="L41" s="604"/>
      <c r="M41" s="604"/>
      <c r="N41" s="604"/>
      <c r="O41" s="604"/>
      <c r="P41" s="604"/>
      <c r="Q41" s="604"/>
      <c r="R41" s="604"/>
      <c r="S41" s="604"/>
      <c r="T41" s="604"/>
      <c r="U41" s="608"/>
      <c r="V41" s="789">
        <f>V40+V38+V35</f>
        <v>978.61530240000002</v>
      </c>
      <c r="W41" s="241"/>
      <c r="X41" s="3"/>
      <c r="Y41" s="3"/>
    </row>
    <row r="42" spans="1:25" s="239" customFormat="1" ht="15" x14ac:dyDescent="0.25">
      <c r="A42" s="241"/>
      <c r="B42" s="1009"/>
      <c r="C42" s="241"/>
      <c r="D42" s="241"/>
      <c r="E42" s="241"/>
      <c r="F42" s="241"/>
      <c r="G42" s="241"/>
      <c r="H42" s="241"/>
      <c r="I42" s="241"/>
      <c r="J42" s="241"/>
      <c r="K42" s="241"/>
      <c r="L42" s="241"/>
      <c r="M42" s="241"/>
      <c r="N42" s="241"/>
      <c r="O42" s="241"/>
      <c r="P42" s="241"/>
      <c r="Q42" s="241"/>
      <c r="R42" s="241"/>
      <c r="S42" s="241"/>
      <c r="T42" s="241"/>
      <c r="U42" s="241"/>
      <c r="V42" s="790"/>
      <c r="W42" s="241"/>
      <c r="X42" s="3"/>
      <c r="Y42" s="3"/>
    </row>
    <row r="43" spans="1:25" s="239" customFormat="1" ht="15.75" thickBot="1" x14ac:dyDescent="0.3">
      <c r="A43" s="241"/>
      <c r="B43" s="1009"/>
      <c r="C43" s="241"/>
      <c r="D43" s="791"/>
      <c r="E43" s="241"/>
      <c r="F43" s="241"/>
      <c r="G43" s="241"/>
      <c r="H43" s="241"/>
      <c r="I43" s="241"/>
      <c r="J43" s="241"/>
      <c r="K43" s="241"/>
      <c r="L43" s="241"/>
      <c r="M43" s="241"/>
      <c r="N43" s="241"/>
      <c r="O43" s="241"/>
      <c r="P43" s="241"/>
      <c r="Q43" s="241"/>
      <c r="R43" s="241"/>
      <c r="S43" s="241"/>
      <c r="T43" s="241"/>
      <c r="U43" s="241"/>
      <c r="V43" s="598"/>
      <c r="W43" s="241"/>
      <c r="X43" s="3"/>
      <c r="Y43" s="3"/>
    </row>
    <row r="44" spans="1:25" s="239" customFormat="1" ht="15.75" thickBot="1" x14ac:dyDescent="0.3">
      <c r="A44" s="241"/>
      <c r="B44" s="1009"/>
      <c r="C44" s="241"/>
      <c r="D44" s="237" t="s">
        <v>1011</v>
      </c>
      <c r="E44" s="241"/>
      <c r="F44" s="883" t="s">
        <v>748</v>
      </c>
      <c r="G44" s="884"/>
      <c r="H44" s="884"/>
      <c r="I44" s="884"/>
      <c r="J44" s="884"/>
      <c r="K44" s="883" t="s">
        <v>749</v>
      </c>
      <c r="L44" s="884"/>
      <c r="M44" s="884"/>
      <c r="N44" s="884"/>
      <c r="O44" s="884"/>
      <c r="P44" s="884"/>
      <c r="Q44" s="884"/>
      <c r="R44" s="884"/>
      <c r="S44" s="884"/>
      <c r="T44" s="884"/>
      <c r="U44" s="884"/>
      <c r="V44" s="892"/>
      <c r="W44" s="241"/>
      <c r="X44" s="3"/>
      <c r="Y44" s="3"/>
    </row>
    <row r="45" spans="1:25" s="239" customFormat="1" ht="15" x14ac:dyDescent="0.25">
      <c r="A45" s="241"/>
      <c r="B45" s="1009"/>
      <c r="C45" s="241"/>
      <c r="D45" s="838" t="s">
        <v>980</v>
      </c>
      <c r="E45" s="785" t="s">
        <v>1094</v>
      </c>
      <c r="F45" s="856" t="s">
        <v>763</v>
      </c>
      <c r="G45" s="856" t="s">
        <v>764</v>
      </c>
      <c r="H45" s="858">
        <v>100</v>
      </c>
      <c r="I45" s="858">
        <v>1</v>
      </c>
      <c r="J45" s="1020">
        <f>I45*H45</f>
        <v>100</v>
      </c>
      <c r="K45" s="1036">
        <f>IF(E45="200mg every 3wks",200,400)</f>
        <v>400</v>
      </c>
      <c r="L45" s="888" t="s">
        <v>765</v>
      </c>
      <c r="M45" s="888" t="s">
        <v>765</v>
      </c>
      <c r="N45" s="858">
        <f>K45</f>
        <v>400</v>
      </c>
      <c r="O45" s="861">
        <f>ROUNDUP(N45/J45,0)</f>
        <v>4</v>
      </c>
      <c r="P45" s="904">
        <f>IF(E45="200mg every 3wks",'Inputs and eligible population'!K53,'Inputs and eligible population'!K54)</f>
        <v>5.5</v>
      </c>
      <c r="Q45" s="889">
        <f>ROUNDUP(P45*O45,0)</f>
        <v>22</v>
      </c>
      <c r="R45" s="862">
        <f>'Inputs and eligible population'!I61</f>
        <v>0</v>
      </c>
      <c r="S45" s="862">
        <f>R45*Q45</f>
        <v>0</v>
      </c>
      <c r="T45" s="863"/>
      <c r="U45" s="891">
        <f>'Inputs and eligible population'!J61</f>
        <v>0.2</v>
      </c>
      <c r="V45" s="899">
        <f>S45*(100%+U45)</f>
        <v>0</v>
      </c>
      <c r="W45" s="241"/>
      <c r="X45" s="3"/>
      <c r="Y45" s="3"/>
    </row>
    <row r="46" spans="1:25" s="239" customFormat="1" ht="15" x14ac:dyDescent="0.25">
      <c r="A46" s="241"/>
      <c r="B46" s="1009"/>
      <c r="C46" s="241"/>
      <c r="D46" s="600"/>
      <c r="E46" s="908" t="s">
        <v>766</v>
      </c>
      <c r="F46" s="604"/>
      <c r="G46" s="604"/>
      <c r="H46" s="604"/>
      <c r="I46" s="604"/>
      <c r="J46" s="604"/>
      <c r="K46" s="604"/>
      <c r="L46" s="604"/>
      <c r="M46" s="604"/>
      <c r="N46" s="604"/>
      <c r="O46" s="604"/>
      <c r="P46" s="610"/>
      <c r="Q46" s="610"/>
      <c r="R46" s="604"/>
      <c r="S46" s="604"/>
      <c r="T46" s="610"/>
      <c r="U46" s="608"/>
      <c r="V46" s="609">
        <f>SUM(V45:V45)</f>
        <v>0</v>
      </c>
      <c r="W46" s="241"/>
      <c r="X46" s="3"/>
      <c r="Y46" s="3"/>
    </row>
    <row r="47" spans="1:25" s="239" customFormat="1" ht="15" x14ac:dyDescent="0.25">
      <c r="A47" s="241"/>
      <c r="B47" s="1009"/>
      <c r="C47" s="241"/>
      <c r="D47" s="241"/>
      <c r="E47" s="905" t="s">
        <v>1096</v>
      </c>
      <c r="F47" s="241"/>
      <c r="G47" s="241"/>
      <c r="H47" s="241"/>
      <c r="I47" s="241"/>
      <c r="J47" s="241"/>
      <c r="K47" s="241"/>
      <c r="L47" s="241"/>
      <c r="M47" s="241"/>
      <c r="N47" s="241"/>
      <c r="O47" s="241"/>
      <c r="P47" s="568"/>
      <c r="Q47" s="568"/>
      <c r="R47" s="241"/>
      <c r="S47" s="241"/>
      <c r="T47" s="568"/>
      <c r="U47" s="241"/>
      <c r="V47" s="607"/>
      <c r="W47" s="241"/>
      <c r="X47" s="3"/>
      <c r="Y47" s="3"/>
    </row>
    <row r="48" spans="1:25" s="239" customFormat="1" ht="15" x14ac:dyDescent="0.25">
      <c r="A48" s="241"/>
      <c r="B48" s="1011"/>
      <c r="C48" s="241"/>
      <c r="D48" s="241" t="s">
        <v>1165</v>
      </c>
      <c r="E48" s="241"/>
      <c r="F48" s="241"/>
      <c r="G48" s="241"/>
      <c r="H48" s="241"/>
      <c r="I48" s="241"/>
      <c r="J48" s="241"/>
      <c r="K48" s="241"/>
      <c r="L48" s="241"/>
      <c r="M48" s="241"/>
      <c r="N48" s="241"/>
      <c r="O48" s="241"/>
      <c r="P48" s="568"/>
      <c r="Q48" s="568"/>
      <c r="R48" s="241"/>
      <c r="S48" s="241"/>
      <c r="T48" s="568"/>
      <c r="U48" s="241"/>
      <c r="V48" s="607"/>
      <c r="W48" s="241"/>
      <c r="X48" s="3"/>
      <c r="Y48" s="3"/>
    </row>
    <row r="49" spans="1:25" s="239" customFormat="1" ht="15" x14ac:dyDescent="0.25">
      <c r="A49" s="241"/>
      <c r="B49" s="241"/>
      <c r="C49" s="241"/>
      <c r="D49" s="241"/>
      <c r="E49" s="241"/>
      <c r="F49" s="241"/>
      <c r="G49" s="241"/>
      <c r="H49" s="241"/>
      <c r="I49" s="241"/>
      <c r="J49" s="241"/>
      <c r="K49" s="241"/>
      <c r="L49" s="241"/>
      <c r="M49" s="241"/>
      <c r="N49" s="241"/>
      <c r="O49" s="241"/>
      <c r="P49" s="568"/>
      <c r="Q49" s="568"/>
      <c r="R49" s="241"/>
      <c r="S49" s="241"/>
      <c r="T49" s="568"/>
      <c r="U49" s="241"/>
      <c r="V49" s="607"/>
      <c r="W49" s="241"/>
      <c r="X49" s="3"/>
      <c r="Y49" s="3"/>
    </row>
    <row r="50" spans="1:25" s="239" customFormat="1" ht="15.75" thickBot="1" x14ac:dyDescent="0.3">
      <c r="A50" s="241"/>
      <c r="B50" s="241"/>
      <c r="C50" s="241"/>
      <c r="D50" s="241"/>
      <c r="E50" s="241"/>
      <c r="F50" s="241"/>
      <c r="G50" s="241"/>
      <c r="H50" s="241"/>
      <c r="I50" s="241"/>
      <c r="J50" s="241"/>
      <c r="K50" s="241"/>
      <c r="L50" s="241"/>
      <c r="M50" s="241"/>
      <c r="N50" s="241"/>
      <c r="O50" s="241"/>
      <c r="P50" s="568"/>
      <c r="Q50" s="568"/>
      <c r="R50" s="241"/>
      <c r="S50" s="241"/>
      <c r="T50" s="568"/>
      <c r="U50" s="241"/>
      <c r="V50" s="607"/>
      <c r="W50" s="241"/>
      <c r="X50" s="3"/>
      <c r="Y50" s="3"/>
    </row>
    <row r="51" spans="1:25" s="239" customFormat="1" ht="15.75" thickBot="1" x14ac:dyDescent="0.3">
      <c r="A51" s="241"/>
      <c r="B51" s="1008"/>
      <c r="C51" s="241"/>
      <c r="D51" s="237" t="s">
        <v>1162</v>
      </c>
      <c r="E51" s="241"/>
      <c r="F51" s="883" t="s">
        <v>748</v>
      </c>
      <c r="G51" s="884"/>
      <c r="H51" s="884"/>
      <c r="I51" s="884"/>
      <c r="J51" s="884"/>
      <c r="K51" s="883" t="s">
        <v>749</v>
      </c>
      <c r="L51" s="884"/>
      <c r="M51" s="884"/>
      <c r="N51" s="884"/>
      <c r="O51" s="884"/>
      <c r="P51" s="884"/>
      <c r="Q51" s="884"/>
      <c r="R51" s="884"/>
      <c r="S51" s="884"/>
      <c r="T51" s="884"/>
      <c r="U51" s="884"/>
      <c r="V51" s="885"/>
      <c r="W51" s="241"/>
      <c r="X51" s="3"/>
      <c r="Y51" s="3"/>
    </row>
    <row r="52" spans="1:25" s="239" customFormat="1" ht="60" x14ac:dyDescent="0.25">
      <c r="A52" s="241"/>
      <c r="B52" s="1009"/>
      <c r="C52" s="241"/>
      <c r="D52" s="240" t="s">
        <v>1085</v>
      </c>
      <c r="E52" s="242" t="s">
        <v>750</v>
      </c>
      <c r="F52" s="880" t="s">
        <v>751</v>
      </c>
      <c r="G52" s="880" t="s">
        <v>752</v>
      </c>
      <c r="H52" s="880" t="s">
        <v>753</v>
      </c>
      <c r="I52" s="880" t="s">
        <v>754</v>
      </c>
      <c r="J52" s="1017" t="s">
        <v>755</v>
      </c>
      <c r="K52" s="1021" t="s">
        <v>756</v>
      </c>
      <c r="L52" s="880" t="s">
        <v>1098</v>
      </c>
      <c r="M52" s="880" t="s">
        <v>758</v>
      </c>
      <c r="N52" s="880" t="s">
        <v>759</v>
      </c>
      <c r="O52" s="880" t="s">
        <v>1087</v>
      </c>
      <c r="P52" s="880" t="s">
        <v>1161</v>
      </c>
      <c r="Q52" s="882" t="s">
        <v>1088</v>
      </c>
      <c r="R52" s="880" t="s">
        <v>1089</v>
      </c>
      <c r="S52" s="881" t="s">
        <v>1039</v>
      </c>
      <c r="T52" s="880" t="s">
        <v>1005</v>
      </c>
      <c r="U52" s="881" t="s">
        <v>761</v>
      </c>
      <c r="V52" s="880" t="s">
        <v>762</v>
      </c>
      <c r="W52" s="241"/>
      <c r="X52" s="3"/>
      <c r="Y52" s="3"/>
    </row>
    <row r="53" spans="1:25" s="239" customFormat="1" ht="30" x14ac:dyDescent="0.25">
      <c r="A53" s="241"/>
      <c r="B53" s="1009"/>
      <c r="C53" s="241"/>
      <c r="D53" s="603" t="s">
        <v>964</v>
      </c>
      <c r="E53" s="785" t="s">
        <v>1097</v>
      </c>
      <c r="F53" s="589" t="s">
        <v>763</v>
      </c>
      <c r="G53" s="589" t="s">
        <v>764</v>
      </c>
      <c r="H53" s="590">
        <v>120</v>
      </c>
      <c r="I53" s="590">
        <v>1</v>
      </c>
      <c r="J53" s="1018">
        <f>I53*H53</f>
        <v>120</v>
      </c>
      <c r="K53" s="1022">
        <v>360</v>
      </c>
      <c r="L53" s="591" t="s">
        <v>765</v>
      </c>
      <c r="M53" s="591" t="s">
        <v>765</v>
      </c>
      <c r="N53" s="590">
        <f>K53</f>
        <v>360</v>
      </c>
      <c r="O53" s="1040">
        <f>ROUNDUP(N53/J53,0)</f>
        <v>3</v>
      </c>
      <c r="P53" s="588">
        <f>'Inputs and eligible population'!F55</f>
        <v>3</v>
      </c>
      <c r="Q53" s="588">
        <f>P53*O53</f>
        <v>9</v>
      </c>
      <c r="R53" s="842">
        <f>'Inputs and eligible population'!I60</f>
        <v>0</v>
      </c>
      <c r="S53" s="842">
        <f>R53*Q53</f>
        <v>0</v>
      </c>
      <c r="T53" s="786"/>
      <c r="U53" s="593">
        <v>0.2</v>
      </c>
      <c r="V53" s="596">
        <f>Q53*R53*(100%+U53)</f>
        <v>0</v>
      </c>
      <c r="W53" s="241"/>
      <c r="X53" s="3"/>
      <c r="Y53" s="3"/>
    </row>
    <row r="54" spans="1:25" ht="14.45" customHeight="1" x14ac:dyDescent="0.25">
      <c r="A54" s="188"/>
      <c r="B54" s="1009"/>
      <c r="C54" s="188"/>
      <c r="D54" s="910"/>
      <c r="E54" s="911" t="s">
        <v>1038</v>
      </c>
      <c r="F54" s="912"/>
      <c r="G54" s="912"/>
      <c r="H54" s="913"/>
      <c r="I54" s="913"/>
      <c r="J54" s="1033"/>
      <c r="K54" s="1034"/>
      <c r="L54" s="914"/>
      <c r="M54" s="914"/>
      <c r="N54" s="913"/>
      <c r="O54" s="916"/>
      <c r="P54" s="915"/>
      <c r="Q54" s="916"/>
      <c r="R54" s="917"/>
      <c r="S54" s="917"/>
      <c r="T54" s="916"/>
      <c r="U54" s="918"/>
      <c r="V54" s="919"/>
      <c r="W54" s="188"/>
    </row>
    <row r="55" spans="1:25" s="4" customFormat="1" ht="15" x14ac:dyDescent="0.25">
      <c r="A55" s="5"/>
      <c r="B55" s="1012" t="s">
        <v>1156</v>
      </c>
      <c r="C55" s="5"/>
      <c r="D55" s="782" t="s">
        <v>1009</v>
      </c>
      <c r="E55" s="792" t="s">
        <v>1034</v>
      </c>
      <c r="F55" s="589" t="s">
        <v>763</v>
      </c>
      <c r="G55" s="589" t="s">
        <v>764</v>
      </c>
      <c r="H55" s="847">
        <v>100</v>
      </c>
      <c r="I55" s="590">
        <v>1</v>
      </c>
      <c r="J55" s="1018">
        <f t="shared" ref="J55:J60" si="9">I55*H55</f>
        <v>100</v>
      </c>
      <c r="K55" s="1035">
        <v>75</v>
      </c>
      <c r="L55" s="793">
        <v>1.85</v>
      </c>
      <c r="M55" s="591" t="s">
        <v>765</v>
      </c>
      <c r="N55" s="590">
        <f>L55*K55</f>
        <v>138.75</v>
      </c>
      <c r="O55" s="845">
        <f t="shared" ref="O55:O60" si="10">ROUNDUP(N55/J55,0)</f>
        <v>2</v>
      </c>
      <c r="P55" s="588">
        <f>'Inputs and eligible population'!F55</f>
        <v>3</v>
      </c>
      <c r="Q55" s="845">
        <f t="shared" ref="Q55:Q60" si="11">P55*O55</f>
        <v>6</v>
      </c>
      <c r="R55" s="842">
        <f>'Inputs and eligible population'!I64</f>
        <v>37.340000000000003</v>
      </c>
      <c r="S55" s="842">
        <f t="shared" ref="S55:S60" si="12">R55*Q55</f>
        <v>224.04000000000002</v>
      </c>
      <c r="T55" s="786"/>
      <c r="U55" s="593">
        <v>0.2</v>
      </c>
      <c r="V55" s="846"/>
      <c r="W55" s="5"/>
      <c r="X55" s="3"/>
      <c r="Y55" s="3"/>
    </row>
    <row r="56" spans="1:25" s="4" customFormat="1" ht="15.75" thickBot="1" x14ac:dyDescent="0.3">
      <c r="A56" s="5"/>
      <c r="B56" s="1012" t="s">
        <v>1157</v>
      </c>
      <c r="C56" s="5"/>
      <c r="D56" s="900" t="s">
        <v>1010</v>
      </c>
      <c r="E56" s="879" t="s">
        <v>1033</v>
      </c>
      <c r="F56" s="605" t="s">
        <v>763</v>
      </c>
      <c r="G56" s="605" t="s">
        <v>764</v>
      </c>
      <c r="H56" s="874">
        <v>1000</v>
      </c>
      <c r="I56" s="606">
        <v>1</v>
      </c>
      <c r="J56" s="1019">
        <f t="shared" si="9"/>
        <v>1000</v>
      </c>
      <c r="K56" s="1027">
        <v>500</v>
      </c>
      <c r="L56" s="868">
        <v>1.85</v>
      </c>
      <c r="M56" s="902" t="s">
        <v>765</v>
      </c>
      <c r="N56" s="606">
        <f t="shared" ref="N56:N60" si="13">L56*K56</f>
        <v>925</v>
      </c>
      <c r="O56" s="870">
        <f t="shared" si="10"/>
        <v>1</v>
      </c>
      <c r="P56" s="903">
        <f>'Inputs and eligible population'!F55</f>
        <v>3</v>
      </c>
      <c r="Q56" s="870">
        <f t="shared" si="11"/>
        <v>3</v>
      </c>
      <c r="R56" s="871">
        <f>'Inputs and eligible population'!I71</f>
        <v>215.12</v>
      </c>
      <c r="S56" s="871">
        <f t="shared" si="12"/>
        <v>645.36</v>
      </c>
      <c r="T56" s="875">
        <v>0.39600000000000002</v>
      </c>
      <c r="U56" s="872">
        <v>0.2</v>
      </c>
      <c r="V56" s="873">
        <f>(S55+S56)*(100%+U56)*T56</f>
        <v>413.13888000000003</v>
      </c>
      <c r="W56" s="5"/>
      <c r="X56" s="3"/>
      <c r="Y56" s="3"/>
    </row>
    <row r="57" spans="1:25" s="4" customFormat="1" ht="15" x14ac:dyDescent="0.25">
      <c r="A57" s="5"/>
      <c r="B57" s="1012"/>
      <c r="C57" s="5"/>
      <c r="D57" s="781" t="s">
        <v>1007</v>
      </c>
      <c r="E57" s="920" t="s">
        <v>1034</v>
      </c>
      <c r="F57" s="856" t="s">
        <v>763</v>
      </c>
      <c r="G57" s="856" t="s">
        <v>764</v>
      </c>
      <c r="H57" s="857">
        <v>100</v>
      </c>
      <c r="I57" s="858">
        <v>1</v>
      </c>
      <c r="J57" s="1020">
        <f t="shared" si="9"/>
        <v>100</v>
      </c>
      <c r="K57" s="1026">
        <v>75</v>
      </c>
      <c r="L57" s="859">
        <v>1.85</v>
      </c>
      <c r="M57" s="591" t="s">
        <v>765</v>
      </c>
      <c r="N57" s="858">
        <f t="shared" si="13"/>
        <v>138.75</v>
      </c>
      <c r="O57" s="861">
        <f t="shared" si="10"/>
        <v>2</v>
      </c>
      <c r="P57" s="889">
        <f>'Inputs and eligible population'!F55</f>
        <v>3</v>
      </c>
      <c r="Q57" s="861">
        <f t="shared" si="11"/>
        <v>6</v>
      </c>
      <c r="R57" s="862">
        <f>'Inputs and eligible population'!I64</f>
        <v>37.340000000000003</v>
      </c>
      <c r="S57" s="862">
        <f t="shared" si="12"/>
        <v>224.04000000000002</v>
      </c>
      <c r="T57" s="866"/>
      <c r="U57" s="891">
        <v>0.2</v>
      </c>
      <c r="V57" s="865"/>
      <c r="W57" s="5"/>
      <c r="X57" s="3"/>
      <c r="Y57" s="3"/>
    </row>
    <row r="58" spans="1:25" s="4" customFormat="1" ht="15.75" thickBot="1" x14ac:dyDescent="0.3">
      <c r="A58" s="5"/>
      <c r="B58" s="1009"/>
      <c r="C58" s="5"/>
      <c r="D58" s="900" t="s">
        <v>1008</v>
      </c>
      <c r="E58" s="879" t="s">
        <v>1037</v>
      </c>
      <c r="F58" s="605" t="s">
        <v>763</v>
      </c>
      <c r="G58" s="605" t="s">
        <v>764</v>
      </c>
      <c r="H58" s="874">
        <v>1000</v>
      </c>
      <c r="I58" s="606">
        <v>1</v>
      </c>
      <c r="J58" s="1019">
        <f t="shared" si="9"/>
        <v>1000</v>
      </c>
      <c r="K58" s="1027">
        <v>1250</v>
      </c>
      <c r="L58" s="868">
        <v>1.85</v>
      </c>
      <c r="M58" s="902" t="s">
        <v>765</v>
      </c>
      <c r="N58" s="606">
        <f>L58*K58*2</f>
        <v>4625</v>
      </c>
      <c r="O58" s="870">
        <f t="shared" si="10"/>
        <v>5</v>
      </c>
      <c r="P58" s="903">
        <f>'Inputs and eligible population'!F55</f>
        <v>3</v>
      </c>
      <c r="Q58" s="870">
        <f t="shared" si="11"/>
        <v>15</v>
      </c>
      <c r="R58" s="871">
        <f>'Inputs and eligible population'!I68</f>
        <v>17.75</v>
      </c>
      <c r="S58" s="871">
        <f t="shared" si="12"/>
        <v>266.25</v>
      </c>
      <c r="T58" s="875">
        <v>0.38600000000000001</v>
      </c>
      <c r="U58" s="872">
        <v>0.2</v>
      </c>
      <c r="V58" s="873">
        <f>(S57+S58)*(100%+U58)*T58</f>
        <v>227.102328</v>
      </c>
      <c r="W58" s="5"/>
      <c r="X58" s="3"/>
      <c r="Y58" s="3"/>
    </row>
    <row r="59" spans="1:25" s="4" customFormat="1" ht="15" x14ac:dyDescent="0.25">
      <c r="A59" s="5"/>
      <c r="B59" s="1009"/>
      <c r="C59" s="5"/>
      <c r="D59" s="781" t="s">
        <v>1012</v>
      </c>
      <c r="E59" s="920" t="s">
        <v>1032</v>
      </c>
      <c r="F59" s="856" t="s">
        <v>763</v>
      </c>
      <c r="G59" s="856" t="s">
        <v>764</v>
      </c>
      <c r="H59" s="857">
        <v>450</v>
      </c>
      <c r="I59" s="858">
        <v>1</v>
      </c>
      <c r="J59" s="1020">
        <f t="shared" si="9"/>
        <v>450</v>
      </c>
      <c r="K59" s="1026">
        <f>(5+6)/2</f>
        <v>5.5</v>
      </c>
      <c r="L59" s="859">
        <v>75</v>
      </c>
      <c r="M59" s="591" t="s">
        <v>765</v>
      </c>
      <c r="N59" s="858">
        <f>L59*K59</f>
        <v>412.5</v>
      </c>
      <c r="O59" s="861">
        <f t="shared" si="10"/>
        <v>1</v>
      </c>
      <c r="P59" s="889">
        <f>'Inputs and eligible population'!F55</f>
        <v>3</v>
      </c>
      <c r="Q59" s="861">
        <f t="shared" si="11"/>
        <v>3</v>
      </c>
      <c r="R59" s="862">
        <f>'Inputs and eligible population'!I62</f>
        <v>23.18</v>
      </c>
      <c r="S59" s="862">
        <f t="shared" si="12"/>
        <v>69.539999999999992</v>
      </c>
      <c r="T59" s="866"/>
      <c r="U59" s="891">
        <v>0.2</v>
      </c>
      <c r="V59" s="865"/>
      <c r="W59" s="5"/>
      <c r="X59" s="3"/>
      <c r="Y59" s="3"/>
    </row>
    <row r="60" spans="1:25" s="4" customFormat="1" ht="15" x14ac:dyDescent="0.25">
      <c r="A60" s="5"/>
      <c r="B60" s="1009"/>
      <c r="C60" s="5"/>
      <c r="D60" s="782" t="s">
        <v>1013</v>
      </c>
      <c r="E60" s="792" t="s">
        <v>1036</v>
      </c>
      <c r="F60" s="589" t="s">
        <v>763</v>
      </c>
      <c r="G60" s="589" t="s">
        <v>764</v>
      </c>
      <c r="H60" s="847">
        <v>100</v>
      </c>
      <c r="I60" s="590">
        <v>1</v>
      </c>
      <c r="J60" s="1018">
        <f t="shared" si="9"/>
        <v>100</v>
      </c>
      <c r="K60" s="1035">
        <v>200</v>
      </c>
      <c r="L60" s="793">
        <v>1.85</v>
      </c>
      <c r="M60" s="591" t="s">
        <v>765</v>
      </c>
      <c r="N60" s="590">
        <f t="shared" si="13"/>
        <v>370</v>
      </c>
      <c r="O60" s="845">
        <f t="shared" si="10"/>
        <v>4</v>
      </c>
      <c r="P60" s="588">
        <f>'Inputs and eligible population'!F55</f>
        <v>3</v>
      </c>
      <c r="Q60" s="845">
        <f t="shared" si="11"/>
        <v>12</v>
      </c>
      <c r="R60" s="842">
        <f>'Inputs and eligible population'!I69</f>
        <v>12.89</v>
      </c>
      <c r="S60" s="842">
        <f t="shared" si="12"/>
        <v>154.68</v>
      </c>
      <c r="T60" s="849">
        <v>0.218</v>
      </c>
      <c r="U60" s="593">
        <v>0.2</v>
      </c>
      <c r="V60" s="596">
        <f>(S59+S60)*(100%+U60)*T60</f>
        <v>58.655951999999992</v>
      </c>
      <c r="W60" s="5"/>
      <c r="X60" s="3"/>
      <c r="Y60" s="3"/>
    </row>
    <row r="61" spans="1:25" s="4" customFormat="1" ht="15" x14ac:dyDescent="0.25">
      <c r="A61" s="5"/>
      <c r="B61" s="1009"/>
      <c r="C61" s="5"/>
      <c r="D61" s="839"/>
      <c r="E61" s="788" t="s">
        <v>766</v>
      </c>
      <c r="F61" s="604"/>
      <c r="G61" s="604"/>
      <c r="H61" s="604"/>
      <c r="I61" s="604"/>
      <c r="J61" s="604"/>
      <c r="K61" s="604"/>
      <c r="L61" s="604"/>
      <c r="M61" s="604"/>
      <c r="N61" s="604"/>
      <c r="O61" s="604"/>
      <c r="P61" s="604"/>
      <c r="Q61" s="604"/>
      <c r="R61" s="604"/>
      <c r="S61" s="604"/>
      <c r="T61" s="604"/>
      <c r="U61" s="608"/>
      <c r="V61" s="789">
        <f>V53+V56+V58+V60</f>
        <v>698.89715999999999</v>
      </c>
      <c r="W61" s="5"/>
      <c r="X61" s="3"/>
      <c r="Y61" s="3"/>
    </row>
    <row r="62" spans="1:25" s="4" customFormat="1" ht="15" x14ac:dyDescent="0.25">
      <c r="A62" s="5"/>
      <c r="B62" s="1009"/>
      <c r="C62" s="5"/>
      <c r="D62" s="241"/>
      <c r="E62" s="241"/>
      <c r="F62" s="241"/>
      <c r="G62" s="241"/>
      <c r="H62" s="241"/>
      <c r="I62" s="241"/>
      <c r="J62" s="241"/>
      <c r="K62" s="241"/>
      <c r="L62" s="241"/>
      <c r="M62" s="241"/>
      <c r="N62" s="241"/>
      <c r="O62" s="241"/>
      <c r="P62" s="241"/>
      <c r="Q62" s="241"/>
      <c r="R62" s="241"/>
      <c r="S62" s="241"/>
      <c r="T62" s="241"/>
      <c r="U62" s="241"/>
      <c r="V62" s="607"/>
      <c r="W62" s="5"/>
      <c r="X62" s="3"/>
      <c r="Y62" s="3"/>
    </row>
    <row r="63" spans="1:25" s="4" customFormat="1" ht="15" x14ac:dyDescent="0.25">
      <c r="A63" s="5"/>
      <c r="B63" s="1011"/>
      <c r="C63" s="5"/>
      <c r="D63" s="241" t="s">
        <v>1163</v>
      </c>
      <c r="E63" s="241"/>
      <c r="F63" s="241"/>
      <c r="G63" s="241"/>
      <c r="H63" s="241"/>
      <c r="I63" s="241"/>
      <c r="J63" s="241"/>
      <c r="K63" s="241"/>
      <c r="L63" s="241"/>
      <c r="M63" s="241"/>
      <c r="N63" s="241"/>
      <c r="O63" s="241"/>
      <c r="P63" s="241"/>
      <c r="Q63" s="241"/>
      <c r="R63" s="241"/>
      <c r="S63" s="241"/>
      <c r="T63" s="241"/>
      <c r="U63" s="241"/>
      <c r="V63" s="607"/>
      <c r="W63" s="5"/>
      <c r="X63" s="3"/>
      <c r="Y63" s="3"/>
    </row>
    <row r="64" spans="1:25" s="4" customFormat="1" ht="15" x14ac:dyDescent="0.25">
      <c r="A64" s="5"/>
      <c r="B64" s="5"/>
      <c r="C64" s="5"/>
      <c r="D64" t="s">
        <v>1014</v>
      </c>
      <c r="E64" s="5"/>
      <c r="F64" s="173"/>
      <c r="G64" s="110"/>
      <c r="H64" s="174"/>
      <c r="I64" s="175"/>
      <c r="J64" s="5"/>
      <c r="K64" s="5"/>
      <c r="L64" s="176"/>
      <c r="M64" s="175"/>
      <c r="N64" s="175"/>
      <c r="O64" s="175"/>
      <c r="P64" s="175"/>
      <c r="Q64" s="175"/>
      <c r="R64" s="175"/>
      <c r="S64" s="175"/>
      <c r="T64" s="175"/>
      <c r="U64" s="176"/>
      <c r="V64" s="5"/>
      <c r="W64" s="5"/>
      <c r="X64" s="3"/>
      <c r="Y64" s="3"/>
    </row>
    <row r="65" spans="1:25" s="4" customFormat="1" ht="15" x14ac:dyDescent="0.25">
      <c r="A65" s="5"/>
      <c r="B65" s="5"/>
      <c r="C65" s="5"/>
      <c r="D65" s="241" t="s">
        <v>1099</v>
      </c>
      <c r="E65" s="5"/>
      <c r="F65" s="173"/>
      <c r="G65" s="110"/>
      <c r="H65" s="174"/>
      <c r="I65" s="175"/>
      <c r="J65" s="5"/>
      <c r="K65" s="5"/>
      <c r="L65" s="176"/>
      <c r="M65" s="175"/>
      <c r="N65" s="175"/>
      <c r="O65" s="175"/>
      <c r="P65" s="175"/>
      <c r="Q65" s="175"/>
      <c r="R65" s="175"/>
      <c r="S65" s="175"/>
      <c r="T65" s="175"/>
      <c r="U65" s="176"/>
      <c r="V65" s="5"/>
      <c r="W65" s="5"/>
      <c r="X65" s="3"/>
      <c r="Y65" s="3"/>
    </row>
    <row r="66" spans="1:25" s="4" customFormat="1" ht="14.25" x14ac:dyDescent="0.2">
      <c r="A66" s="5"/>
      <c r="B66" s="5"/>
      <c r="C66" s="5"/>
      <c r="D66" s="5"/>
      <c r="E66" s="5"/>
      <c r="F66" s="173"/>
      <c r="G66" s="110"/>
      <c r="H66" s="174"/>
      <c r="I66" s="175"/>
      <c r="J66" s="5"/>
      <c r="K66" s="5"/>
      <c r="L66" s="176"/>
      <c r="M66" s="175"/>
      <c r="N66" s="175"/>
      <c r="O66" s="175"/>
      <c r="P66" s="175"/>
      <c r="Q66" s="175"/>
      <c r="R66" s="175"/>
      <c r="S66" s="175"/>
      <c r="T66" s="175"/>
      <c r="U66" s="176"/>
      <c r="V66" s="5"/>
      <c r="W66" s="5"/>
      <c r="X66" s="3"/>
      <c r="Y66" s="3"/>
    </row>
    <row r="67" spans="1:25" s="4" customFormat="1" ht="15" x14ac:dyDescent="0.25">
      <c r="A67" s="5"/>
      <c r="B67" s="5"/>
      <c r="C67" s="5"/>
      <c r="D67" s="405"/>
      <c r="E67" s="5"/>
      <c r="F67" s="173"/>
      <c r="G67" s="110"/>
      <c r="H67" s="174"/>
      <c r="I67" s="175"/>
      <c r="J67" s="5"/>
      <c r="K67" s="5"/>
      <c r="L67" s="176"/>
      <c r="M67" s="175"/>
      <c r="N67" s="175"/>
      <c r="O67" s="175"/>
      <c r="P67" s="175"/>
      <c r="Q67" s="175"/>
      <c r="R67" s="175"/>
      <c r="S67" s="175"/>
      <c r="T67" s="175"/>
      <c r="U67" s="176"/>
      <c r="V67" s="5"/>
      <c r="W67" s="5"/>
      <c r="X67" s="3"/>
      <c r="Y67" s="3"/>
    </row>
    <row r="68" spans="1:25" s="4" customFormat="1" ht="15" x14ac:dyDescent="0.25">
      <c r="A68" s="5"/>
      <c r="B68" s="5"/>
      <c r="C68" s="5"/>
      <c r="D68" s="237" t="s">
        <v>767</v>
      </c>
      <c r="E68" s="241"/>
      <c r="F68" s="173"/>
      <c r="G68" s="110"/>
      <c r="H68" s="174"/>
      <c r="I68" s="175"/>
      <c r="J68" s="5"/>
      <c r="K68" s="5"/>
      <c r="L68" s="176"/>
      <c r="M68" s="175"/>
      <c r="N68" s="175"/>
      <c r="O68" s="175"/>
      <c r="P68" s="175"/>
      <c r="Q68" s="175"/>
      <c r="R68" s="175"/>
      <c r="S68" s="175"/>
      <c r="T68" s="175"/>
      <c r="U68" s="176"/>
      <c r="V68" s="5"/>
      <c r="W68" s="5"/>
      <c r="X68" s="3"/>
      <c r="Y68" s="3"/>
    </row>
    <row r="69" spans="1:25" s="4" customFormat="1" ht="15" x14ac:dyDescent="0.25">
      <c r="A69" s="5"/>
      <c r="B69" s="5"/>
      <c r="C69" s="5"/>
      <c r="D69" s="237"/>
      <c r="E69" s="241"/>
      <c r="F69" s="173"/>
      <c r="G69" s="110"/>
      <c r="H69" s="174"/>
      <c r="I69" s="175"/>
      <c r="J69" s="5"/>
      <c r="K69" s="5"/>
      <c r="L69" s="176"/>
      <c r="M69" s="175"/>
      <c r="N69" s="175"/>
      <c r="O69" s="175"/>
      <c r="P69" s="175"/>
      <c r="Q69" s="175"/>
      <c r="R69" s="175"/>
      <c r="S69" s="175"/>
      <c r="T69" s="175"/>
      <c r="U69" s="176"/>
      <c r="V69" s="5"/>
      <c r="W69" s="5"/>
      <c r="X69" s="3"/>
      <c r="Y69" s="3"/>
    </row>
    <row r="70" spans="1:25" s="996" customFormat="1" ht="30" customHeight="1" x14ac:dyDescent="0.25">
      <c r="A70" s="991"/>
      <c r="B70" s="1008"/>
      <c r="C70" s="991"/>
      <c r="D70" s="243" t="s">
        <v>768</v>
      </c>
      <c r="E70" s="243" t="s">
        <v>1103</v>
      </c>
      <c r="F70" s="992" t="s">
        <v>769</v>
      </c>
      <c r="G70" s="244" t="s">
        <v>770</v>
      </c>
      <c r="H70" s="993"/>
      <c r="I70" s="993"/>
      <c r="J70" s="993"/>
      <c r="K70" s="993"/>
      <c r="L70" s="994"/>
      <c r="M70" s="993"/>
      <c r="N70" s="992" t="s">
        <v>1100</v>
      </c>
      <c r="O70" s="243" t="s">
        <v>771</v>
      </c>
      <c r="P70" s="243" t="s">
        <v>1112</v>
      </c>
      <c r="Q70" s="243" t="s">
        <v>1015</v>
      </c>
      <c r="R70" s="243" t="s">
        <v>1101</v>
      </c>
      <c r="S70" s="995"/>
      <c r="T70" s="175"/>
      <c r="U70" s="176"/>
      <c r="V70" s="5"/>
      <c r="W70" s="991"/>
      <c r="X70" s="3"/>
      <c r="Y70" s="997"/>
    </row>
    <row r="71" spans="1:25" s="4" customFormat="1" ht="14.45" customHeight="1" x14ac:dyDescent="0.25">
      <c r="A71" s="5"/>
      <c r="B71" s="1009"/>
      <c r="C71" s="5"/>
      <c r="D71" s="971" t="s">
        <v>1104</v>
      </c>
      <c r="E71" s="972" t="s">
        <v>1102</v>
      </c>
      <c r="F71" s="973" t="s">
        <v>1016</v>
      </c>
      <c r="G71" s="973" t="s">
        <v>1017</v>
      </c>
      <c r="H71" s="922"/>
      <c r="I71" s="922"/>
      <c r="J71" s="922"/>
      <c r="K71" s="974"/>
      <c r="L71" s="922"/>
      <c r="M71" s="974"/>
      <c r="N71" s="975">
        <f>'Inputs and eligible population'!F50</f>
        <v>4</v>
      </c>
      <c r="O71" s="976">
        <v>345</v>
      </c>
      <c r="P71" s="926">
        <f t="shared" ref="P71:P78" si="14">N71*O71</f>
        <v>1380</v>
      </c>
      <c r="Q71" s="805">
        <f>T14</f>
        <v>0.39400000000000002</v>
      </c>
      <c r="R71" s="810">
        <f>Q71*P71</f>
        <v>543.72</v>
      </c>
      <c r="S71" s="175"/>
      <c r="T71" s="175"/>
      <c r="U71" s="176"/>
      <c r="V71" s="5"/>
      <c r="W71" s="5"/>
      <c r="X71" s="3"/>
      <c r="Y71" s="3"/>
    </row>
    <row r="72" spans="1:25" s="4" customFormat="1" ht="14.45" customHeight="1" x14ac:dyDescent="0.25">
      <c r="A72" s="5"/>
      <c r="B72" s="1009"/>
      <c r="C72" s="5"/>
      <c r="D72" s="971" t="s">
        <v>1105</v>
      </c>
      <c r="E72" s="972" t="s">
        <v>1102</v>
      </c>
      <c r="F72" s="973" t="s">
        <v>1016</v>
      </c>
      <c r="G72" s="973" t="s">
        <v>1017</v>
      </c>
      <c r="H72" s="922"/>
      <c r="I72" s="922"/>
      <c r="J72" s="922"/>
      <c r="K72" s="974"/>
      <c r="L72" s="922"/>
      <c r="M72" s="974"/>
      <c r="N72" s="975">
        <f>'Inputs and eligible population'!F50</f>
        <v>4</v>
      </c>
      <c r="O72" s="976">
        <v>345</v>
      </c>
      <c r="P72" s="926">
        <f t="shared" si="14"/>
        <v>1380</v>
      </c>
      <c r="Q72" s="805">
        <f>T16</f>
        <v>0.157</v>
      </c>
      <c r="R72" s="810">
        <f>Q72*P72</f>
        <v>216.66</v>
      </c>
      <c r="S72" s="175"/>
      <c r="T72" s="175"/>
      <c r="U72" s="176"/>
      <c r="V72" s="5"/>
      <c r="W72" s="5"/>
      <c r="X72" s="3"/>
      <c r="Y72" s="3"/>
    </row>
    <row r="73" spans="1:25" s="4" customFormat="1" ht="14.45" customHeight="1" x14ac:dyDescent="0.25">
      <c r="A73" s="5"/>
      <c r="B73" s="1009"/>
      <c r="C73" s="5"/>
      <c r="D73" s="971" t="s">
        <v>1106</v>
      </c>
      <c r="E73" s="972" t="s">
        <v>1102</v>
      </c>
      <c r="F73" s="973" t="s">
        <v>1016</v>
      </c>
      <c r="G73" s="973" t="s">
        <v>1017</v>
      </c>
      <c r="H73" s="922"/>
      <c r="I73" s="922"/>
      <c r="J73" s="922"/>
      <c r="K73" s="974"/>
      <c r="L73" s="922"/>
      <c r="M73" s="974"/>
      <c r="N73" s="975">
        <f>'Inputs and eligible population'!F50</f>
        <v>4</v>
      </c>
      <c r="O73" s="976">
        <v>345</v>
      </c>
      <c r="P73" s="926">
        <f t="shared" si="14"/>
        <v>1380</v>
      </c>
      <c r="Q73" s="805">
        <f>T18</f>
        <v>0.307</v>
      </c>
      <c r="R73" s="810">
        <f>Q73*P73</f>
        <v>423.65999999999997</v>
      </c>
      <c r="S73" s="175"/>
      <c r="T73" s="175"/>
      <c r="U73" s="176"/>
      <c r="V73" s="5"/>
      <c r="W73" s="5"/>
      <c r="X73" s="3"/>
      <c r="Y73" s="3"/>
    </row>
    <row r="74" spans="1:25" s="4" customFormat="1" ht="14.45" customHeight="1" x14ac:dyDescent="0.25">
      <c r="A74" s="5"/>
      <c r="B74" s="1009"/>
      <c r="C74" s="5"/>
      <c r="D74" s="971" t="s">
        <v>1109</v>
      </c>
      <c r="E74" s="972" t="s">
        <v>1102</v>
      </c>
      <c r="F74" s="973" t="s">
        <v>1016</v>
      </c>
      <c r="G74" s="973" t="s">
        <v>1017</v>
      </c>
      <c r="H74" s="922"/>
      <c r="I74" s="922"/>
      <c r="J74" s="922"/>
      <c r="K74" s="974"/>
      <c r="L74" s="922"/>
      <c r="M74" s="974"/>
      <c r="N74" s="975">
        <f>'Inputs and eligible population'!F50</f>
        <v>4</v>
      </c>
      <c r="O74" s="976">
        <v>345</v>
      </c>
      <c r="P74" s="926">
        <f t="shared" si="14"/>
        <v>1380</v>
      </c>
      <c r="Q74" s="941"/>
      <c r="R74" s="942"/>
      <c r="S74" s="175"/>
      <c r="T74" s="175"/>
      <c r="U74" s="176"/>
      <c r="V74" s="5"/>
      <c r="W74" s="5"/>
      <c r="X74" s="3"/>
      <c r="Y74" s="3"/>
    </row>
    <row r="75" spans="1:25" s="4" customFormat="1" ht="14.45" customHeight="1" x14ac:dyDescent="0.25">
      <c r="A75" s="5"/>
      <c r="B75" s="1012" t="s">
        <v>1158</v>
      </c>
      <c r="C75" s="5"/>
      <c r="D75" s="971" t="s">
        <v>1109</v>
      </c>
      <c r="E75" s="972" t="s">
        <v>1102</v>
      </c>
      <c r="F75" s="973" t="s">
        <v>1018</v>
      </c>
      <c r="G75" s="973" t="s">
        <v>1019</v>
      </c>
      <c r="H75" s="922"/>
      <c r="I75" s="922"/>
      <c r="J75" s="922"/>
      <c r="K75" s="974"/>
      <c r="L75" s="922"/>
      <c r="M75" s="974"/>
      <c r="N75" s="975">
        <f>'Inputs and eligible population'!F50</f>
        <v>4</v>
      </c>
      <c r="O75" s="976">
        <v>345</v>
      </c>
      <c r="P75" s="926">
        <f t="shared" si="14"/>
        <v>1380</v>
      </c>
      <c r="Q75" s="805">
        <f>T20</f>
        <v>0.115</v>
      </c>
      <c r="R75" s="810">
        <f>Q75*(P75+P74)</f>
        <v>317.40000000000003</v>
      </c>
      <c r="S75" s="175"/>
      <c r="T75" s="175"/>
      <c r="U75" s="176"/>
      <c r="V75" s="5"/>
      <c r="W75" s="5"/>
      <c r="X75" s="3"/>
      <c r="Y75" s="3"/>
    </row>
    <row r="76" spans="1:25" s="4" customFormat="1" ht="14.45" customHeight="1" x14ac:dyDescent="0.25">
      <c r="A76" s="5"/>
      <c r="B76" s="1012" t="s">
        <v>1159</v>
      </c>
      <c r="C76" s="5"/>
      <c r="D76" s="971" t="s">
        <v>1110</v>
      </c>
      <c r="E76" s="972" t="s">
        <v>1102</v>
      </c>
      <c r="F76" s="973" t="s">
        <v>1016</v>
      </c>
      <c r="G76" s="973" t="s">
        <v>1017</v>
      </c>
      <c r="H76" s="922"/>
      <c r="I76" s="922"/>
      <c r="J76" s="922"/>
      <c r="K76" s="974"/>
      <c r="L76" s="922"/>
      <c r="M76" s="974"/>
      <c r="N76" s="975">
        <f>'Inputs and eligible population'!F50</f>
        <v>4</v>
      </c>
      <c r="O76" s="976">
        <v>345</v>
      </c>
      <c r="P76" s="926">
        <f t="shared" si="14"/>
        <v>1380</v>
      </c>
      <c r="Q76" s="805">
        <f>T22</f>
        <v>0</v>
      </c>
      <c r="R76" s="810">
        <f>Q76*P76</f>
        <v>0</v>
      </c>
      <c r="S76" s="175"/>
      <c r="T76" s="175"/>
      <c r="U76" s="176"/>
      <c r="V76" s="5"/>
      <c r="W76" s="5"/>
      <c r="X76" s="3"/>
      <c r="Y76" s="3"/>
    </row>
    <row r="77" spans="1:25" s="4" customFormat="1" ht="14.45" customHeight="1" x14ac:dyDescent="0.25">
      <c r="A77" s="5"/>
      <c r="B77" s="1009"/>
      <c r="C77" s="5"/>
      <c r="D77" s="971" t="s">
        <v>1111</v>
      </c>
      <c r="E77" s="972" t="s">
        <v>1102</v>
      </c>
      <c r="F77" s="973" t="s">
        <v>1016</v>
      </c>
      <c r="G77" s="973" t="s">
        <v>1017</v>
      </c>
      <c r="H77" s="922"/>
      <c r="I77" s="922"/>
      <c r="J77" s="922"/>
      <c r="K77" s="974"/>
      <c r="L77" s="922"/>
      <c r="M77" s="974"/>
      <c r="N77" s="975">
        <f>'Inputs and eligible population'!F50</f>
        <v>4</v>
      </c>
      <c r="O77" s="976">
        <v>345</v>
      </c>
      <c r="P77" s="926">
        <f t="shared" si="14"/>
        <v>1380</v>
      </c>
      <c r="Q77" s="941"/>
      <c r="R77" s="942"/>
      <c r="S77" s="175"/>
      <c r="T77" s="175"/>
      <c r="U77" s="176"/>
      <c r="V77" s="5"/>
      <c r="W77" s="5"/>
      <c r="X77" s="3"/>
      <c r="Y77" s="3"/>
    </row>
    <row r="78" spans="1:25" s="4" customFormat="1" ht="14.45" customHeight="1" x14ac:dyDescent="0.25">
      <c r="A78" s="5"/>
      <c r="B78" s="1009"/>
      <c r="C78" s="5"/>
      <c r="D78" s="971" t="s">
        <v>1111</v>
      </c>
      <c r="E78" s="972" t="s">
        <v>1102</v>
      </c>
      <c r="F78" s="973" t="s">
        <v>1018</v>
      </c>
      <c r="G78" s="977" t="s">
        <v>1019</v>
      </c>
      <c r="H78" s="192"/>
      <c r="I78" s="192"/>
      <c r="J78" s="192"/>
      <c r="K78" s="192"/>
      <c r="L78" s="192"/>
      <c r="M78" s="192"/>
      <c r="N78" s="975">
        <f>'Inputs and eligible population'!F50</f>
        <v>4</v>
      </c>
      <c r="O78" s="976">
        <v>345</v>
      </c>
      <c r="P78" s="926">
        <f t="shared" si="14"/>
        <v>1380</v>
      </c>
      <c r="Q78" s="805">
        <f>T24</f>
        <v>2.7E-2</v>
      </c>
      <c r="R78" s="810">
        <f>Q78*(P78+P77)</f>
        <v>74.52</v>
      </c>
      <c r="S78" s="175"/>
      <c r="T78" s="175"/>
      <c r="U78" s="176"/>
      <c r="V78" s="5"/>
      <c r="W78" s="5"/>
      <c r="X78" s="3"/>
      <c r="Y78" s="3"/>
    </row>
    <row r="79" spans="1:25" s="4" customFormat="1" ht="14.45" customHeight="1" x14ac:dyDescent="0.25">
      <c r="A79" s="5"/>
      <c r="B79" s="1009"/>
      <c r="C79" s="5"/>
      <c r="D79" s="978"/>
      <c r="E79" s="979"/>
      <c r="F79" s="978"/>
      <c r="G79" s="978"/>
      <c r="H79" s="940"/>
      <c r="I79" s="940"/>
      <c r="J79" s="940"/>
      <c r="K79" s="980"/>
      <c r="L79" s="940"/>
      <c r="M79" s="980"/>
      <c r="N79" s="981"/>
      <c r="O79" s="978"/>
      <c r="P79" s="933"/>
      <c r="Q79" s="806"/>
      <c r="R79" s="811">
        <f>SUM(R71:R73,R75:R76,R78)</f>
        <v>1575.96</v>
      </c>
      <c r="S79" s="175"/>
      <c r="T79" s="175"/>
      <c r="U79" s="176"/>
      <c r="V79" s="5"/>
      <c r="W79" s="5"/>
      <c r="X79" s="3"/>
      <c r="Y79" s="3"/>
    </row>
    <row r="80" spans="1:25" s="4" customFormat="1" ht="14.45" customHeight="1" x14ac:dyDescent="0.25">
      <c r="A80" s="5"/>
      <c r="B80" s="1009"/>
      <c r="C80" s="5"/>
      <c r="D80" s="406"/>
      <c r="E80" s="83"/>
      <c r="F80" s="973" t="s">
        <v>1016</v>
      </c>
      <c r="G80" s="973" t="s">
        <v>1017</v>
      </c>
      <c r="H80" s="922"/>
      <c r="I80" s="922"/>
      <c r="J80" s="922"/>
      <c r="K80" s="974"/>
      <c r="L80" s="922"/>
      <c r="M80" s="982"/>
      <c r="N80" s="983">
        <f>(N71*Q71)+(N72*Q72)+(N73*Q73)+(N74*Q75)+(N76*Q76)+(N77*Q78)</f>
        <v>4</v>
      </c>
      <c r="O80" s="962" t="s">
        <v>1133</v>
      </c>
      <c r="P80" s="939"/>
      <c r="Q80" s="931"/>
      <c r="R80" s="932"/>
      <c r="S80" s="175"/>
      <c r="T80" s="175"/>
      <c r="U80" s="176"/>
      <c r="V80" s="5"/>
      <c r="W80" s="5"/>
      <c r="X80" s="3"/>
      <c r="Y80" s="3"/>
    </row>
    <row r="81" spans="1:25" s="4" customFormat="1" ht="14.45" customHeight="1" x14ac:dyDescent="0.25">
      <c r="A81" s="5"/>
      <c r="B81" s="1009"/>
      <c r="C81" s="5"/>
      <c r="D81" s="406"/>
      <c r="E81" s="83"/>
      <c r="F81" s="973" t="s">
        <v>1018</v>
      </c>
      <c r="G81" s="973" t="s">
        <v>1019</v>
      </c>
      <c r="H81" s="922"/>
      <c r="I81" s="922"/>
      <c r="J81" s="922"/>
      <c r="K81" s="974"/>
      <c r="L81" s="922"/>
      <c r="M81" s="982"/>
      <c r="N81" s="983">
        <f>(N75*Q76)+(N78*Q78)</f>
        <v>0.108</v>
      </c>
      <c r="O81" s="962" t="s">
        <v>1133</v>
      </c>
      <c r="P81" s="939"/>
      <c r="Q81" s="931"/>
      <c r="R81" s="932"/>
      <c r="S81" s="175"/>
      <c r="T81" s="175"/>
      <c r="U81" s="176"/>
      <c r="V81" s="5"/>
      <c r="W81" s="5"/>
      <c r="X81" s="3"/>
      <c r="Y81" s="3"/>
    </row>
    <row r="82" spans="1:25" s="4" customFormat="1" ht="14.45" customHeight="1" x14ac:dyDescent="0.25">
      <c r="A82" s="5"/>
      <c r="B82" s="1009"/>
      <c r="C82" s="5"/>
      <c r="D82" s="937"/>
      <c r="E82" s="83"/>
      <c r="F82" s="937"/>
      <c r="G82" s="937"/>
      <c r="H82" s="938"/>
      <c r="I82" s="938"/>
      <c r="J82" s="938"/>
      <c r="K82" s="965"/>
      <c r="L82" s="938"/>
      <c r="M82" s="965"/>
      <c r="N82" s="998"/>
      <c r="O82" s="937"/>
      <c r="P82" s="939"/>
      <c r="Q82" s="931"/>
      <c r="R82" s="932"/>
      <c r="S82" s="175"/>
      <c r="T82" s="175"/>
      <c r="U82" s="176"/>
      <c r="V82" s="5"/>
      <c r="W82" s="5"/>
      <c r="X82" s="3"/>
      <c r="Y82" s="3"/>
    </row>
    <row r="83" spans="1:25" s="4" customFormat="1" ht="14.45" customHeight="1" x14ac:dyDescent="0.25">
      <c r="A83" s="5"/>
      <c r="B83" s="1011"/>
      <c r="C83" s="5"/>
      <c r="D83" s="971" t="s">
        <v>962</v>
      </c>
      <c r="E83" s="972" t="s">
        <v>1046</v>
      </c>
      <c r="F83" s="973" t="s">
        <v>1021</v>
      </c>
      <c r="G83" s="977" t="s">
        <v>1022</v>
      </c>
      <c r="H83" s="192"/>
      <c r="I83" s="192"/>
      <c r="J83" s="192"/>
      <c r="K83" s="192"/>
      <c r="L83" s="192"/>
      <c r="M83" s="192"/>
      <c r="N83" s="975">
        <f>'Inputs and eligible population'!F51</f>
        <v>12</v>
      </c>
      <c r="O83" s="984">
        <v>172</v>
      </c>
      <c r="P83" s="935"/>
      <c r="Q83" s="936"/>
      <c r="R83" s="809">
        <f>O83*N83</f>
        <v>2064</v>
      </c>
      <c r="S83" s="175"/>
      <c r="T83" s="175"/>
      <c r="U83" s="176"/>
      <c r="V83" s="5"/>
      <c r="W83" s="5"/>
      <c r="X83" s="3"/>
      <c r="Y83" s="3"/>
    </row>
    <row r="84" spans="1:25" s="4" customFormat="1" ht="14.45" customHeight="1" x14ac:dyDescent="0.25">
      <c r="A84" s="5"/>
      <c r="B84" s="5"/>
      <c r="C84" s="5"/>
      <c r="D84" s="966"/>
      <c r="E84" s="961"/>
      <c r="F84" s="966"/>
      <c r="G84" s="967"/>
      <c r="H84" s="760"/>
      <c r="I84" s="760"/>
      <c r="J84" s="760"/>
      <c r="K84" s="760"/>
      <c r="L84" s="760"/>
      <c r="M84" s="760"/>
      <c r="N84" s="968"/>
      <c r="O84" s="969"/>
      <c r="P84" s="5"/>
      <c r="Q84" s="931"/>
      <c r="R84" s="970"/>
      <c r="S84" s="175"/>
      <c r="T84" s="175"/>
      <c r="U84" s="175"/>
      <c r="V84" s="5"/>
      <c r="W84" s="5"/>
      <c r="X84" s="3"/>
      <c r="Y84" s="3"/>
    </row>
    <row r="85" spans="1:25" s="4" customFormat="1" ht="14.45" customHeight="1" x14ac:dyDescent="0.25">
      <c r="A85" s="5"/>
      <c r="B85" s="5"/>
      <c r="C85" s="5"/>
      <c r="D85" s="937"/>
      <c r="E85" s="83"/>
      <c r="F85" s="937"/>
      <c r="G85" s="937"/>
      <c r="H85" s="938"/>
      <c r="I85" s="938"/>
      <c r="J85" s="938"/>
      <c r="K85" s="965"/>
      <c r="L85" s="938"/>
      <c r="M85" s="965"/>
      <c r="N85" s="985"/>
      <c r="O85" s="937"/>
      <c r="P85" s="934"/>
      <c r="Q85" s="807"/>
      <c r="R85" s="808"/>
      <c r="S85" s="175"/>
      <c r="T85" s="175"/>
      <c r="U85" s="175"/>
      <c r="V85" s="5"/>
      <c r="W85" s="5"/>
      <c r="X85" s="3"/>
      <c r="Y85" s="3"/>
    </row>
    <row r="86" spans="1:25" s="4" customFormat="1" ht="14.45" customHeight="1" x14ac:dyDescent="0.25">
      <c r="A86" s="5"/>
      <c r="B86" s="1013"/>
      <c r="C86" s="5"/>
      <c r="D86" s="986" t="s">
        <v>1117</v>
      </c>
      <c r="E86" s="972" t="s">
        <v>1116</v>
      </c>
      <c r="F86" s="973" t="s">
        <v>1016</v>
      </c>
      <c r="G86" s="977" t="s">
        <v>1017</v>
      </c>
      <c r="H86" s="192"/>
      <c r="I86" s="192"/>
      <c r="J86" s="192"/>
      <c r="K86" s="192"/>
      <c r="L86" s="192"/>
      <c r="M86" s="192"/>
      <c r="N86" s="987">
        <f>'Inputs and eligible population'!F52</f>
        <v>3.6</v>
      </c>
      <c r="O86" s="984">
        <v>345</v>
      </c>
      <c r="P86" s="927">
        <f>N86*O86</f>
        <v>1242</v>
      </c>
      <c r="Q86" s="941"/>
      <c r="R86" s="942"/>
      <c r="S86" s="175"/>
      <c r="T86" s="175"/>
      <c r="U86" s="175"/>
      <c r="V86" s="5"/>
      <c r="W86" s="5"/>
      <c r="X86" s="3"/>
      <c r="Y86" s="3"/>
    </row>
    <row r="87" spans="1:25" s="4" customFormat="1" ht="14.45" customHeight="1" x14ac:dyDescent="0.25">
      <c r="A87" s="5"/>
      <c r="B87" s="1009"/>
      <c r="C87" s="5"/>
      <c r="D87" s="986" t="s">
        <v>1117</v>
      </c>
      <c r="E87" s="972" t="s">
        <v>1116</v>
      </c>
      <c r="F87" s="973" t="s">
        <v>1018</v>
      </c>
      <c r="G87" s="977" t="s">
        <v>1019</v>
      </c>
      <c r="H87" s="192"/>
      <c r="I87" s="192"/>
      <c r="J87" s="192"/>
      <c r="K87" s="192"/>
      <c r="L87" s="192"/>
      <c r="M87" s="192"/>
      <c r="N87" s="987">
        <f>'Inputs and eligible population'!F52</f>
        <v>3.6</v>
      </c>
      <c r="O87" s="984">
        <v>345</v>
      </c>
      <c r="P87" s="927">
        <f>N87*O87</f>
        <v>1242</v>
      </c>
      <c r="Q87" s="794">
        <f>T38</f>
        <v>0.439</v>
      </c>
      <c r="R87" s="810">
        <f>Q87*(P87+P86)</f>
        <v>1090.4760000000001</v>
      </c>
      <c r="S87" s="175"/>
      <c r="T87" s="175"/>
      <c r="U87" s="175"/>
      <c r="V87" s="5"/>
      <c r="W87" s="5"/>
      <c r="X87" s="3"/>
      <c r="Y87" s="3"/>
    </row>
    <row r="88" spans="1:25" s="4" customFormat="1" ht="15" x14ac:dyDescent="0.25">
      <c r="A88" s="5"/>
      <c r="B88" s="1009"/>
      <c r="C88" s="5"/>
      <c r="D88" s="986" t="s">
        <v>1118</v>
      </c>
      <c r="E88" s="972" t="s">
        <v>1116</v>
      </c>
      <c r="F88" s="973" t="s">
        <v>1016</v>
      </c>
      <c r="G88" s="977" t="s">
        <v>1017</v>
      </c>
      <c r="H88" s="192"/>
      <c r="I88" s="192"/>
      <c r="J88" s="192"/>
      <c r="K88" s="192"/>
      <c r="L88" s="192"/>
      <c r="M88" s="192"/>
      <c r="N88" s="987">
        <f>'Inputs and eligible population'!F52</f>
        <v>3.6</v>
      </c>
      <c r="O88" s="984">
        <v>345</v>
      </c>
      <c r="P88" s="927">
        <f>N88*O88</f>
        <v>1242</v>
      </c>
      <c r="Q88" s="794">
        <f>T40</f>
        <v>0.56100000000000005</v>
      </c>
      <c r="R88" s="810">
        <f>P88*Q88</f>
        <v>696.76200000000006</v>
      </c>
      <c r="S88" s="175"/>
      <c r="T88" s="175"/>
      <c r="U88" s="175"/>
      <c r="V88" s="5"/>
      <c r="W88" s="5"/>
      <c r="X88" s="3"/>
      <c r="Y88" s="3"/>
    </row>
    <row r="89" spans="1:25" s="4" customFormat="1" ht="14.45" customHeight="1" x14ac:dyDescent="0.25">
      <c r="A89" s="5"/>
      <c r="B89" s="1012" t="s">
        <v>1154</v>
      </c>
      <c r="C89" s="5"/>
      <c r="D89" s="921"/>
      <c r="E89" s="5"/>
      <c r="F89" s="110"/>
      <c r="G89" s="5"/>
      <c r="H89" s="5"/>
      <c r="I89" s="5"/>
      <c r="J89" s="5"/>
      <c r="K89" s="5"/>
      <c r="L89" s="5"/>
      <c r="M89" s="5"/>
      <c r="N89" s="174"/>
      <c r="O89" s="5"/>
      <c r="P89" s="928"/>
      <c r="Q89" s="795"/>
      <c r="R89" s="811">
        <f>R87+R88</f>
        <v>1787.2380000000003</v>
      </c>
      <c r="S89" s="175"/>
      <c r="T89" s="175"/>
      <c r="U89" s="175"/>
      <c r="V89" s="5"/>
      <c r="W89" s="5"/>
      <c r="X89" s="3"/>
      <c r="Y89" s="3"/>
    </row>
    <row r="90" spans="1:25" s="4" customFormat="1" ht="14.45" customHeight="1" x14ac:dyDescent="0.25">
      <c r="A90" s="5"/>
      <c r="B90" s="1012" t="s">
        <v>1160</v>
      </c>
      <c r="C90" s="5"/>
      <c r="D90" s="921"/>
      <c r="E90" s="5"/>
      <c r="F90" s="973" t="s">
        <v>1016</v>
      </c>
      <c r="G90" s="973" t="s">
        <v>1017</v>
      </c>
      <c r="H90" s="922"/>
      <c r="I90" s="922"/>
      <c r="J90" s="922"/>
      <c r="K90" s="974"/>
      <c r="L90" s="922"/>
      <c r="M90" s="982"/>
      <c r="N90" s="983">
        <f>(N86*Q87)+(N88*Q88)</f>
        <v>3.6</v>
      </c>
      <c r="O90" s="962" t="s">
        <v>1133</v>
      </c>
      <c r="P90" s="928"/>
      <c r="Q90" s="795"/>
      <c r="R90" s="932"/>
      <c r="S90" s="175"/>
      <c r="T90" s="175"/>
      <c r="U90" s="175"/>
      <c r="V90" s="5"/>
      <c r="W90" s="5"/>
      <c r="Y90" s="3"/>
    </row>
    <row r="91" spans="1:25" s="4" customFormat="1" ht="14.45" customHeight="1" x14ac:dyDescent="0.25">
      <c r="A91" s="5"/>
      <c r="B91" s="1009"/>
      <c r="C91" s="5"/>
      <c r="D91" s="921"/>
      <c r="E91" s="5"/>
      <c r="F91" s="973" t="s">
        <v>1018</v>
      </c>
      <c r="G91" s="973" t="s">
        <v>1019</v>
      </c>
      <c r="H91" s="922"/>
      <c r="I91" s="922"/>
      <c r="J91" s="922"/>
      <c r="K91" s="974"/>
      <c r="L91" s="922"/>
      <c r="M91" s="982"/>
      <c r="N91" s="983">
        <f>(N87*Q87)</f>
        <v>1.5804</v>
      </c>
      <c r="O91" s="962" t="s">
        <v>1133</v>
      </c>
      <c r="P91" s="928"/>
      <c r="Q91" s="795"/>
      <c r="R91" s="932"/>
      <c r="S91" s="175"/>
      <c r="T91" s="175"/>
      <c r="U91" s="175"/>
      <c r="V91" s="5"/>
      <c r="W91" s="5"/>
      <c r="Y91" s="3"/>
    </row>
    <row r="92" spans="1:25" s="4" customFormat="1" ht="14.45" customHeight="1" x14ac:dyDescent="0.25">
      <c r="A92" s="5"/>
      <c r="B92" s="1009"/>
      <c r="C92" s="5"/>
      <c r="D92" s="921"/>
      <c r="E92" s="5"/>
      <c r="F92" s="110"/>
      <c r="G92" s="5"/>
      <c r="H92" s="5"/>
      <c r="I92" s="5"/>
      <c r="J92" s="5"/>
      <c r="K92" s="5"/>
      <c r="L92" s="5"/>
      <c r="M92" s="5"/>
      <c r="N92" s="174"/>
      <c r="O92" s="5"/>
      <c r="P92" s="928"/>
      <c r="Q92" s="795"/>
      <c r="R92" s="932"/>
      <c r="S92" s="175"/>
      <c r="T92" s="175"/>
      <c r="U92" s="175"/>
      <c r="V92" s="5"/>
      <c r="W92" s="5"/>
      <c r="Y92" s="3"/>
    </row>
    <row r="93" spans="1:25" s="4" customFormat="1" ht="15" x14ac:dyDescent="0.25">
      <c r="A93" s="5"/>
      <c r="B93" s="1011"/>
      <c r="C93" s="5"/>
      <c r="D93" s="986" t="s">
        <v>980</v>
      </c>
      <c r="E93" s="972" t="s">
        <v>1020</v>
      </c>
      <c r="F93" s="973" t="s">
        <v>1021</v>
      </c>
      <c r="G93" s="977" t="s">
        <v>1022</v>
      </c>
      <c r="H93" s="192"/>
      <c r="I93" s="192"/>
      <c r="J93" s="192"/>
      <c r="K93" s="192"/>
      <c r="L93" s="192"/>
      <c r="M93" s="192"/>
      <c r="N93" s="987">
        <f>P45</f>
        <v>5.5</v>
      </c>
      <c r="O93" s="984">
        <v>172</v>
      </c>
      <c r="P93" s="935"/>
      <c r="Q93" s="936"/>
      <c r="R93" s="943">
        <f>O93*N93</f>
        <v>946</v>
      </c>
      <c r="S93" s="175"/>
      <c r="T93" s="175"/>
      <c r="U93" s="175"/>
      <c r="V93" s="5"/>
      <c r="W93" s="5"/>
      <c r="Y93" s="3"/>
    </row>
    <row r="94" spans="1:25" s="4" customFormat="1" ht="15" x14ac:dyDescent="0.25">
      <c r="A94" s="5"/>
      <c r="B94" s="5"/>
      <c r="C94" s="5"/>
      <c r="D94" s="960"/>
      <c r="E94" s="961"/>
      <c r="F94" s="962"/>
      <c r="G94" s="963"/>
      <c r="H94"/>
      <c r="I94"/>
      <c r="J94"/>
      <c r="K94"/>
      <c r="L94"/>
      <c r="M94"/>
      <c r="N94" s="964"/>
      <c r="O94" s="957"/>
      <c r="P94" s="5"/>
      <c r="Q94" s="931"/>
      <c r="R94" s="959"/>
      <c r="S94" s="175"/>
      <c r="T94" s="175"/>
      <c r="U94" s="175"/>
      <c r="V94" s="5"/>
      <c r="W94" s="5"/>
      <c r="Y94" s="3"/>
    </row>
    <row r="95" spans="1:25" s="4" customFormat="1" ht="14.45" customHeight="1" x14ac:dyDescent="0.2">
      <c r="A95" s="5"/>
      <c r="B95" s="5"/>
      <c r="C95" s="5"/>
      <c r="D95" s="921"/>
      <c r="E95" s="5"/>
      <c r="F95" s="5"/>
      <c r="G95" s="5"/>
      <c r="H95" s="5"/>
      <c r="I95" s="5"/>
      <c r="J95" s="5"/>
      <c r="K95" s="5"/>
      <c r="L95" s="5"/>
      <c r="M95" s="5"/>
      <c r="N95" s="174"/>
      <c r="O95" s="5"/>
      <c r="P95" s="928"/>
      <c r="Q95" s="5"/>
      <c r="R95" s="175"/>
      <c r="S95" s="175"/>
      <c r="T95" s="175"/>
      <c r="U95" s="175"/>
      <c r="V95" s="5"/>
      <c r="W95" s="5"/>
      <c r="Y95" s="3"/>
    </row>
    <row r="96" spans="1:25" s="4" customFormat="1" ht="14.45" customHeight="1" x14ac:dyDescent="0.25">
      <c r="A96" s="5"/>
      <c r="B96" s="1013"/>
      <c r="C96" s="5"/>
      <c r="D96" s="986" t="s">
        <v>1119</v>
      </c>
      <c r="E96" s="972" t="s">
        <v>961</v>
      </c>
      <c r="F96" s="973" t="s">
        <v>1021</v>
      </c>
      <c r="G96" s="977" t="s">
        <v>1022</v>
      </c>
      <c r="H96" s="192"/>
      <c r="I96" s="192"/>
      <c r="J96" s="192"/>
      <c r="K96" s="192"/>
      <c r="L96" s="192"/>
      <c r="M96" s="192"/>
      <c r="N96" s="988">
        <f>'Inputs and eligible population'!F55</f>
        <v>3</v>
      </c>
      <c r="O96" s="984">
        <v>172</v>
      </c>
      <c r="P96" s="930">
        <f>O96*N96</f>
        <v>516</v>
      </c>
      <c r="Q96" s="944">
        <f>T56</f>
        <v>0.39600000000000002</v>
      </c>
      <c r="R96" s="810">
        <f>P96*Q96</f>
        <v>204.33600000000001</v>
      </c>
      <c r="S96" s="175"/>
      <c r="T96" s="175"/>
      <c r="U96" s="175"/>
      <c r="V96" s="5"/>
      <c r="W96" s="5"/>
      <c r="Y96" s="3"/>
    </row>
    <row r="97" spans="1:25" s="4" customFormat="1" ht="14.45" customHeight="1" x14ac:dyDescent="0.25">
      <c r="A97" s="5"/>
      <c r="B97" s="1009"/>
      <c r="C97" s="5"/>
      <c r="D97" s="986" t="s">
        <v>1120</v>
      </c>
      <c r="E97" s="972" t="s">
        <v>961</v>
      </c>
      <c r="F97" s="973" t="s">
        <v>1021</v>
      </c>
      <c r="G97" s="977" t="s">
        <v>1022</v>
      </c>
      <c r="H97" s="192"/>
      <c r="I97" s="192"/>
      <c r="J97" s="192"/>
      <c r="K97" s="192"/>
      <c r="L97" s="192"/>
      <c r="M97" s="192"/>
      <c r="N97" s="988">
        <f>'Inputs and eligible population'!F55</f>
        <v>3</v>
      </c>
      <c r="O97" s="984">
        <v>172</v>
      </c>
      <c r="P97" s="930">
        <f>O97*N97</f>
        <v>516</v>
      </c>
      <c r="Q97" s="941"/>
      <c r="R97" s="942"/>
      <c r="S97" s="175"/>
      <c r="T97" s="175"/>
      <c r="U97" s="175"/>
      <c r="V97" s="5"/>
      <c r="W97" s="5"/>
      <c r="Y97" s="3"/>
    </row>
    <row r="98" spans="1:25" s="4" customFormat="1" ht="14.45" customHeight="1" x14ac:dyDescent="0.25">
      <c r="A98" s="5"/>
      <c r="B98" s="1012" t="s">
        <v>1156</v>
      </c>
      <c r="C98" s="5"/>
      <c r="D98" s="986" t="s">
        <v>1120</v>
      </c>
      <c r="E98" s="972" t="s">
        <v>961</v>
      </c>
      <c r="F98" s="973" t="s">
        <v>1018</v>
      </c>
      <c r="G98" s="977" t="s">
        <v>1019</v>
      </c>
      <c r="H98" s="192"/>
      <c r="I98" s="192"/>
      <c r="J98" s="192"/>
      <c r="K98" s="192"/>
      <c r="L98" s="192"/>
      <c r="M98" s="192"/>
      <c r="N98" s="988">
        <f>'Inputs and eligible population'!F55</f>
        <v>3</v>
      </c>
      <c r="O98" s="984">
        <v>345</v>
      </c>
      <c r="P98" s="930">
        <f>O98*N98</f>
        <v>1035</v>
      </c>
      <c r="Q98" s="944">
        <f>T58</f>
        <v>0.38600000000000001</v>
      </c>
      <c r="R98" s="810">
        <f>Q98*(P98+P97)</f>
        <v>598.68600000000004</v>
      </c>
      <c r="S98" s="175"/>
      <c r="T98" s="175"/>
      <c r="U98" s="175"/>
      <c r="V98" s="5"/>
      <c r="W98" s="5"/>
      <c r="Y98" s="3"/>
    </row>
    <row r="99" spans="1:25" s="4" customFormat="1" ht="15" x14ac:dyDescent="0.25">
      <c r="A99" s="5"/>
      <c r="B99" s="1012" t="s">
        <v>1157</v>
      </c>
      <c r="C99" s="5"/>
      <c r="D99" s="986" t="s">
        <v>1121</v>
      </c>
      <c r="E99" s="972" t="s">
        <v>961</v>
      </c>
      <c r="F99" s="973" t="s">
        <v>1021</v>
      </c>
      <c r="G99" s="977" t="s">
        <v>1022</v>
      </c>
      <c r="H99" s="192"/>
      <c r="I99" s="192"/>
      <c r="J99" s="192"/>
      <c r="K99" s="192"/>
      <c r="L99" s="192"/>
      <c r="M99" s="192"/>
      <c r="N99" s="988">
        <f>'Inputs and eligible population'!F55</f>
        <v>3</v>
      </c>
      <c r="O99" s="984">
        <v>172</v>
      </c>
      <c r="P99" s="929">
        <f>O99*N99</f>
        <v>516</v>
      </c>
      <c r="Q99" s="944">
        <f>T60</f>
        <v>0.218</v>
      </c>
      <c r="R99" s="810">
        <f>P99*Q99</f>
        <v>112.488</v>
      </c>
      <c r="S99" s="175"/>
      <c r="T99" s="175"/>
      <c r="U99" s="175"/>
      <c r="V99" s="5"/>
      <c r="W99" s="5"/>
      <c r="Y99" s="3"/>
    </row>
    <row r="100" spans="1:25" s="4" customFormat="1" ht="15" x14ac:dyDescent="0.25">
      <c r="A100" s="5"/>
      <c r="B100" s="1009"/>
      <c r="C100" s="5"/>
      <c r="D100" s="916"/>
      <c r="E100" s="5"/>
      <c r="F100" s="923"/>
      <c r="G100" s="980"/>
      <c r="H100" s="989"/>
      <c r="I100" s="989"/>
      <c r="J100" s="989"/>
      <c r="K100" s="989"/>
      <c r="L100" s="989"/>
      <c r="M100" s="989"/>
      <c r="N100" s="990"/>
      <c r="O100" s="969"/>
      <c r="P100" s="924"/>
      <c r="Q100" s="925"/>
      <c r="R100" s="811">
        <f>SUM(R96:R99)</f>
        <v>915.51</v>
      </c>
      <c r="S100" s="175"/>
      <c r="T100" s="175"/>
      <c r="U100" s="175"/>
      <c r="V100" s="5"/>
      <c r="W100" s="5"/>
      <c r="Y100" s="3"/>
    </row>
    <row r="101" spans="1:25" s="4" customFormat="1" ht="15" x14ac:dyDescent="0.25">
      <c r="A101" s="5"/>
      <c r="B101" s="1009"/>
      <c r="C101" s="5"/>
      <c r="D101" s="955"/>
      <c r="E101" s="5"/>
      <c r="F101" s="973" t="s">
        <v>1021</v>
      </c>
      <c r="G101" s="977" t="s">
        <v>1022</v>
      </c>
      <c r="H101" s="192"/>
      <c r="I101" s="922"/>
      <c r="J101" s="922"/>
      <c r="K101" s="974"/>
      <c r="L101" s="922"/>
      <c r="M101" s="982"/>
      <c r="N101" s="983">
        <f>(N96*Q96)+(N97*Q98)+(N99*Q99)</f>
        <v>3</v>
      </c>
      <c r="O101" s="962" t="s">
        <v>1133</v>
      </c>
      <c r="P101" s="958"/>
      <c r="Q101" s="958"/>
      <c r="R101" s="932"/>
      <c r="S101" s="175"/>
      <c r="T101" s="175"/>
      <c r="U101" s="175"/>
      <c r="V101" s="5"/>
      <c r="W101" s="5"/>
      <c r="Y101" s="3"/>
    </row>
    <row r="102" spans="1:25" s="4" customFormat="1" ht="15" x14ac:dyDescent="0.25">
      <c r="A102" s="5"/>
      <c r="B102" s="1011"/>
      <c r="C102" s="5"/>
      <c r="D102" s="955"/>
      <c r="E102" s="5"/>
      <c r="F102" s="973" t="s">
        <v>1018</v>
      </c>
      <c r="G102" s="973" t="s">
        <v>1019</v>
      </c>
      <c r="H102" s="922"/>
      <c r="I102" s="922"/>
      <c r="J102" s="922"/>
      <c r="K102" s="974"/>
      <c r="L102" s="922"/>
      <c r="M102" s="982"/>
      <c r="N102" s="983">
        <f>(N98*Q98)</f>
        <v>1.1579999999999999</v>
      </c>
      <c r="O102" s="962" t="s">
        <v>1133</v>
      </c>
      <c r="P102" s="958"/>
      <c r="Q102" s="958"/>
      <c r="R102" s="932"/>
      <c r="S102" s="175"/>
      <c r="T102" s="175"/>
      <c r="U102" s="175"/>
      <c r="V102" s="5"/>
      <c r="W102" s="5"/>
      <c r="Y102" s="3"/>
    </row>
    <row r="103" spans="1:25" s="4" customFormat="1" ht="15" x14ac:dyDescent="0.25">
      <c r="A103" s="5"/>
      <c r="B103" s="5"/>
      <c r="C103" s="5"/>
      <c r="D103" s="955"/>
      <c r="E103" s="5"/>
      <c r="F103" s="956"/>
      <c r="G103" s="5"/>
      <c r="H103" s="755"/>
      <c r="I103" s="755"/>
      <c r="J103" s="755"/>
      <c r="K103" s="755"/>
      <c r="L103" s="755"/>
      <c r="M103" s="755"/>
      <c r="N103" s="1006"/>
      <c r="O103" s="957"/>
      <c r="P103" s="958"/>
      <c r="Q103" s="958"/>
      <c r="R103" s="932"/>
      <c r="S103" s="175"/>
      <c r="T103" s="175"/>
      <c r="U103" s="175"/>
      <c r="V103" s="5"/>
      <c r="W103" s="5"/>
      <c r="Y103" s="3"/>
    </row>
    <row r="104" spans="1:25" s="4" customFormat="1" ht="15" x14ac:dyDescent="0.2">
      <c r="A104" s="5"/>
      <c r="B104" s="5"/>
      <c r="C104" s="5"/>
      <c r="D104" s="618" t="s">
        <v>772</v>
      </c>
      <c r="E104" s="173"/>
      <c r="F104" s="173"/>
      <c r="G104" s="110"/>
      <c r="H104" s="174"/>
      <c r="I104" s="175"/>
      <c r="J104" s="5"/>
      <c r="K104" s="5"/>
      <c r="L104" s="176"/>
      <c r="M104" s="175"/>
      <c r="N104" s="175"/>
      <c r="O104" s="175"/>
      <c r="P104" s="175"/>
      <c r="Q104" s="175"/>
      <c r="R104" s="175"/>
      <c r="S104" s="175"/>
      <c r="T104" s="175"/>
      <c r="U104" s="176"/>
      <c r="V104" s="5"/>
      <c r="W104" s="5"/>
      <c r="Y104" s="3"/>
    </row>
    <row r="105" spans="1:25" s="4" customFormat="1" ht="15" x14ac:dyDescent="0.25">
      <c r="A105" s="5"/>
      <c r="B105" s="5"/>
      <c r="C105" s="5"/>
      <c r="D105" s="189"/>
      <c r="E105" s="173"/>
      <c r="F105" s="173"/>
      <c r="G105" s="110"/>
      <c r="H105" s="174"/>
      <c r="I105" s="175"/>
      <c r="J105" s="5"/>
      <c r="K105" s="5"/>
      <c r="L105" s="176"/>
      <c r="M105" s="175"/>
      <c r="N105" s="175"/>
      <c r="O105" s="175"/>
      <c r="P105" s="175"/>
      <c r="Q105" s="175"/>
      <c r="R105" s="175"/>
      <c r="S105" s="175"/>
      <c r="T105" s="175"/>
      <c r="U105" s="176"/>
      <c r="V105" s="5"/>
      <c r="W105" s="5"/>
      <c r="Y105" s="3"/>
    </row>
    <row r="106" spans="1:25" s="4" customFormat="1" ht="14.25" x14ac:dyDescent="0.2">
      <c r="A106" s="5"/>
      <c r="B106" s="5"/>
      <c r="C106" s="5"/>
      <c r="D106" s="173"/>
      <c r="E106" s="173"/>
      <c r="F106" s="173"/>
      <c r="G106" s="110"/>
      <c r="H106" s="174"/>
      <c r="I106" s="175"/>
      <c r="J106" s="5"/>
      <c r="K106" s="5"/>
      <c r="L106" s="176"/>
      <c r="M106" s="175"/>
      <c r="N106" s="175"/>
      <c r="O106" s="175"/>
      <c r="P106" s="175"/>
      <c r="Q106" s="175"/>
      <c r="R106" s="175"/>
      <c r="S106" s="175"/>
      <c r="T106" s="175"/>
      <c r="U106" s="176"/>
      <c r="V106" s="5"/>
      <c r="W106" s="5"/>
      <c r="Y106" s="3"/>
    </row>
    <row r="107" spans="1:25" s="4" customFormat="1" ht="15" x14ac:dyDescent="0.25">
      <c r="A107" s="5"/>
      <c r="B107" s="5"/>
      <c r="C107" s="5"/>
      <c r="D107" s="406" t="s">
        <v>1023</v>
      </c>
      <c r="E107" s="173"/>
      <c r="F107" s="173"/>
      <c r="G107" s="110"/>
      <c r="H107" s="174"/>
      <c r="I107" s="175"/>
      <c r="J107" s="5"/>
      <c r="K107" s="5"/>
      <c r="L107" s="176"/>
      <c r="M107" s="175"/>
      <c r="N107" s="175"/>
      <c r="O107" s="175"/>
      <c r="P107" s="175"/>
      <c r="Q107" s="175"/>
      <c r="R107" s="175"/>
      <c r="S107" s="175"/>
      <c r="T107" s="175"/>
      <c r="U107" s="176"/>
      <c r="V107" s="5"/>
      <c r="W107" s="5"/>
      <c r="Y107" s="3"/>
    </row>
    <row r="108" spans="1:25" s="4" customFormat="1" ht="15" x14ac:dyDescent="0.25">
      <c r="A108" s="5"/>
      <c r="B108" s="5"/>
      <c r="C108" s="5"/>
      <c r="D108" s="240" t="s">
        <v>768</v>
      </c>
      <c r="E108" s="242" t="s">
        <v>1024</v>
      </c>
      <c r="F108" s="244" t="s">
        <v>770</v>
      </c>
      <c r="G108" s="403"/>
      <c r="H108" s="404"/>
      <c r="I108" s="407" t="s">
        <v>771</v>
      </c>
      <c r="J108" s="5"/>
      <c r="K108" s="5"/>
      <c r="L108" s="176"/>
      <c r="M108" s="175"/>
      <c r="N108" s="175"/>
      <c r="O108" s="175"/>
      <c r="P108" s="175"/>
      <c r="Q108" s="175"/>
      <c r="R108" s="175"/>
      <c r="S108" s="175"/>
      <c r="T108" s="175"/>
      <c r="U108" s="176"/>
      <c r="V108" s="5"/>
      <c r="W108" s="5"/>
      <c r="Y108" s="3"/>
    </row>
    <row r="109" spans="1:25" s="4" customFormat="1" ht="15" x14ac:dyDescent="0.25">
      <c r="A109" s="5"/>
      <c r="B109" s="5"/>
      <c r="C109" s="5"/>
      <c r="D109" s="588" t="s">
        <v>773</v>
      </c>
      <c r="E109" s="950" t="s">
        <v>1114</v>
      </c>
      <c r="F109" s="594" t="s">
        <v>1113</v>
      </c>
      <c r="G109" s="597"/>
      <c r="H109" s="595"/>
      <c r="I109" s="596">
        <v>319</v>
      </c>
      <c r="J109" s="5"/>
      <c r="K109" s="5"/>
      <c r="L109" s="176"/>
      <c r="M109" s="175"/>
      <c r="N109" s="175"/>
      <c r="O109" s="175"/>
      <c r="P109" s="175"/>
      <c r="Q109" s="175"/>
      <c r="R109" s="175"/>
      <c r="S109" s="175"/>
      <c r="T109" s="175"/>
      <c r="U109" s="176"/>
      <c r="V109" s="5"/>
      <c r="W109" s="5"/>
      <c r="Y109" s="3"/>
    </row>
    <row r="110" spans="1:25" s="4" customFormat="1" ht="15" x14ac:dyDescent="0.25">
      <c r="A110" s="5"/>
      <c r="B110" s="5"/>
      <c r="C110" s="5"/>
      <c r="D110" s="588" t="s">
        <v>774</v>
      </c>
      <c r="E110" s="950" t="s">
        <v>1115</v>
      </c>
      <c r="F110" s="594" t="s">
        <v>1113</v>
      </c>
      <c r="G110" s="597"/>
      <c r="H110" s="595"/>
      <c r="I110" s="596">
        <v>145</v>
      </c>
      <c r="J110" s="5"/>
      <c r="K110" s="5"/>
      <c r="L110" s="176"/>
      <c r="M110" s="175"/>
      <c r="N110" s="175"/>
      <c r="O110" s="175"/>
      <c r="P110" s="175"/>
      <c r="Q110" s="175"/>
      <c r="R110" s="175"/>
      <c r="S110" s="175"/>
      <c r="T110" s="175"/>
      <c r="U110" s="176"/>
      <c r="V110" s="5"/>
      <c r="W110" s="5"/>
      <c r="Y110" s="3"/>
    </row>
    <row r="111" spans="1:25" ht="15" x14ac:dyDescent="0.2">
      <c r="A111" s="188"/>
      <c r="B111" s="188"/>
      <c r="C111" s="188"/>
      <c r="D111" s="613" t="s">
        <v>775</v>
      </c>
      <c r="E111" s="5"/>
      <c r="F111" s="173"/>
      <c r="G111" s="110"/>
      <c r="H111" s="174"/>
      <c r="I111" s="175"/>
      <c r="J111" s="5"/>
      <c r="K111" s="5"/>
      <c r="L111" s="176"/>
      <c r="M111" s="175"/>
      <c r="N111" s="175"/>
      <c r="O111" s="175"/>
      <c r="P111" s="175"/>
      <c r="Q111" s="175"/>
      <c r="R111" s="175"/>
      <c r="S111" s="175"/>
      <c r="T111" s="175"/>
      <c r="U111" s="176"/>
      <c r="V111" s="5"/>
      <c r="W111" s="188"/>
    </row>
    <row r="112" spans="1:25" ht="15" x14ac:dyDescent="0.25">
      <c r="A112" s="188"/>
      <c r="B112" s="188"/>
      <c r="C112" s="188"/>
      <c r="D112" s="189"/>
      <c r="E112" s="5"/>
      <c r="F112" s="173"/>
      <c r="G112" s="110"/>
      <c r="H112" s="174"/>
      <c r="I112" s="175"/>
      <c r="J112" s="5"/>
      <c r="K112" s="5"/>
      <c r="L112" s="176"/>
      <c r="M112" s="175"/>
      <c r="N112" s="175"/>
      <c r="O112" s="175"/>
      <c r="P112" s="175"/>
      <c r="Q112" s="175"/>
      <c r="R112" s="175"/>
      <c r="S112" s="175"/>
      <c r="T112" s="175"/>
      <c r="U112" s="176"/>
      <c r="V112" s="5"/>
      <c r="W112" s="188"/>
    </row>
  </sheetData>
  <sheetProtection algorithmName="SHA-512" hashValue="lXf0bIEUCfEuqUrAOBBrmP4Zb9v54uLp+KBG7DL5Y8ctkZWPkb7vCEuaARAtnDOFMx465VmNEIJx2P+hwDSiBg==" saltValue="x4wwpO6nBy0C9F0xkpdL0g==" spinCount="100000" sheet="1" objects="1" scenarios="1"/>
  <protectedRanges>
    <protectedRange sqref="A1 D53:S53 U53 V53 D55:S60 T56 T58 T60 U55:U60 V56 V58 V60:V61 Q71:Q73 Q75 Q76 Q78 Q87:Q88 Q96 Q98:Q99 D109:I110" name="Range3"/>
    <protectedRange sqref="D13:S24 U11 V11 T14:V14 T16:V16 T18:V18 T20:V20 T22:V22 T24:V24 V25 D28:S28 U28:V28 V29" name="Range1"/>
    <protectedRange sqref="D35:R35 U35 V35 D37:S40 T38 T40 U37:U40 V38 V40 V41 D45:J45 L45:O45 Q45:S45 U45:V45 V46" name="Range2"/>
  </protectedRanges>
  <dataValidations disablePrompts="1" count="1">
    <dataValidation type="list" allowBlank="1" showInputMessage="1" showErrorMessage="1" sqref="E45" xr:uid="{950B866B-36F4-42EE-BAE5-2D1D2B9A7084}">
      <formula1>$N$2:$N$3</formula1>
    </dataValidation>
  </dataValidations>
  <hyperlinks>
    <hyperlink ref="D104" r:id="rId1" location="National-Tariff-Payment-System" xr:uid="{1ED34020-1F41-40C6-B51B-E5BA6845D00E}"/>
    <hyperlink ref="D111" r:id="rId2" location="National-Tariff-Payment-System" xr:uid="{5A0F7E70-709E-459A-BB47-6EBF27A6776C}"/>
  </hyperlinks>
  <pageMargins left="0.70866141732283472" right="0.70866141732283472" top="0.74803149606299213" bottom="0.74803149606299213" header="0.31496062992125984" footer="0.31496062992125984"/>
  <pageSetup paperSize="9" scale="3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7"/>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89" t="str">
        <f>'Inputs and eligible population'!B1</f>
        <v>Durvalumab with chemotherapy before surgery (neoadjuvant) then alone after surgery (adjuvant) for treating resectable non-small-cell lung cancer</v>
      </c>
      <c r="C1" s="142"/>
      <c r="D1" s="139"/>
      <c r="E1" s="139"/>
      <c r="F1" s="139"/>
      <c r="G1" s="139"/>
      <c r="H1" s="139"/>
      <c r="I1" s="139"/>
      <c r="J1" s="139"/>
    </row>
    <row r="2" spans="2:10" ht="30" customHeight="1" x14ac:dyDescent="0.25">
      <c r="B2" s="352" t="s">
        <v>16</v>
      </c>
      <c r="C2" s="139"/>
      <c r="E2" s="125" t="s">
        <v>745</v>
      </c>
      <c r="F2" s="125" t="s">
        <v>745</v>
      </c>
      <c r="G2" s="125" t="s">
        <v>745</v>
      </c>
      <c r="H2" s="125" t="s">
        <v>745</v>
      </c>
      <c r="I2" s="125" t="s">
        <v>745</v>
      </c>
      <c r="J2" s="139"/>
    </row>
    <row r="3" spans="2:10" x14ac:dyDescent="0.25">
      <c r="B3" s="128" t="s">
        <v>745</v>
      </c>
      <c r="C3" s="128"/>
      <c r="D3" s="131" t="s">
        <v>745</v>
      </c>
      <c r="E3" s="131" t="s">
        <v>745</v>
      </c>
      <c r="F3" s="131" t="s">
        <v>745</v>
      </c>
      <c r="G3" s="131" t="s">
        <v>745</v>
      </c>
      <c r="H3" s="131" t="s">
        <v>745</v>
      </c>
      <c r="I3" s="131" t="s">
        <v>745</v>
      </c>
      <c r="J3" s="139"/>
    </row>
    <row r="4" spans="2:10" ht="45" x14ac:dyDescent="0.25">
      <c r="B4" s="249" t="s">
        <v>776</v>
      </c>
      <c r="C4" s="232" t="s">
        <v>777</v>
      </c>
      <c r="D4" s="262" t="s">
        <v>676</v>
      </c>
      <c r="E4" s="262" t="s">
        <v>677</v>
      </c>
      <c r="F4" s="263" t="s">
        <v>778</v>
      </c>
      <c r="G4" s="263" t="s">
        <v>779</v>
      </c>
      <c r="H4" s="262" t="s">
        <v>780</v>
      </c>
      <c r="I4" s="131" t="s">
        <v>745</v>
      </c>
      <c r="J4" s="139"/>
    </row>
    <row r="5" spans="2:10" x14ac:dyDescent="0.25">
      <c r="B5" s="343" t="s">
        <v>1123</v>
      </c>
      <c r="C5" s="1003"/>
      <c r="D5" s="948"/>
      <c r="E5" s="948"/>
      <c r="F5" s="948"/>
      <c r="G5" s="948"/>
      <c r="H5" s="949"/>
      <c r="I5" s="131" t="s">
        <v>745</v>
      </c>
      <c r="J5" s="139"/>
    </row>
    <row r="6" spans="2:10" s="145" customFormat="1" x14ac:dyDescent="0.25">
      <c r="B6" s="163" t="s">
        <v>781</v>
      </c>
      <c r="C6" s="126">
        <f>'Inputs and eligible population'!F44</f>
        <v>1995.8519960999997</v>
      </c>
      <c r="D6" s="126">
        <f>'Inputs and eligible population'!G44</f>
        <v>2015.0956167728939</v>
      </c>
      <c r="E6" s="126">
        <f>'Inputs and eligible population'!H44</f>
        <v>2034.5247807312253</v>
      </c>
      <c r="F6" s="126">
        <f>'Inputs and eligible population'!I44</f>
        <v>2054.1412769476278</v>
      </c>
      <c r="G6" s="126">
        <f>'Inputs and eligible population'!J44</f>
        <v>2073.9469116436658</v>
      </c>
      <c r="H6" s="126">
        <f>'Inputs and eligible population'!K44</f>
        <v>2093.9435084561437</v>
      </c>
      <c r="I6" s="131" t="s">
        <v>745</v>
      </c>
      <c r="J6" s="139"/>
    </row>
    <row r="7" spans="2:10" x14ac:dyDescent="0.25">
      <c r="B7" s="251" t="s">
        <v>962</v>
      </c>
      <c r="C7" s="471">
        <f>'Inputs and eligible population'!E80</f>
        <v>0</v>
      </c>
      <c r="D7" s="471">
        <f>'Inputs and eligible population'!F80</f>
        <v>0.15</v>
      </c>
      <c r="E7" s="471">
        <f>'Inputs and eligible population'!G80</f>
        <v>0.3</v>
      </c>
      <c r="F7" s="471">
        <f>'Inputs and eligible population'!H80</f>
        <v>0.33333333333333331</v>
      </c>
      <c r="G7" s="471">
        <f>'Inputs and eligible population'!I80</f>
        <v>0.33333333333333331</v>
      </c>
      <c r="H7" s="471">
        <f>'Inputs and eligible population'!J80</f>
        <v>0.33333333333333331</v>
      </c>
      <c r="I7" s="131" t="s">
        <v>745</v>
      </c>
      <c r="J7" s="139"/>
    </row>
    <row r="8" spans="2:10" x14ac:dyDescent="0.25">
      <c r="B8" s="163" t="s">
        <v>1047</v>
      </c>
      <c r="C8" s="126">
        <f>'Financial impact (cash)'!D14</f>
        <v>0</v>
      </c>
      <c r="D8" s="126">
        <f>'Financial impact (cash)'!E14</f>
        <v>302.26434251593406</v>
      </c>
      <c r="E8" s="126">
        <f>'Financial impact (cash)'!F14</f>
        <v>610.35743421936752</v>
      </c>
      <c r="F8" s="126">
        <f>'Financial impact (cash)'!G14</f>
        <v>684.71375898254257</v>
      </c>
      <c r="G8" s="126">
        <f>'Financial impact (cash)'!H14</f>
        <v>691.31563721455518</v>
      </c>
      <c r="H8" s="126">
        <f>'Financial impact (cash)'!I14</f>
        <v>697.9811694853812</v>
      </c>
      <c r="I8" s="131" t="s">
        <v>745</v>
      </c>
      <c r="J8" s="131"/>
    </row>
    <row r="9" spans="2:10" x14ac:dyDescent="0.25">
      <c r="B9" s="343" t="s">
        <v>1123</v>
      </c>
      <c r="C9" s="1003"/>
      <c r="D9" s="948"/>
      <c r="E9" s="948"/>
      <c r="F9" s="948"/>
      <c r="G9" s="948"/>
      <c r="H9" s="949"/>
      <c r="I9" s="131" t="s">
        <v>745</v>
      </c>
      <c r="J9" s="139"/>
    </row>
    <row r="10" spans="2:10" x14ac:dyDescent="0.25">
      <c r="B10" s="163" t="s">
        <v>1047</v>
      </c>
      <c r="C10" s="126">
        <f>'Inputs and eligible population'!L92</f>
        <v>0</v>
      </c>
      <c r="D10" s="126">
        <f>'Inputs and eligible population'!M92</f>
        <v>199.49446606051652</v>
      </c>
      <c r="E10" s="126">
        <f>'Inputs and eligible population'!N92</f>
        <v>402.83590658478261</v>
      </c>
      <c r="F10" s="126">
        <f>'Inputs and eligible population'!O92</f>
        <v>451.9110809284781</v>
      </c>
      <c r="G10" s="126">
        <f>'Inputs and eligible population'!P92</f>
        <v>456.26832056160646</v>
      </c>
      <c r="H10" s="126">
        <f>'Inputs and eligible population'!Q92</f>
        <v>460.66757186035164</v>
      </c>
      <c r="I10" s="131"/>
      <c r="J10" s="131"/>
    </row>
    <row r="11" spans="2:10" x14ac:dyDescent="0.25">
      <c r="B11" s="755"/>
      <c r="C11" s="177">
        <f>SUM(C8:C10)</f>
        <v>0</v>
      </c>
      <c r="D11" s="177">
        <f t="shared" ref="D11:H11" si="0">SUM(D8:D10)</f>
        <v>501.75880857645058</v>
      </c>
      <c r="E11" s="177">
        <f t="shared" si="0"/>
        <v>1013.1933408041501</v>
      </c>
      <c r="F11" s="177">
        <f t="shared" si="0"/>
        <v>1136.6248399110207</v>
      </c>
      <c r="G11" s="177">
        <f t="shared" si="0"/>
        <v>1147.5839577761617</v>
      </c>
      <c r="H11" s="177">
        <f t="shared" si="0"/>
        <v>1158.6487413457328</v>
      </c>
      <c r="I11" s="131"/>
      <c r="J11" s="131"/>
    </row>
    <row r="12" spans="2:10" ht="14.45" customHeight="1" x14ac:dyDescent="0.25">
      <c r="B12" s="238"/>
      <c r="C12" s="238"/>
      <c r="D12" s="1002"/>
      <c r="E12" s="1002"/>
      <c r="F12" s="1002"/>
      <c r="G12" s="1002"/>
      <c r="H12" s="1002"/>
      <c r="J12" s="131"/>
    </row>
    <row r="13" spans="2:10" ht="45" x14ac:dyDescent="0.25">
      <c r="B13" s="256" t="s">
        <v>782</v>
      </c>
      <c r="C13" s="232" t="s">
        <v>777</v>
      </c>
      <c r="D13" s="262" t="s">
        <v>676</v>
      </c>
      <c r="E13" s="262" t="s">
        <v>677</v>
      </c>
      <c r="F13" s="263" t="s">
        <v>778</v>
      </c>
      <c r="G13" s="263" t="s">
        <v>779</v>
      </c>
      <c r="H13" s="262" t="s">
        <v>780</v>
      </c>
      <c r="J13" s="131"/>
    </row>
    <row r="14" spans="2:10" x14ac:dyDescent="0.25">
      <c r="B14" s="320" t="str">
        <f>'Capacity (national prices)'!B53</f>
        <v>Durvalumab neoadjuvent</v>
      </c>
      <c r="C14" s="126">
        <f>'Inputs and eligible population'!L80</f>
        <v>0</v>
      </c>
      <c r="D14" s="126">
        <f>'Inputs and eligible population'!M80</f>
        <v>302.26434251593406</v>
      </c>
      <c r="E14" s="126">
        <f>'Inputs and eligible population'!N80</f>
        <v>610.35743421936752</v>
      </c>
      <c r="F14" s="126">
        <f>'Inputs and eligible population'!O80</f>
        <v>684.71375898254257</v>
      </c>
      <c r="G14" s="126">
        <f>'Inputs and eligible population'!P80</f>
        <v>691.31563721455518</v>
      </c>
      <c r="H14" s="126">
        <f>'Inputs and eligible population'!Q80</f>
        <v>697.9811694853812</v>
      </c>
      <c r="J14" s="131"/>
    </row>
    <row r="15" spans="2:10" x14ac:dyDescent="0.25">
      <c r="B15" s="320" t="str">
        <f>'Capacity (national prices)'!B54</f>
        <v>Pembrolizumab neoadjuvent</v>
      </c>
      <c r="C15" s="126">
        <f>'Inputs and eligible population'!L81</f>
        <v>99.792599804999995</v>
      </c>
      <c r="D15" s="126">
        <f>'Inputs and eligible population'!M81</f>
        <v>403.01912335457882</v>
      </c>
      <c r="E15" s="126">
        <f>'Inputs and eligible population'!N81</f>
        <v>610.35743421936752</v>
      </c>
      <c r="F15" s="126">
        <f>'Inputs and eligible population'!O81</f>
        <v>684.71375898254257</v>
      </c>
      <c r="G15" s="126">
        <f>'Inputs and eligible population'!P81</f>
        <v>691.31563721455518</v>
      </c>
      <c r="H15" s="126">
        <f>'Inputs and eligible population'!Q81</f>
        <v>697.9811694853812</v>
      </c>
      <c r="J15" s="131"/>
    </row>
    <row r="16" spans="2:10" x14ac:dyDescent="0.25">
      <c r="B16" s="320" t="str">
        <f>'Capacity (national prices)'!B55</f>
        <v>Nivolumab neoadjuvent</v>
      </c>
      <c r="C16" s="126">
        <f>'Inputs and eligible population'!L82</f>
        <v>1896.0593962949997</v>
      </c>
      <c r="D16" s="126">
        <f>'Inputs and eligible population'!M82</f>
        <v>1309.8121509023811</v>
      </c>
      <c r="E16" s="126">
        <f>'Inputs and eligible population'!N82</f>
        <v>813.80991229249014</v>
      </c>
      <c r="F16" s="126">
        <f>'Inputs and eligible population'!O82</f>
        <v>684.71375898254257</v>
      </c>
      <c r="G16" s="126">
        <f>'Inputs and eligible population'!P82</f>
        <v>691.31563721455518</v>
      </c>
      <c r="H16" s="126">
        <f>'Inputs and eligible population'!Q82</f>
        <v>697.9811694853812</v>
      </c>
      <c r="J16" s="131"/>
    </row>
    <row r="17" spans="1:10" x14ac:dyDescent="0.25">
      <c r="B17" s="320" t="str">
        <f>'Capacity (national prices)'!B56</f>
        <v>Durvalumab adjuvent</v>
      </c>
      <c r="C17" s="126">
        <f>'Inputs and eligible population'!L92</f>
        <v>0</v>
      </c>
      <c r="D17" s="126">
        <f>'Inputs and eligible population'!M92</f>
        <v>199.49446606051652</v>
      </c>
      <c r="E17" s="126">
        <f>'Inputs and eligible population'!N92</f>
        <v>402.83590658478261</v>
      </c>
      <c r="F17" s="126">
        <f>'Inputs and eligible population'!O92</f>
        <v>451.9110809284781</v>
      </c>
      <c r="G17" s="126">
        <f>'Inputs and eligible population'!P92</f>
        <v>456.26832056160646</v>
      </c>
      <c r="H17" s="126">
        <f>'Inputs and eligible population'!Q92</f>
        <v>460.66757186035164</v>
      </c>
      <c r="J17" s="131"/>
    </row>
    <row r="18" spans="1:10" x14ac:dyDescent="0.25">
      <c r="B18" s="320" t="str">
        <f>'Capacity (national prices)'!B57</f>
        <v>Pembrolizumab adjuvent</v>
      </c>
      <c r="C18" s="126">
        <f>'Inputs and eligible population'!L93</f>
        <v>71.05233106115999</v>
      </c>
      <c r="D18" s="126">
        <f>'Inputs and eligible population'!M93</f>
        <v>286.94961582846008</v>
      </c>
      <c r="E18" s="126">
        <f>'Inputs and eligible population'!N93</f>
        <v>434.57449316418968</v>
      </c>
      <c r="F18" s="126">
        <f>'Inputs and eligible population'!O93</f>
        <v>487.51619639557032</v>
      </c>
      <c r="G18" s="126">
        <f>'Inputs and eligible population'!P93</f>
        <v>492.2167336967633</v>
      </c>
      <c r="H18" s="126">
        <f>'Inputs and eligible population'!Q93</f>
        <v>496.96259267359142</v>
      </c>
      <c r="J18" s="131"/>
    </row>
    <row r="19" spans="1:10" x14ac:dyDescent="0.25">
      <c r="B19" s="257"/>
      <c r="C19" s="177">
        <f t="shared" ref="C19:H19" si="1">SUM(C14:C18)</f>
        <v>2066.9043271611599</v>
      </c>
      <c r="D19" s="177">
        <f t="shared" si="1"/>
        <v>2501.5396986618707</v>
      </c>
      <c r="E19" s="177">
        <f t="shared" si="1"/>
        <v>2871.9351804801977</v>
      </c>
      <c r="F19" s="177">
        <f t="shared" si="1"/>
        <v>2993.568554271676</v>
      </c>
      <c r="G19" s="177">
        <f t="shared" si="1"/>
        <v>3022.4319659020352</v>
      </c>
      <c r="H19" s="177">
        <f t="shared" si="1"/>
        <v>3051.5736729900864</v>
      </c>
      <c r="J19" s="131"/>
    </row>
    <row r="20" spans="1:10" ht="15.75" thickBot="1" x14ac:dyDescent="0.3">
      <c r="B20" s="445"/>
      <c r="C20" s="445"/>
      <c r="D20" s="446"/>
      <c r="E20" s="446"/>
      <c r="F20" s="446"/>
      <c r="G20" s="446"/>
      <c r="H20" s="446"/>
      <c r="I20" s="447"/>
      <c r="J20" s="131"/>
    </row>
    <row r="21" spans="1:10" x14ac:dyDescent="0.25">
      <c r="B21" s="259"/>
      <c r="C21" s="259"/>
      <c r="D21" s="310"/>
      <c r="E21" s="310"/>
      <c r="F21" s="310"/>
      <c r="G21" s="310"/>
      <c r="H21" s="310"/>
      <c r="I21" s="131"/>
      <c r="J21" s="131"/>
    </row>
    <row r="22" spans="1:10" ht="45" x14ac:dyDescent="0.25">
      <c r="B22" s="252" t="s">
        <v>783</v>
      </c>
      <c r="C22" s="232" t="s">
        <v>777</v>
      </c>
      <c r="D22" s="262" t="s">
        <v>676</v>
      </c>
      <c r="E22" s="262" t="s">
        <v>677</v>
      </c>
      <c r="F22" s="263" t="s">
        <v>778</v>
      </c>
      <c r="G22" s="263" t="s">
        <v>779</v>
      </c>
      <c r="H22" s="262" t="s">
        <v>780</v>
      </c>
      <c r="I22" s="131"/>
      <c r="J22" s="131"/>
    </row>
    <row r="23" spans="1:10" x14ac:dyDescent="0.25">
      <c r="B23" s="283" t="s">
        <v>784</v>
      </c>
      <c r="C23" s="619" t="s">
        <v>785</v>
      </c>
      <c r="D23" s="619" t="s">
        <v>785</v>
      </c>
      <c r="E23" s="619" t="s">
        <v>785</v>
      </c>
      <c r="F23" s="619" t="s">
        <v>785</v>
      </c>
      <c r="G23" s="619" t="s">
        <v>785</v>
      </c>
      <c r="H23" s="619" t="s">
        <v>785</v>
      </c>
      <c r="I23" s="131"/>
      <c r="J23" s="131"/>
    </row>
    <row r="24" spans="1:10" x14ac:dyDescent="0.25">
      <c r="B24" s="258" t="s">
        <v>786</v>
      </c>
      <c r="C24" s="245">
        <f>'Financial impact (cash)'!D30</f>
        <v>1422.8090924973419</v>
      </c>
      <c r="D24" s="245">
        <f>'Financial impact (cash)'!E30</f>
        <v>1600.4050484826387</v>
      </c>
      <c r="E24" s="245">
        <f>'Financial impact (cash)'!F30</f>
        <v>1752.8387512128497</v>
      </c>
      <c r="F24" s="245">
        <f>'Financial impact (cash)'!G30</f>
        <v>1806.8621494417894</v>
      </c>
      <c r="G24" s="245">
        <f>'Financial impact (cash)'!H30</f>
        <v>1824.2835664005677</v>
      </c>
      <c r="H24" s="245">
        <f>'Financial impact (cash)'!I30</f>
        <v>1841.8729573074111</v>
      </c>
      <c r="I24" s="131"/>
      <c r="J24" s="131"/>
    </row>
    <row r="25" spans="1:10" x14ac:dyDescent="0.25">
      <c r="C25" s="77"/>
      <c r="D25" s="191">
        <f>D24-$C$24</f>
        <v>177.59595598529677</v>
      </c>
      <c r="E25" s="191">
        <f>E24-$C$24</f>
        <v>330.02965871550782</v>
      </c>
      <c r="F25" s="191">
        <f>F24-$C$24</f>
        <v>384.05305694444746</v>
      </c>
      <c r="G25" s="191">
        <f>G24-$C$24</f>
        <v>401.47447390322577</v>
      </c>
      <c r="H25" s="191">
        <f>H24-$C$24</f>
        <v>419.06386481006916</v>
      </c>
      <c r="I25" s="408" t="s">
        <v>787</v>
      </c>
      <c r="J25" s="131"/>
    </row>
    <row r="26" spans="1:10" x14ac:dyDescent="0.25">
      <c r="C26" s="87"/>
      <c r="D26" s="191">
        <f>D24-C24</f>
        <v>177.59595598529677</v>
      </c>
      <c r="E26" s="191">
        <f>E24-D24</f>
        <v>152.43370273021105</v>
      </c>
      <c r="F26" s="191">
        <f>F24-E24</f>
        <v>54.023398228939641</v>
      </c>
      <c r="G26" s="191">
        <f>G24-F24</f>
        <v>17.421416958778309</v>
      </c>
      <c r="H26" s="191">
        <f>H24-G24</f>
        <v>17.589390906843391</v>
      </c>
      <c r="I26" s="408" t="s">
        <v>788</v>
      </c>
      <c r="J26" s="131"/>
    </row>
    <row r="27" spans="1:10" x14ac:dyDescent="0.25">
      <c r="B27" s="259"/>
      <c r="C27" s="259"/>
      <c r="D27" s="371"/>
      <c r="E27" s="371"/>
      <c r="F27" s="371"/>
      <c r="G27" s="371"/>
      <c r="H27" s="371"/>
      <c r="J27" s="131"/>
    </row>
    <row r="28" spans="1:10" x14ac:dyDescent="0.25">
      <c r="B28" t="s">
        <v>789</v>
      </c>
      <c r="C28" s="259"/>
      <c r="D28" s="371"/>
      <c r="E28" s="371"/>
      <c r="F28" s="371"/>
      <c r="G28" s="371"/>
      <c r="H28" s="371"/>
      <c r="J28" s="131"/>
    </row>
    <row r="29" spans="1:10" x14ac:dyDescent="0.25">
      <c r="B29" s="567" t="s">
        <v>49</v>
      </c>
      <c r="C29" s="259"/>
      <c r="D29" s="371"/>
      <c r="E29" s="371"/>
      <c r="F29" s="371"/>
      <c r="G29" s="371"/>
      <c r="H29" s="371"/>
      <c r="J29" s="131"/>
    </row>
    <row r="30" spans="1:10" x14ac:dyDescent="0.25">
      <c r="B30" s="259"/>
      <c r="C30" s="259"/>
      <c r="D30" s="371"/>
      <c r="E30" s="371"/>
      <c r="F30" s="371"/>
      <c r="G30" s="371"/>
      <c r="H30" s="371"/>
      <c r="J30" s="131"/>
    </row>
    <row r="31" spans="1:10" ht="45" x14ac:dyDescent="0.25">
      <c r="A31" s="371"/>
      <c r="B31" s="252" t="s">
        <v>790</v>
      </c>
      <c r="C31" s="232" t="s">
        <v>777</v>
      </c>
      <c r="D31" s="262" t="s">
        <v>676</v>
      </c>
      <c r="E31" s="262" t="s">
        <v>677</v>
      </c>
      <c r="F31" s="263" t="s">
        <v>778</v>
      </c>
      <c r="G31" s="263" t="s">
        <v>779</v>
      </c>
      <c r="H31" s="262" t="s">
        <v>780</v>
      </c>
      <c r="J31" s="131"/>
    </row>
    <row r="32" spans="1:10" x14ac:dyDescent="0.25">
      <c r="A32" s="371"/>
      <c r="B32" s="283" t="s">
        <v>791</v>
      </c>
      <c r="C32" s="619" t="s">
        <v>785</v>
      </c>
      <c r="D32" s="619" t="s">
        <v>785</v>
      </c>
      <c r="E32" s="619" t="s">
        <v>785</v>
      </c>
      <c r="F32" s="619" t="s">
        <v>785</v>
      </c>
      <c r="G32" s="619" t="s">
        <v>785</v>
      </c>
      <c r="H32" s="619" t="s">
        <v>785</v>
      </c>
      <c r="J32" s="131"/>
    </row>
    <row r="33" spans="1:10" x14ac:dyDescent="0.25">
      <c r="A33" s="371"/>
      <c r="B33" s="258" t="s">
        <v>792</v>
      </c>
      <c r="C33" s="245">
        <f>IF($B$29="national prices",'Capacity (national prices)'!L20,IF($B$29="local prices",'Capacity (local prices)'!L22,0))</f>
        <v>3047.9299295126639</v>
      </c>
      <c r="D33" s="245">
        <f>IF($B$29="national prices",'Capacity (national prices)'!M20,IF($B$29="local prices",'Capacity (local prices)'!M22,0))</f>
        <v>3923.6167759620785</v>
      </c>
      <c r="E33" s="245">
        <f>IF($B$29="national prices",'Capacity (national prices)'!N20,IF($B$29="local prices",'Capacity (local prices)'!N22,0))</f>
        <v>4697.993274744701</v>
      </c>
      <c r="F33" s="245">
        <f>IF($B$29="national prices",'Capacity (national prices)'!O20,IF($B$29="local prices",'Capacity (local prices)'!O22,0))</f>
        <v>4935.0010165517133</v>
      </c>
      <c r="G33" s="245">
        <f>IF($B$29="national prices",'Capacity (national prices)'!P20,IF($B$29="local prices",'Capacity (local prices)'!P22,0))</f>
        <v>4982.5833461875973</v>
      </c>
      <c r="H33" s="245">
        <f>IF($B$29="national prices",'Capacity (national prices)'!Q20,IF($B$29="local prices",'Capacity (local prices)'!Q22,0))</f>
        <v>5030.6244554845161</v>
      </c>
      <c r="J33" s="131"/>
    </row>
    <row r="34" spans="1:10" x14ac:dyDescent="0.25">
      <c r="A34" s="371"/>
      <c r="C34" s="77"/>
      <c r="D34" s="191">
        <f>D33-$C$33</f>
        <v>875.68684644941459</v>
      </c>
      <c r="E34" s="191">
        <f>E33-$C$33</f>
        <v>1650.0633452320371</v>
      </c>
      <c r="F34" s="191">
        <f>F33-$C$33</f>
        <v>1887.0710870390494</v>
      </c>
      <c r="G34" s="191">
        <f>G33-$C$33</f>
        <v>1934.6534166749334</v>
      </c>
      <c r="H34" s="191">
        <f>H33-$C$33</f>
        <v>1982.6945259718523</v>
      </c>
      <c r="I34" s="408" t="s">
        <v>787</v>
      </c>
      <c r="J34" s="131"/>
    </row>
    <row r="35" spans="1:10" x14ac:dyDescent="0.25">
      <c r="A35" s="371"/>
      <c r="C35" s="87"/>
      <c r="D35" s="191">
        <f>D33-C33</f>
        <v>875.68684644941459</v>
      </c>
      <c r="E35" s="191">
        <f>E33-D33</f>
        <v>774.37649878262255</v>
      </c>
      <c r="F35" s="191">
        <f>F33-E33</f>
        <v>237.00774180701228</v>
      </c>
      <c r="G35" s="191">
        <f>G33-F33</f>
        <v>47.58232963588398</v>
      </c>
      <c r="H35" s="191">
        <f>H33-G33</f>
        <v>48.041109296918876</v>
      </c>
      <c r="I35" s="408" t="s">
        <v>788</v>
      </c>
      <c r="J35" s="131"/>
    </row>
    <row r="36" spans="1:10" x14ac:dyDescent="0.25">
      <c r="A36" s="371"/>
      <c r="B36" s="371"/>
      <c r="C36" s="371"/>
      <c r="D36" s="371"/>
      <c r="E36" s="371"/>
      <c r="F36" s="371"/>
      <c r="G36" s="371"/>
      <c r="H36" s="371"/>
      <c r="J36" s="131"/>
    </row>
    <row r="37" spans="1:10" ht="45" x14ac:dyDescent="0.25">
      <c r="A37" s="371"/>
      <c r="B37" s="252" t="s">
        <v>793</v>
      </c>
      <c r="C37" s="232" t="s">
        <v>777</v>
      </c>
      <c r="D37" s="262" t="s">
        <v>676</v>
      </c>
      <c r="E37" s="262" t="s">
        <v>677</v>
      </c>
      <c r="F37" s="263" t="s">
        <v>778</v>
      </c>
      <c r="G37" s="263" t="s">
        <v>779</v>
      </c>
      <c r="H37" s="262" t="s">
        <v>780</v>
      </c>
      <c r="J37" s="131"/>
    </row>
    <row r="38" spans="1:10" x14ac:dyDescent="0.25">
      <c r="B38" s="283"/>
      <c r="C38" s="619" t="s">
        <v>785</v>
      </c>
      <c r="D38" s="619" t="s">
        <v>785</v>
      </c>
      <c r="E38" s="619" t="s">
        <v>785</v>
      </c>
      <c r="F38" s="619" t="s">
        <v>785</v>
      </c>
      <c r="G38" s="619" t="s">
        <v>785</v>
      </c>
      <c r="H38" s="619" t="s">
        <v>785</v>
      </c>
      <c r="I38" s="131"/>
      <c r="J38" s="131"/>
    </row>
    <row r="39" spans="1:10" x14ac:dyDescent="0.25">
      <c r="B39" s="441" t="s">
        <v>794</v>
      </c>
      <c r="C39" s="461">
        <f>C24+C33</f>
        <v>4470.739022010006</v>
      </c>
      <c r="D39" s="461">
        <f t="shared" ref="D39:H39" si="2">D24+D33</f>
        <v>5524.0218244447169</v>
      </c>
      <c r="E39" s="461">
        <f t="shared" si="2"/>
        <v>6450.8320259575503</v>
      </c>
      <c r="F39" s="461">
        <f t="shared" si="2"/>
        <v>6741.8631659935027</v>
      </c>
      <c r="G39" s="461">
        <f t="shared" si="2"/>
        <v>6806.8669125881652</v>
      </c>
      <c r="H39" s="461">
        <f t="shared" si="2"/>
        <v>6872.4974127919268</v>
      </c>
      <c r="I39" s="131"/>
      <c r="J39" s="131"/>
    </row>
    <row r="40" spans="1:10" x14ac:dyDescent="0.25">
      <c r="B40" s="440"/>
      <c r="C40" s="442"/>
      <c r="D40" s="443">
        <f>D39-$C$39</f>
        <v>1053.2828024347109</v>
      </c>
      <c r="E40" s="443">
        <f t="shared" ref="E40:H40" si="3">E39-$C$39</f>
        <v>1980.0930039475443</v>
      </c>
      <c r="F40" s="443">
        <f t="shared" si="3"/>
        <v>2271.1241439834967</v>
      </c>
      <c r="G40" s="443">
        <f t="shared" si="3"/>
        <v>2336.1278905781592</v>
      </c>
      <c r="H40" s="443">
        <f t="shared" si="3"/>
        <v>2401.7583907819208</v>
      </c>
      <c r="I40" s="408" t="s">
        <v>787</v>
      </c>
      <c r="J40" s="131"/>
    </row>
    <row r="41" spans="1:10" x14ac:dyDescent="0.25">
      <c r="B41" s="440"/>
      <c r="C41" s="442"/>
      <c r="D41" s="444">
        <f>D39-C39</f>
        <v>1053.2828024347109</v>
      </c>
      <c r="E41" s="444">
        <f>E39-D39</f>
        <v>926.81020151283337</v>
      </c>
      <c r="F41" s="444">
        <f>F39-E39</f>
        <v>291.03114003595238</v>
      </c>
      <c r="G41" s="444">
        <f>G39-F39</f>
        <v>65.003746594662516</v>
      </c>
      <c r="H41" s="444">
        <f>H39-G39</f>
        <v>65.630500203761585</v>
      </c>
      <c r="I41" s="408" t="s">
        <v>788</v>
      </c>
      <c r="J41" s="131"/>
    </row>
    <row r="42" spans="1:10" ht="15.75" thickBot="1" x14ac:dyDescent="0.3">
      <c r="B42" s="445"/>
      <c r="C42" s="445"/>
      <c r="D42" s="446"/>
      <c r="E42" s="446"/>
      <c r="F42" s="446"/>
      <c r="G42" s="446"/>
      <c r="H42" s="446"/>
      <c r="I42" s="447"/>
      <c r="J42" s="131"/>
    </row>
    <row r="43" spans="1:10" x14ac:dyDescent="0.25">
      <c r="B43" s="259"/>
      <c r="C43" s="259"/>
      <c r="D43" s="310"/>
      <c r="E43" s="310"/>
      <c r="F43" s="310"/>
      <c r="G43" s="310"/>
      <c r="H43" s="310"/>
      <c r="I43" s="131"/>
      <c r="J43" s="131"/>
    </row>
    <row r="44" spans="1:10" ht="45" x14ac:dyDescent="0.25">
      <c r="B44" s="252" t="s">
        <v>1145</v>
      </c>
      <c r="C44" s="433"/>
      <c r="D44" s="262" t="s">
        <v>676</v>
      </c>
      <c r="E44" s="262" t="s">
        <v>677</v>
      </c>
      <c r="F44" s="263" t="s">
        <v>778</v>
      </c>
      <c r="G44" s="263" t="s">
        <v>779</v>
      </c>
      <c r="H44" s="262" t="s">
        <v>780</v>
      </c>
      <c r="I44" s="131"/>
      <c r="J44" s="131"/>
    </row>
    <row r="45" spans="1:10" x14ac:dyDescent="0.25">
      <c r="B45" s="436"/>
      <c r="C45" s="434"/>
      <c r="D45" s="435"/>
      <c r="E45" s="435"/>
      <c r="F45" s="435"/>
      <c r="G45" s="435"/>
      <c r="H45" s="435"/>
      <c r="I45" s="131"/>
      <c r="J45" s="131"/>
    </row>
    <row r="46" spans="1:10" x14ac:dyDescent="0.25">
      <c r="B46" s="252" t="s">
        <v>795</v>
      </c>
      <c r="C46" s="250"/>
      <c r="D46" s="246"/>
      <c r="E46" s="246"/>
      <c r="F46" s="246"/>
      <c r="G46" s="246"/>
      <c r="H46" s="247"/>
      <c r="I46" s="131"/>
      <c r="J46" s="131"/>
    </row>
    <row r="47" spans="1:10" x14ac:dyDescent="0.25">
      <c r="B47" s="566" t="s">
        <v>796</v>
      </c>
      <c r="C47" s="565"/>
      <c r="D47" s="1004">
        <f>'Capacity (local prices)'!E12-'Capacity (local prices)'!$D12</f>
        <v>19.243620672894167</v>
      </c>
      <c r="E47" s="1004">
        <f>'Capacity (local prices)'!F12-'Capacity (local prices)'!$D12</f>
        <v>38.672784631225568</v>
      </c>
      <c r="F47" s="1004">
        <f>'Capacity (local prices)'!G12-'Capacity (local prices)'!$D12</f>
        <v>58.289280847628106</v>
      </c>
      <c r="G47" s="1004">
        <f>'Capacity (local prices)'!H12-'Capacity (local prices)'!$D12</f>
        <v>78.094915543666048</v>
      </c>
      <c r="H47" s="1004">
        <f>'Capacity (local prices)'!I12-'Capacity (local prices)'!$D12</f>
        <v>98.091512356143994</v>
      </c>
      <c r="I47" s="131"/>
      <c r="J47" s="131"/>
    </row>
    <row r="48" spans="1:10" x14ac:dyDescent="0.25">
      <c r="B48" s="566" t="s">
        <v>797</v>
      </c>
      <c r="C48" s="565"/>
      <c r="D48" s="1004">
        <f>'Capacity (local prices)'!E13-'Capacity (local prices)'!$D13</f>
        <v>1303.9061145021333</v>
      </c>
      <c r="E48" s="1004">
        <f>'Capacity (local prices)'!F13-'Capacity (local prices)'!$D13</f>
        <v>2415.0925599571146</v>
      </c>
      <c r="F48" s="1004">
        <f>'Capacity (local prices)'!G13-'Capacity (local prices)'!$D13</f>
        <v>2779.9926813315487</v>
      </c>
      <c r="G48" s="1004">
        <f>'Capacity (local prices)'!H13-'Capacity (local prices)'!$D13</f>
        <v>2866.5829162226273</v>
      </c>
      <c r="H48" s="1004">
        <f>'Capacity (local prices)'!I13-'Capacity (local prices)'!$D13</f>
        <v>2954.0080374867812</v>
      </c>
      <c r="I48" s="131"/>
      <c r="J48" s="131"/>
    </row>
    <row r="49" spans="2:10" x14ac:dyDescent="0.25">
      <c r="B49" s="254" t="s">
        <v>800</v>
      </c>
      <c r="C49" s="255"/>
      <c r="D49" s="126">
        <f>'Capacity (local prices)'!E51</f>
        <v>3956.2892142555356</v>
      </c>
      <c r="E49" s="126">
        <f>'Capacity (local prices)'!F51</f>
        <v>7485.6878240749702</v>
      </c>
      <c r="F49" s="126">
        <f>'Capacity (local prices)'!G51</f>
        <v>8519.6387654394257</v>
      </c>
      <c r="G49" s="126">
        <f>'Capacity (local prices)'!H51</f>
        <v>8686.5500916524634</v>
      </c>
      <c r="H49" s="126">
        <f>'Capacity (local prices)'!I51</f>
        <v>8855.0707447363911</v>
      </c>
      <c r="I49" s="131"/>
      <c r="J49" s="131"/>
    </row>
    <row r="50" spans="2:10" x14ac:dyDescent="0.25">
      <c r="B50" s="254" t="s">
        <v>801</v>
      </c>
      <c r="C50" s="255"/>
      <c r="D50" s="126">
        <f>'Capacity (local prices)'!E61</f>
        <v>4123.2997776107122</v>
      </c>
      <c r="E50" s="126">
        <f>'Capacity (local prices)'!F61</f>
        <v>7866.117459345719</v>
      </c>
      <c r="F50" s="126">
        <f>'Capacity (local prices)'!G61</f>
        <v>8924.0185275129479</v>
      </c>
      <c r="G50" s="126">
        <f>'Capacity (local prices)'!H61</f>
        <v>9072.1382675263812</v>
      </c>
      <c r="H50" s="126">
        <f>'Capacity (local prices)'!I61</f>
        <v>9221.6861495546327</v>
      </c>
      <c r="I50" s="131"/>
      <c r="J50" s="131"/>
    </row>
    <row r="51" spans="2:10" x14ac:dyDescent="0.25">
      <c r="B51" s="961"/>
      <c r="C51" s="440"/>
      <c r="D51" s="1005"/>
      <c r="E51" s="1005"/>
      <c r="F51" s="1005"/>
      <c r="G51" s="1005"/>
      <c r="H51" s="1005"/>
      <c r="I51" s="131"/>
      <c r="J51" s="131"/>
    </row>
    <row r="52" spans="2:10" x14ac:dyDescent="0.25">
      <c r="B52" s="252" t="s">
        <v>1140</v>
      </c>
      <c r="C52" s="253"/>
      <c r="D52" s="246"/>
      <c r="E52" s="246"/>
      <c r="F52" s="246"/>
      <c r="G52" s="246"/>
      <c r="H52" s="247"/>
      <c r="I52" s="131"/>
      <c r="J52" s="131"/>
    </row>
    <row r="53" spans="2:10" x14ac:dyDescent="0.25">
      <c r="B53" s="254" t="s">
        <v>798</v>
      </c>
      <c r="C53" s="255"/>
      <c r="D53" s="126">
        <f>'Capacity (local prices)'!E14-'Capacity (local prices)'!$D$14</f>
        <v>9.6218103364473109</v>
      </c>
      <c r="E53" s="126">
        <f>'Capacity (local prices)'!F14-'Capacity (local prices)'!$D$14</f>
        <v>19.336392315612898</v>
      </c>
      <c r="F53" s="126">
        <f>'Capacity (local prices)'!G14-'Capacity (local prices)'!$D$14</f>
        <v>29.144640423814167</v>
      </c>
      <c r="G53" s="126">
        <f>'Capacity (local prices)'!H14-'Capacity (local prices)'!$D$14</f>
        <v>39.047457771833137</v>
      </c>
      <c r="H53" s="126">
        <f>'Capacity (local prices)'!I14-'Capacity (local prices)'!$D$14</f>
        <v>49.045756178071883</v>
      </c>
      <c r="I53" s="131"/>
      <c r="J53" s="131"/>
    </row>
    <row r="54" spans="2:10" x14ac:dyDescent="0.25">
      <c r="B54" s="254" t="s">
        <v>799</v>
      </c>
      <c r="C54" s="255"/>
      <c r="D54" s="126">
        <f>'Capacity (local prices)'!E15-'Capacity (local prices)'!$D$15</f>
        <v>434.63537150071124</v>
      </c>
      <c r="E54" s="126">
        <f>'Capacity (local prices)'!F15-'Capacity (local prices)'!$D$15</f>
        <v>805.03085331903867</v>
      </c>
      <c r="F54" s="126">
        <f>'Capacity (local prices)'!G15-'Capacity (local prices)'!$D$15</f>
        <v>926.66422711051655</v>
      </c>
      <c r="G54" s="126">
        <f>'Capacity (local prices)'!H15-'Capacity (local prices)'!$D$15</f>
        <v>955.52763874087623</v>
      </c>
      <c r="H54" s="126">
        <f>'Capacity (local prices)'!I15-'Capacity (local prices)'!$D$15</f>
        <v>984.66934582892736</v>
      </c>
      <c r="I54" s="131"/>
      <c r="J54" s="131"/>
    </row>
    <row r="55" spans="2:10" x14ac:dyDescent="0.25">
      <c r="I55" s="131"/>
      <c r="J55" s="131"/>
    </row>
    <row r="56" spans="2:10" x14ac:dyDescent="0.25">
      <c r="B56" s="252" t="s">
        <v>802</v>
      </c>
      <c r="C56" s="253"/>
      <c r="D56" s="246"/>
      <c r="E56" s="246"/>
      <c r="F56" s="246"/>
      <c r="G56" s="246"/>
      <c r="H56" s="247"/>
      <c r="I56" s="131"/>
      <c r="J56" s="131"/>
    </row>
    <row r="57" spans="2:10" x14ac:dyDescent="0.25">
      <c r="B57" s="254" t="s">
        <v>1141</v>
      </c>
      <c r="C57" s="255"/>
      <c r="D57" s="126">
        <f>'Capacity (local prices)'!E72</f>
        <v>3863.1453702003232</v>
      </c>
      <c r="E57" s="126">
        <f>'Capacity (local prices)'!F72</f>
        <v>7570.7890376202904</v>
      </c>
      <c r="F57" s="126">
        <f>'Capacity (local prices)'!G72</f>
        <v>8542.9032672924277</v>
      </c>
      <c r="G57" s="126">
        <f>'Capacity (local prices)'!H72</f>
        <v>8656.310331561941</v>
      </c>
      <c r="H57" s="126">
        <f>'Capacity (local prices)'!I72</f>
        <v>8770.810844910191</v>
      </c>
      <c r="I57" s="131"/>
      <c r="J57" s="131"/>
    </row>
    <row r="58" spans="2:10" x14ac:dyDescent="0.25">
      <c r="B58" s="254" t="s">
        <v>1142</v>
      </c>
      <c r="C58" s="255"/>
      <c r="D58" s="126">
        <f>'Capacity (local prices)'!E82</f>
        <v>2061.6498888053561</v>
      </c>
      <c r="E58" s="126">
        <f>'Capacity (local prices)'!F82</f>
        <v>3933.0587296728595</v>
      </c>
      <c r="F58" s="126">
        <f>'Capacity (local prices)'!G82</f>
        <v>4462.009263756474</v>
      </c>
      <c r="G58" s="126">
        <f>'Capacity (local prices)'!H82</f>
        <v>4536.0691337631906</v>
      </c>
      <c r="H58" s="126">
        <f>'Capacity (local prices)'!I82</f>
        <v>4610.8430747773164</v>
      </c>
      <c r="I58" s="131"/>
      <c r="J58" s="131"/>
    </row>
    <row r="59" spans="2:10" x14ac:dyDescent="0.25">
      <c r="B59" s="254" t="s">
        <v>1143</v>
      </c>
      <c r="C59" s="255"/>
      <c r="D59" s="126">
        <f>'Capacity (local prices)'!E92</f>
        <v>2061.6498888053561</v>
      </c>
      <c r="E59" s="126">
        <f>'Capacity (local prices)'!F92</f>
        <v>3933.0587296728595</v>
      </c>
      <c r="F59" s="126">
        <f>'Capacity (local prices)'!G92</f>
        <v>4462.009263756474</v>
      </c>
      <c r="G59" s="126">
        <f>'Capacity (local prices)'!H92</f>
        <v>4536.0691337631906</v>
      </c>
      <c r="H59" s="126">
        <f>'Capacity (local prices)'!I92</f>
        <v>4610.8430747773164</v>
      </c>
      <c r="I59" s="131"/>
      <c r="J59" s="131"/>
    </row>
    <row r="60" spans="2:10" x14ac:dyDescent="0.25">
      <c r="I60" s="131"/>
      <c r="J60" s="131"/>
    </row>
    <row r="61" spans="2:10" x14ac:dyDescent="0.25">
      <c r="B61" s="252" t="s">
        <v>804</v>
      </c>
      <c r="C61" s="253"/>
      <c r="D61" s="246"/>
      <c r="E61" s="246"/>
      <c r="F61" s="246"/>
      <c r="G61" s="246"/>
      <c r="H61" s="247"/>
      <c r="I61" s="131"/>
      <c r="J61" s="131"/>
    </row>
    <row r="62" spans="2:10" x14ac:dyDescent="0.25">
      <c r="B62" s="317" t="s">
        <v>1144</v>
      </c>
      <c r="C62" s="260"/>
      <c r="D62" s="448">
        <f>'Capacity (local prices)'!E103</f>
        <v>1030.8249444026781</v>
      </c>
      <c r="E62" s="126">
        <f>'Capacity (local prices)'!F103</f>
        <v>1966.5293648364297</v>
      </c>
      <c r="F62" s="126">
        <f>'Capacity (local prices)'!G103</f>
        <v>2231.004631878237</v>
      </c>
      <c r="G62" s="126">
        <f>'Capacity (local prices)'!H103</f>
        <v>2268.0345668815953</v>
      </c>
      <c r="H62" s="126">
        <f>'Capacity (local prices)'!I103</f>
        <v>2305.4215373886582</v>
      </c>
      <c r="I62" s="131"/>
      <c r="J62" s="131"/>
    </row>
    <row r="63" spans="2:10" x14ac:dyDescent="0.25">
      <c r="I63" s="131"/>
      <c r="J63" s="131"/>
    </row>
    <row r="65" spans="4:14" x14ac:dyDescent="0.25">
      <c r="D65" s="1059"/>
      <c r="E65" s="1060"/>
      <c r="F65" s="1060"/>
      <c r="G65" s="1060"/>
      <c r="H65" s="1060"/>
      <c r="I65" s="1060"/>
      <c r="J65" s="1060"/>
      <c r="K65" s="1060"/>
      <c r="L65" s="1060"/>
      <c r="M65" s="1060"/>
      <c r="N65" s="1060"/>
    </row>
    <row r="66" spans="4:14" x14ac:dyDescent="0.25">
      <c r="D66" s="1060"/>
      <c r="E66" s="1060"/>
      <c r="F66" s="1060"/>
      <c r="G66" s="1060"/>
      <c r="H66" s="1060"/>
      <c r="I66" s="1060"/>
      <c r="J66" s="1060"/>
      <c r="K66" s="1060"/>
      <c r="L66" s="1060"/>
      <c r="M66" s="1060"/>
      <c r="N66" s="1060"/>
    </row>
    <row r="67" spans="4:14" x14ac:dyDescent="0.25">
      <c r="D67" s="1059"/>
      <c r="E67" s="1060"/>
      <c r="F67" s="1060"/>
      <c r="G67" s="1060"/>
      <c r="H67" s="1060"/>
      <c r="I67" s="1060"/>
      <c r="J67" s="1060"/>
      <c r="K67" s="1060"/>
      <c r="L67" s="1060"/>
      <c r="M67" s="1060"/>
      <c r="N67" s="1060"/>
    </row>
  </sheetData>
  <sheetProtection algorithmName="SHA-512" hashValue="sJ88yvJFRZ+/QgStwXMW8sPKyLKCr+rjfNjde0R+TFdzQC/KJuD2bvDurR6p0lTBhXISYY+/hl8cqZ5g+GiSig==" saltValue="SRRwwcrGHNwDSH0naKBHOg==" spinCount="100000" sheet="1" objects="1" scenarios="1"/>
  <protectedRanges>
    <protectedRange sqref="B29" name="Range1"/>
  </protectedRanges>
  <mergeCells count="2">
    <mergeCell ref="D65:N66"/>
    <mergeCell ref="D67:N67"/>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7"/>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89" t="str">
        <f>'Inputs and eligible population'!B1</f>
        <v>Durvalumab with chemotherapy before surgery (neoadjuvant) then alone after surgery (adjuvant) for treating resectable non-small-cell lung cancer</v>
      </c>
      <c r="C1" s="125"/>
      <c r="D1" s="125"/>
      <c r="E1" s="125"/>
      <c r="F1" s="125"/>
      <c r="G1" s="125"/>
      <c r="H1" s="125"/>
      <c r="I1" s="125"/>
      <c r="J1" s="125"/>
      <c r="K1" s="125"/>
      <c r="L1" s="125"/>
      <c r="M1" s="125"/>
      <c r="N1" s="125"/>
      <c r="O1" s="125"/>
      <c r="P1" s="125"/>
      <c r="Q1" s="125"/>
      <c r="R1" s="125"/>
      <c r="S1" s="125"/>
      <c r="T1" s="125"/>
    </row>
    <row r="2" spans="2:34" ht="38.1" customHeight="1" x14ac:dyDescent="0.25">
      <c r="B2" s="349" t="s">
        <v>806</v>
      </c>
      <c r="C2" s="125" t="s">
        <v>745</v>
      </c>
      <c r="D2" s="125" t="s">
        <v>745</v>
      </c>
      <c r="E2" s="125" t="s">
        <v>745</v>
      </c>
      <c r="F2" s="125" t="s">
        <v>745</v>
      </c>
      <c r="G2" s="125" t="s">
        <v>745</v>
      </c>
      <c r="H2" s="125"/>
      <c r="I2" s="125" t="s">
        <v>745</v>
      </c>
      <c r="J2" s="125" t="s">
        <v>745</v>
      </c>
      <c r="K2" s="131"/>
      <c r="L2" s="125"/>
      <c r="M2" s="125"/>
      <c r="N2" s="125"/>
      <c r="O2" s="125"/>
      <c r="P2" s="125"/>
      <c r="Q2" s="125"/>
      <c r="R2" s="125"/>
      <c r="S2" s="125"/>
      <c r="T2" s="125"/>
    </row>
    <row r="3" spans="2:34" x14ac:dyDescent="0.25">
      <c r="B3" s="128" t="s">
        <v>745</v>
      </c>
      <c r="C3" s="131" t="s">
        <v>745</v>
      </c>
      <c r="D3" s="131" t="s">
        <v>745</v>
      </c>
      <c r="E3" s="131" t="s">
        <v>745</v>
      </c>
      <c r="F3" s="131" t="s">
        <v>745</v>
      </c>
      <c r="G3" s="131" t="s">
        <v>745</v>
      </c>
      <c r="H3" s="131" t="s">
        <v>745</v>
      </c>
      <c r="I3" s="131" t="s">
        <v>745</v>
      </c>
      <c r="J3" s="131" t="s">
        <v>745</v>
      </c>
      <c r="K3" s="131"/>
      <c r="L3" s="131"/>
      <c r="M3" s="131"/>
      <c r="N3" s="131"/>
      <c r="O3" s="131"/>
      <c r="P3" s="131"/>
      <c r="Q3" s="131"/>
      <c r="R3" s="131"/>
      <c r="S3" s="131"/>
      <c r="T3" s="131"/>
    </row>
    <row r="4" spans="2:34" s="236" customFormat="1" x14ac:dyDescent="0.25">
      <c r="B4" s="241" t="s">
        <v>807</v>
      </c>
      <c r="F4" s="131"/>
      <c r="G4" s="131"/>
      <c r="H4" s="131"/>
      <c r="I4" s="131"/>
      <c r="J4" s="131" t="s">
        <v>745</v>
      </c>
      <c r="K4" s="131"/>
      <c r="L4" s="131"/>
      <c r="M4" s="131"/>
      <c r="N4" s="131"/>
      <c r="O4" s="131"/>
      <c r="P4" s="131"/>
      <c r="Q4" s="131"/>
      <c r="R4" s="131"/>
      <c r="S4" s="131"/>
      <c r="T4" s="131"/>
    </row>
    <row r="5" spans="2:34" s="236" customFormat="1" x14ac:dyDescent="0.25">
      <c r="B5" s="241" t="s">
        <v>808</v>
      </c>
      <c r="F5" s="131"/>
      <c r="G5" s="131"/>
      <c r="H5" s="131"/>
      <c r="I5" s="131"/>
      <c r="J5" s="131"/>
      <c r="K5" s="131"/>
      <c r="L5" s="131"/>
      <c r="M5" s="131"/>
      <c r="N5" s="131"/>
      <c r="O5" s="131"/>
      <c r="P5" s="131"/>
      <c r="Q5" s="131"/>
      <c r="R5" s="131"/>
      <c r="S5" s="131"/>
      <c r="T5" s="131"/>
    </row>
    <row r="6" spans="2:34" s="236" customFormat="1" x14ac:dyDescent="0.25">
      <c r="B6" s="241"/>
      <c r="C6" s="131" t="s">
        <v>745</v>
      </c>
      <c r="D6" s="131" t="s">
        <v>745</v>
      </c>
      <c r="E6" s="131"/>
      <c r="F6" s="131"/>
      <c r="G6" s="131"/>
      <c r="H6" s="131"/>
      <c r="I6" s="131" t="s">
        <v>745</v>
      </c>
      <c r="J6" s="131" t="s">
        <v>745</v>
      </c>
      <c r="K6" s="131"/>
      <c r="L6" s="131"/>
      <c r="M6" s="131"/>
      <c r="N6" s="131"/>
      <c r="O6" s="131"/>
      <c r="P6" s="131"/>
      <c r="Q6" s="131"/>
      <c r="R6" s="131"/>
      <c r="S6" s="131"/>
      <c r="T6" s="131"/>
    </row>
    <row r="7" spans="2:34" s="236" customFormat="1" ht="45" x14ac:dyDescent="0.25">
      <c r="B7" s="249" t="s">
        <v>781</v>
      </c>
      <c r="C7" s="261"/>
      <c r="D7" s="384" t="s">
        <v>809</v>
      </c>
      <c r="E7" s="262" t="s">
        <v>676</v>
      </c>
      <c r="F7" s="262" t="s">
        <v>677</v>
      </c>
      <c r="G7" s="263" t="s">
        <v>778</v>
      </c>
      <c r="H7" s="263" t="s">
        <v>779</v>
      </c>
      <c r="I7" s="262" t="s">
        <v>780</v>
      </c>
      <c r="K7" s="131"/>
      <c r="L7" s="131"/>
      <c r="N7" s="131"/>
      <c r="O7" s="131"/>
      <c r="P7" s="131"/>
      <c r="Q7" s="131"/>
      <c r="R7" s="131"/>
      <c r="S7" s="131"/>
      <c r="T7" s="131"/>
    </row>
    <row r="8" spans="2:34" s="145" customFormat="1" x14ac:dyDescent="0.25">
      <c r="B8" s="219" t="s">
        <v>781</v>
      </c>
      <c r="C8" s="178"/>
      <c r="D8" s="177">
        <f>'Inputs and eligible population'!F44</f>
        <v>1995.8519960999997</v>
      </c>
      <c r="E8" s="177">
        <f>'Inputs and eligible population'!G44</f>
        <v>2015.0956167728939</v>
      </c>
      <c r="F8" s="177">
        <f>'Inputs and eligible population'!H44</f>
        <v>2034.5247807312253</v>
      </c>
      <c r="G8" s="177">
        <f>'Inputs and eligible population'!I44</f>
        <v>2054.1412769476278</v>
      </c>
      <c r="H8" s="177">
        <f>'Inputs and eligible population'!J44</f>
        <v>2073.9469116436658</v>
      </c>
      <c r="I8" s="177">
        <f>'Inputs and eligible population'!K44</f>
        <v>2093.9435084561437</v>
      </c>
      <c r="K8" s="131"/>
      <c r="L8" s="131"/>
    </row>
    <row r="9" spans="2:34" s="236" customFormat="1" x14ac:dyDescent="0.25">
      <c r="B9" s="238" t="s">
        <v>745</v>
      </c>
      <c r="C9" s="131" t="s">
        <v>745</v>
      </c>
      <c r="D9" s="131" t="s">
        <v>745</v>
      </c>
      <c r="E9" s="131" t="s">
        <v>745</v>
      </c>
      <c r="F9" s="131" t="s">
        <v>745</v>
      </c>
      <c r="G9" s="131" t="s">
        <v>745</v>
      </c>
      <c r="H9" s="131"/>
      <c r="I9" s="131"/>
      <c r="K9" s="131"/>
      <c r="L9" s="131"/>
      <c r="N9" s="131"/>
      <c r="O9" s="131"/>
      <c r="P9" s="131"/>
      <c r="Q9" s="131"/>
      <c r="R9" s="131"/>
      <c r="S9" s="131"/>
      <c r="T9" s="131"/>
      <c r="AD9" s="264"/>
      <c r="AE9" s="264"/>
      <c r="AF9" s="264"/>
      <c r="AG9" s="264"/>
      <c r="AH9" s="264"/>
    </row>
    <row r="10" spans="2:34" s="236" customFormat="1" x14ac:dyDescent="0.25">
      <c r="B10" s="313" t="s">
        <v>784</v>
      </c>
      <c r="C10" s="314"/>
      <c r="D10" s="315"/>
      <c r="E10" s="315"/>
      <c r="F10" s="315"/>
      <c r="G10" s="315"/>
      <c r="H10" s="315"/>
      <c r="I10" s="316"/>
      <c r="K10" s="131"/>
      <c r="L10" s="131"/>
      <c r="N10" s="131"/>
      <c r="O10" s="131"/>
      <c r="P10" s="131"/>
      <c r="Q10" s="131"/>
      <c r="R10" s="131"/>
      <c r="S10" s="131"/>
      <c r="T10" s="131"/>
    </row>
    <row r="11" spans="2:34" s="236" customFormat="1" x14ac:dyDescent="0.25">
      <c r="B11" s="238"/>
      <c r="C11" s="131"/>
      <c r="D11" s="131"/>
      <c r="E11" s="131"/>
      <c r="F11" s="131"/>
      <c r="G11" s="131"/>
      <c r="H11" s="131"/>
      <c r="I11" s="131"/>
      <c r="N11" s="131"/>
      <c r="O11" s="131"/>
      <c r="P11" s="131"/>
      <c r="Q11" s="131"/>
      <c r="R11" s="131"/>
      <c r="S11" s="131"/>
      <c r="T11" s="131"/>
      <c r="AD11" s="264"/>
      <c r="AE11" s="264"/>
      <c r="AF11" s="264"/>
      <c r="AG11" s="264"/>
      <c r="AH11" s="264"/>
    </row>
    <row r="12" spans="2:34" s="236" customFormat="1" x14ac:dyDescent="0.25">
      <c r="B12" s="270" t="s">
        <v>810</v>
      </c>
      <c r="C12" s="265"/>
      <c r="D12" s="179"/>
      <c r="E12" s="179"/>
      <c r="F12" s="179"/>
      <c r="G12" s="179"/>
      <c r="H12" s="179"/>
      <c r="I12" s="180"/>
      <c r="N12" s="131"/>
      <c r="O12" s="131"/>
      <c r="P12" s="131"/>
      <c r="Q12" s="131"/>
      <c r="R12" s="131"/>
      <c r="S12" s="131"/>
      <c r="T12" s="131"/>
    </row>
    <row r="13" spans="2:34" s="236" customFormat="1" x14ac:dyDescent="0.25">
      <c r="B13" s="343" t="s">
        <v>1123</v>
      </c>
      <c r="C13" s="947"/>
      <c r="D13" s="948"/>
      <c r="E13" s="948"/>
      <c r="F13" s="948"/>
      <c r="G13" s="948"/>
      <c r="H13" s="948"/>
      <c r="I13" s="949"/>
      <c r="N13" s="131"/>
      <c r="O13" s="131"/>
      <c r="P13" s="131"/>
      <c r="Q13" s="131"/>
      <c r="R13" s="131"/>
      <c r="S13" s="131"/>
      <c r="T13" s="131"/>
    </row>
    <row r="14" spans="2:34" s="236" customFormat="1" x14ac:dyDescent="0.25">
      <c r="B14" s="322" t="s">
        <v>1043</v>
      </c>
      <c r="C14" s="323"/>
      <c r="D14" s="266">
        <f>'Inputs and eligible population'!L80</f>
        <v>0</v>
      </c>
      <c r="E14" s="266">
        <f>'Inputs and eligible population'!M80</f>
        <v>302.26434251593406</v>
      </c>
      <c r="F14" s="266">
        <f>'Inputs and eligible population'!N80</f>
        <v>610.35743421936752</v>
      </c>
      <c r="G14" s="266">
        <f>'Inputs and eligible population'!O80</f>
        <v>684.71375898254257</v>
      </c>
      <c r="H14" s="266">
        <f>'Inputs and eligible population'!P80</f>
        <v>691.31563721455518</v>
      </c>
      <c r="I14" s="266">
        <f>'Inputs and eligible population'!Q80</f>
        <v>697.9811694853812</v>
      </c>
      <c r="N14" s="131"/>
      <c r="O14" s="131"/>
      <c r="P14" s="131"/>
      <c r="Q14" s="131"/>
      <c r="R14" s="131"/>
      <c r="S14" s="131"/>
      <c r="T14" s="131"/>
      <c r="V14" s="264"/>
      <c r="W14" s="264"/>
      <c r="X14" s="264"/>
      <c r="Y14" s="264"/>
      <c r="Z14" s="264"/>
      <c r="AA14" s="264"/>
      <c r="AC14" s="264"/>
      <c r="AD14" s="264"/>
      <c r="AE14" s="264"/>
      <c r="AF14" s="264"/>
      <c r="AG14" s="264"/>
      <c r="AH14" s="264"/>
    </row>
    <row r="15" spans="2:34" s="236" customFormat="1" x14ac:dyDescent="0.25">
      <c r="B15" s="322" t="s">
        <v>1044</v>
      </c>
      <c r="C15" s="323"/>
      <c r="D15" s="266">
        <f>'Inputs and eligible population'!L81</f>
        <v>99.792599804999995</v>
      </c>
      <c r="E15" s="266">
        <f>'Inputs and eligible population'!M81</f>
        <v>403.01912335457882</v>
      </c>
      <c r="F15" s="266">
        <f>'Inputs and eligible population'!N81</f>
        <v>610.35743421936752</v>
      </c>
      <c r="G15" s="266">
        <f>'Inputs and eligible population'!O81</f>
        <v>684.71375898254257</v>
      </c>
      <c r="H15" s="266">
        <f>'Inputs and eligible population'!P81</f>
        <v>691.31563721455518</v>
      </c>
      <c r="I15" s="266">
        <f>'Inputs and eligible population'!Q81</f>
        <v>697.9811694853812</v>
      </c>
      <c r="N15" s="131"/>
      <c r="O15" s="131"/>
      <c r="P15" s="131"/>
      <c r="Q15" s="131"/>
      <c r="R15" s="131"/>
      <c r="S15" s="131"/>
      <c r="T15" s="131"/>
      <c r="V15" s="264"/>
      <c r="W15" s="264"/>
      <c r="X15" s="264"/>
      <c r="Y15" s="264"/>
      <c r="Z15" s="264"/>
      <c r="AA15" s="264"/>
      <c r="AC15" s="264"/>
      <c r="AD15" s="264"/>
      <c r="AE15" s="264"/>
      <c r="AF15" s="264"/>
      <c r="AG15" s="264"/>
      <c r="AH15" s="264"/>
    </row>
    <row r="16" spans="2:34" s="236" customFormat="1" x14ac:dyDescent="0.25">
      <c r="B16" s="322" t="s">
        <v>1045</v>
      </c>
      <c r="C16" s="323"/>
      <c r="D16" s="266">
        <f>'Inputs and eligible population'!L82</f>
        <v>1896.0593962949997</v>
      </c>
      <c r="E16" s="266">
        <f>'Inputs and eligible population'!M82</f>
        <v>1309.8121509023811</v>
      </c>
      <c r="F16" s="266">
        <f>'Inputs and eligible population'!N82</f>
        <v>813.80991229249014</v>
      </c>
      <c r="G16" s="266">
        <f>'Inputs and eligible population'!O82</f>
        <v>684.71375898254257</v>
      </c>
      <c r="H16" s="266">
        <f>'Inputs and eligible population'!P82</f>
        <v>691.31563721455518</v>
      </c>
      <c r="I16" s="266">
        <f>'Inputs and eligible population'!Q82</f>
        <v>697.9811694853812</v>
      </c>
      <c r="N16" s="131"/>
      <c r="O16" s="131"/>
      <c r="P16" s="131"/>
      <c r="Q16" s="131"/>
      <c r="R16" s="131"/>
      <c r="S16" s="131"/>
      <c r="T16" s="131"/>
      <c r="V16" s="264"/>
      <c r="W16" s="264"/>
      <c r="X16" s="264"/>
      <c r="Y16" s="264"/>
      <c r="Z16" s="264"/>
      <c r="AA16" s="264"/>
      <c r="AC16" s="264"/>
      <c r="AD16" s="264"/>
      <c r="AE16" s="264"/>
      <c r="AF16" s="264"/>
      <c r="AG16" s="264"/>
      <c r="AH16" s="264"/>
    </row>
    <row r="17" spans="2:34" s="236" customFormat="1" x14ac:dyDescent="0.25">
      <c r="B17" s="322"/>
      <c r="C17" s="323"/>
      <c r="D17" s="177">
        <f t="shared" ref="D17:I17" si="0">SUM(D14:D16)</f>
        <v>1995.8519960999997</v>
      </c>
      <c r="E17" s="177">
        <f t="shared" si="0"/>
        <v>2015.0956167728939</v>
      </c>
      <c r="F17" s="177">
        <f t="shared" si="0"/>
        <v>2034.5247807312253</v>
      </c>
      <c r="G17" s="177">
        <f t="shared" si="0"/>
        <v>2054.1412769476278</v>
      </c>
      <c r="H17" s="177">
        <f t="shared" si="0"/>
        <v>2073.9469116436658</v>
      </c>
      <c r="I17" s="177">
        <f t="shared" si="0"/>
        <v>2093.9435084561437</v>
      </c>
      <c r="N17" s="131"/>
      <c r="O17" s="131"/>
      <c r="P17" s="131"/>
      <c r="Q17" s="131"/>
      <c r="R17" s="131"/>
      <c r="S17" s="131"/>
      <c r="T17" s="131"/>
      <c r="V17" s="264"/>
      <c r="W17" s="264"/>
      <c r="X17" s="264"/>
      <c r="Y17" s="264"/>
      <c r="Z17" s="264"/>
      <c r="AA17" s="264"/>
      <c r="AC17" s="264"/>
      <c r="AD17" s="264"/>
      <c r="AE17" s="264"/>
      <c r="AF17" s="264"/>
      <c r="AG17" s="264"/>
      <c r="AH17" s="264"/>
    </row>
    <row r="18" spans="2:34" s="236" customFormat="1" x14ac:dyDescent="0.25">
      <c r="B18" s="343" t="s">
        <v>1124</v>
      </c>
      <c r="C18" s="947"/>
      <c r="D18" s="948"/>
      <c r="E18" s="948"/>
      <c r="F18" s="948"/>
      <c r="G18" s="948"/>
      <c r="H18" s="948"/>
      <c r="I18" s="949"/>
      <c r="N18" s="131"/>
      <c r="O18" s="131"/>
      <c r="P18" s="131"/>
      <c r="Q18" s="131"/>
      <c r="R18" s="131"/>
      <c r="S18" s="131"/>
      <c r="T18" s="131"/>
      <c r="V18" s="264"/>
      <c r="W18" s="264"/>
      <c r="X18" s="264"/>
      <c r="Y18" s="264"/>
      <c r="Z18" s="264"/>
      <c r="AA18" s="264"/>
      <c r="AC18" s="264"/>
      <c r="AD18" s="264"/>
      <c r="AE18" s="264"/>
      <c r="AF18" s="264"/>
      <c r="AG18" s="264"/>
      <c r="AH18" s="264"/>
    </row>
    <row r="19" spans="2:34" s="236" customFormat="1" x14ac:dyDescent="0.25">
      <c r="B19" s="322" t="s">
        <v>1046</v>
      </c>
      <c r="C19" s="323"/>
      <c r="D19" s="266">
        <f>'Inputs and eligible population'!L92</f>
        <v>0</v>
      </c>
      <c r="E19" s="266">
        <f>'Inputs and eligible population'!M92</f>
        <v>199.49446606051652</v>
      </c>
      <c r="F19" s="266">
        <f>'Inputs and eligible population'!N92</f>
        <v>402.83590658478261</v>
      </c>
      <c r="G19" s="266">
        <f>'Inputs and eligible population'!O92</f>
        <v>451.9110809284781</v>
      </c>
      <c r="H19" s="266">
        <f>'Inputs and eligible population'!P92</f>
        <v>456.26832056160646</v>
      </c>
      <c r="I19" s="266">
        <f>'Inputs and eligible population'!Q92</f>
        <v>460.66757186035164</v>
      </c>
      <c r="N19" s="131"/>
      <c r="O19" s="131"/>
      <c r="P19" s="131"/>
      <c r="Q19" s="131"/>
      <c r="R19" s="131"/>
      <c r="S19" s="131"/>
      <c r="T19" s="131"/>
      <c r="V19" s="264"/>
      <c r="W19" s="264"/>
      <c r="X19" s="264"/>
      <c r="Y19" s="264"/>
      <c r="Z19" s="264"/>
      <c r="AA19" s="264"/>
      <c r="AC19" s="264"/>
      <c r="AD19" s="264"/>
      <c r="AE19" s="264"/>
      <c r="AF19" s="264"/>
      <c r="AG19" s="264"/>
      <c r="AH19" s="264"/>
    </row>
    <row r="20" spans="2:34" s="236" customFormat="1" x14ac:dyDescent="0.25">
      <c r="B20" s="322" t="s">
        <v>1020</v>
      </c>
      <c r="C20" s="324"/>
      <c r="D20" s="266">
        <f>'Inputs and eligible population'!L93</f>
        <v>71.05233106115999</v>
      </c>
      <c r="E20" s="266">
        <f>'Inputs and eligible population'!M93</f>
        <v>286.94961582846008</v>
      </c>
      <c r="F20" s="266">
        <f>'Inputs and eligible population'!N93</f>
        <v>434.57449316418968</v>
      </c>
      <c r="G20" s="266">
        <f>'Inputs and eligible population'!O93</f>
        <v>487.51619639557032</v>
      </c>
      <c r="H20" s="266">
        <f>'Inputs and eligible population'!P93</f>
        <v>492.2167336967633</v>
      </c>
      <c r="I20" s="266">
        <f>'Inputs and eligible population'!Q93</f>
        <v>496.96259267359142</v>
      </c>
      <c r="N20" s="131"/>
      <c r="O20" s="131"/>
      <c r="P20" s="131"/>
      <c r="Q20" s="131"/>
      <c r="R20" s="131"/>
      <c r="S20" s="131"/>
      <c r="T20" s="131"/>
      <c r="V20" s="264"/>
      <c r="W20" s="264"/>
      <c r="X20" s="264"/>
      <c r="Y20" s="264"/>
      <c r="Z20" s="264"/>
      <c r="AA20" s="264"/>
      <c r="AC20" s="264"/>
      <c r="AD20" s="264"/>
      <c r="AE20" s="264"/>
      <c r="AF20" s="264"/>
      <c r="AG20" s="264"/>
      <c r="AH20" s="264"/>
    </row>
    <row r="21" spans="2:34" s="236" customFormat="1" x14ac:dyDescent="0.25">
      <c r="B21" s="322"/>
      <c r="C21" s="946"/>
      <c r="D21" s="177">
        <f>SUM(D19:D20)</f>
        <v>71.05233106115999</v>
      </c>
      <c r="E21" s="177">
        <f t="shared" ref="E21:I21" si="1">SUM(E19:E20)</f>
        <v>486.4440818889766</v>
      </c>
      <c r="F21" s="177">
        <f t="shared" si="1"/>
        <v>837.41039974897228</v>
      </c>
      <c r="G21" s="177">
        <f t="shared" si="1"/>
        <v>939.42727732404842</v>
      </c>
      <c r="H21" s="177">
        <f t="shared" si="1"/>
        <v>948.4850542583697</v>
      </c>
      <c r="I21" s="177">
        <f t="shared" si="1"/>
        <v>957.63016453394312</v>
      </c>
      <c r="N21" s="131"/>
      <c r="O21" s="131"/>
      <c r="P21" s="131"/>
      <c r="Q21" s="131"/>
      <c r="R21" s="131"/>
      <c r="S21" s="131"/>
      <c r="T21" s="131"/>
      <c r="V21" s="264"/>
      <c r="W21" s="264"/>
      <c r="X21" s="264"/>
      <c r="Y21" s="264"/>
      <c r="Z21" s="264"/>
      <c r="AA21" s="264"/>
      <c r="AC21" s="264"/>
      <c r="AD21" s="264"/>
      <c r="AE21" s="264"/>
      <c r="AF21" s="264"/>
      <c r="AG21" s="264"/>
      <c r="AH21" s="264"/>
    </row>
    <row r="22" spans="2:34" s="236" customFormat="1" x14ac:dyDescent="0.25">
      <c r="B22" s="270" t="s">
        <v>1125</v>
      </c>
      <c r="C22" s="181"/>
      <c r="D22" s="182">
        <f>D17+D21</f>
        <v>2066.9043271611599</v>
      </c>
      <c r="E22" s="182">
        <f t="shared" ref="E22:I22" si="2">E17+E21</f>
        <v>2501.5396986618707</v>
      </c>
      <c r="F22" s="182">
        <f t="shared" si="2"/>
        <v>2871.9351804801977</v>
      </c>
      <c r="G22" s="182">
        <f t="shared" si="2"/>
        <v>2993.5685542716765</v>
      </c>
      <c r="H22" s="182">
        <f t="shared" si="2"/>
        <v>3022.4319659020357</v>
      </c>
      <c r="I22" s="182">
        <f t="shared" si="2"/>
        <v>3051.5736729900868</v>
      </c>
      <c r="N22" s="131"/>
      <c r="O22" s="131"/>
      <c r="P22" s="131"/>
      <c r="Q22" s="131"/>
      <c r="R22" s="131"/>
      <c r="S22" s="131"/>
      <c r="T22" s="131"/>
      <c r="V22" s="264"/>
      <c r="W22" s="264"/>
      <c r="X22" s="264"/>
      <c r="Y22" s="264"/>
      <c r="Z22" s="264"/>
      <c r="AA22" s="264"/>
      <c r="AC22" s="264"/>
      <c r="AD22" s="264"/>
      <c r="AE22" s="264"/>
      <c r="AF22" s="264"/>
      <c r="AG22" s="264"/>
      <c r="AH22" s="264"/>
    </row>
    <row r="23" spans="2:34" s="236" customFormat="1" x14ac:dyDescent="0.25">
      <c r="B23" s="272"/>
      <c r="C23" s="131"/>
      <c r="D23" s="131"/>
      <c r="E23" s="131"/>
      <c r="F23" s="131"/>
      <c r="G23" s="131"/>
      <c r="H23" s="131"/>
      <c r="I23" s="131"/>
      <c r="N23" s="131"/>
      <c r="O23" s="131"/>
      <c r="P23" s="131"/>
      <c r="Q23" s="131"/>
      <c r="R23" s="131"/>
      <c r="S23" s="131"/>
      <c r="T23" s="131"/>
      <c r="AD23" s="264"/>
      <c r="AE23" s="264"/>
      <c r="AF23" s="264"/>
      <c r="AG23" s="264"/>
      <c r="AH23" s="264"/>
    </row>
    <row r="24" spans="2:34" s="236" customFormat="1" x14ac:dyDescent="0.25">
      <c r="B24" s="273" t="s">
        <v>811</v>
      </c>
      <c r="C24" s="267" t="s">
        <v>812</v>
      </c>
      <c r="D24" s="619" t="s">
        <v>785</v>
      </c>
      <c r="E24" s="619" t="s">
        <v>785</v>
      </c>
      <c r="F24" s="619" t="s">
        <v>785</v>
      </c>
      <c r="G24" s="619" t="s">
        <v>785</v>
      </c>
      <c r="H24" s="619" t="s">
        <v>785</v>
      </c>
      <c r="I24" s="619" t="s">
        <v>785</v>
      </c>
      <c r="N24" s="131"/>
      <c r="O24" s="131"/>
      <c r="P24" s="131"/>
      <c r="Q24" s="131"/>
      <c r="R24" s="131"/>
      <c r="S24" s="131"/>
      <c r="T24" s="131"/>
      <c r="AD24" s="264"/>
      <c r="AE24" s="264"/>
      <c r="AF24" s="264"/>
      <c r="AG24" s="264"/>
      <c r="AH24" s="264"/>
    </row>
    <row r="25" spans="2:34" s="236" customFormat="1" x14ac:dyDescent="0.25">
      <c r="B25" s="321" t="s">
        <v>1043</v>
      </c>
      <c r="C25" s="804">
        <f>'Unit costs'!V25</f>
        <v>961.34519999999998</v>
      </c>
      <c r="D25" s="268">
        <f>D14*$C25/1000</f>
        <v>0</v>
      </c>
      <c r="E25" s="268">
        <f t="shared" ref="E25:I25" si="3">E14*$C25/1000</f>
        <v>290.58037480884911</v>
      </c>
      <c r="F25" s="268">
        <f t="shared" si="3"/>
        <v>586.76418967110465</v>
      </c>
      <c r="G25" s="268">
        <f t="shared" si="3"/>
        <v>658.24628557182416</v>
      </c>
      <c r="H25" s="268">
        <f t="shared" si="3"/>
        <v>664.59296952115392</v>
      </c>
      <c r="I25" s="268">
        <f t="shared" si="3"/>
        <v>671.00084697515763</v>
      </c>
      <c r="N25" s="131"/>
      <c r="O25" s="131"/>
      <c r="P25" s="131"/>
      <c r="Q25" s="131"/>
      <c r="R25" s="131"/>
      <c r="S25" s="131"/>
      <c r="T25" s="131"/>
      <c r="AD25" s="264"/>
      <c r="AE25" s="264"/>
      <c r="AF25" s="264"/>
      <c r="AG25" s="264"/>
      <c r="AH25" s="264"/>
    </row>
    <row r="26" spans="2:34" s="236" customFormat="1" x14ac:dyDescent="0.25">
      <c r="B26" s="321" t="s">
        <v>1044</v>
      </c>
      <c r="C26" s="804">
        <f>'Unit costs'!V41</f>
        <v>978.61530240000002</v>
      </c>
      <c r="D26" s="268">
        <f t="shared" ref="D26:I26" si="4">D15*$C26/1000</f>
        <v>97.658565235452244</v>
      </c>
      <c r="E26" s="268">
        <f t="shared" si="4"/>
        <v>394.40068127462405</v>
      </c>
      <c r="F26" s="268">
        <f t="shared" si="4"/>
        <v>597.30512506067453</v>
      </c>
      <c r="G26" s="268">
        <f t="shared" si="4"/>
        <v>670.07136230414164</v>
      </c>
      <c r="H26" s="268">
        <f t="shared" si="4"/>
        <v>676.5320613665707</v>
      </c>
      <c r="I26" s="268">
        <f t="shared" si="4"/>
        <v>683.05505324544197</v>
      </c>
      <c r="N26" s="131"/>
      <c r="O26" s="131"/>
      <c r="P26" s="131"/>
      <c r="Q26" s="131"/>
      <c r="R26" s="131"/>
      <c r="S26" s="131"/>
      <c r="T26" s="131"/>
      <c r="AD26" s="264"/>
      <c r="AE26" s="264"/>
      <c r="AF26" s="264"/>
      <c r="AG26" s="264"/>
      <c r="AH26" s="264"/>
    </row>
    <row r="27" spans="2:34" s="236" customFormat="1" x14ac:dyDescent="0.25">
      <c r="B27" s="321" t="s">
        <v>1045</v>
      </c>
      <c r="C27" s="804">
        <f>'Unit costs'!V61</f>
        <v>698.89715999999999</v>
      </c>
      <c r="D27" s="268">
        <f t="shared" ref="D27:I27" si="5">D16*$C27/1000</f>
        <v>1325.1505272618897</v>
      </c>
      <c r="E27" s="268">
        <f t="shared" si="5"/>
        <v>915.42399239916551</v>
      </c>
      <c r="F27" s="268">
        <f t="shared" si="5"/>
        <v>568.76943648107044</v>
      </c>
      <c r="G27" s="268">
        <f t="shared" si="5"/>
        <v>478.54450156582351</v>
      </c>
      <c r="H27" s="268">
        <f t="shared" si="5"/>
        <v>483.15853551284295</v>
      </c>
      <c r="I27" s="268">
        <f t="shared" si="5"/>
        <v>487.81705708681159</v>
      </c>
      <c r="N27" s="131"/>
      <c r="O27" s="131"/>
      <c r="P27" s="131"/>
      <c r="Q27" s="131"/>
      <c r="R27" s="131"/>
      <c r="S27" s="131"/>
      <c r="T27" s="131"/>
      <c r="AD27" s="264"/>
      <c r="AE27" s="264"/>
      <c r="AF27" s="264"/>
      <c r="AG27" s="264"/>
      <c r="AH27" s="264"/>
    </row>
    <row r="28" spans="2:34" s="236" customFormat="1" x14ac:dyDescent="0.25">
      <c r="B28" s="321" t="s">
        <v>1046</v>
      </c>
      <c r="C28" s="804">
        <f>'Unit costs'!V29</f>
        <v>0</v>
      </c>
      <c r="D28" s="268">
        <f t="shared" ref="D28:I28" si="6">D19*$C28/1000</f>
        <v>0</v>
      </c>
      <c r="E28" s="268">
        <f t="shared" si="6"/>
        <v>0</v>
      </c>
      <c r="F28" s="268">
        <f t="shared" si="6"/>
        <v>0</v>
      </c>
      <c r="G28" s="268">
        <f t="shared" si="6"/>
        <v>0</v>
      </c>
      <c r="H28" s="268">
        <f t="shared" si="6"/>
        <v>0</v>
      </c>
      <c r="I28" s="268">
        <f t="shared" si="6"/>
        <v>0</v>
      </c>
      <c r="N28" s="131"/>
      <c r="O28" s="131"/>
      <c r="P28" s="131"/>
      <c r="Q28" s="131"/>
      <c r="R28" s="131"/>
      <c r="S28" s="131"/>
      <c r="T28" s="131"/>
      <c r="AD28" s="264"/>
      <c r="AE28" s="264"/>
      <c r="AF28" s="264"/>
      <c r="AG28" s="264"/>
      <c r="AH28" s="264"/>
    </row>
    <row r="29" spans="2:34" s="236" customFormat="1" x14ac:dyDescent="0.25">
      <c r="B29" s="321" t="s">
        <v>1020</v>
      </c>
      <c r="C29" s="804">
        <f>'Unit costs'!V46</f>
        <v>0</v>
      </c>
      <c r="D29" s="268">
        <f t="shared" ref="D29:I29" si="7">D20*$C29/1000</f>
        <v>0</v>
      </c>
      <c r="E29" s="268">
        <f t="shared" si="7"/>
        <v>0</v>
      </c>
      <c r="F29" s="268">
        <f t="shared" si="7"/>
        <v>0</v>
      </c>
      <c r="G29" s="268">
        <f t="shared" si="7"/>
        <v>0</v>
      </c>
      <c r="H29" s="268">
        <f t="shared" si="7"/>
        <v>0</v>
      </c>
      <c r="I29" s="268">
        <f t="shared" si="7"/>
        <v>0</v>
      </c>
      <c r="N29" s="131"/>
      <c r="O29" s="131"/>
      <c r="P29" s="131"/>
      <c r="Q29" s="131"/>
      <c r="R29" s="131"/>
      <c r="S29" s="131"/>
      <c r="T29" s="131"/>
      <c r="AD29" s="264"/>
      <c r="AE29" s="264"/>
      <c r="AF29" s="264"/>
      <c r="AG29" s="264"/>
      <c r="AH29" s="264"/>
    </row>
    <row r="30" spans="2:34" s="236" customFormat="1" x14ac:dyDescent="0.25">
      <c r="B30" s="271" t="s">
        <v>813</v>
      </c>
      <c r="C30" s="599"/>
      <c r="D30" s="183">
        <f t="shared" ref="D30:I30" si="8">SUM(D25:D29)</f>
        <v>1422.8090924973419</v>
      </c>
      <c r="E30" s="183">
        <f t="shared" si="8"/>
        <v>1600.4050484826387</v>
      </c>
      <c r="F30" s="183">
        <f t="shared" si="8"/>
        <v>1752.8387512128497</v>
      </c>
      <c r="G30" s="183">
        <f t="shared" si="8"/>
        <v>1806.8621494417894</v>
      </c>
      <c r="H30" s="184">
        <f t="shared" si="8"/>
        <v>1824.2835664005677</v>
      </c>
      <c r="I30" s="183">
        <f t="shared" si="8"/>
        <v>1841.8729573074111</v>
      </c>
      <c r="J30" s="331"/>
      <c r="N30" s="131"/>
      <c r="O30" s="131"/>
      <c r="P30" s="131"/>
      <c r="Q30" s="131"/>
      <c r="R30" s="131"/>
      <c r="S30" s="131"/>
      <c r="T30" s="131"/>
      <c r="AD30" s="264"/>
      <c r="AE30" s="264"/>
      <c r="AF30" s="264"/>
      <c r="AG30" s="264"/>
      <c r="AH30" s="264"/>
    </row>
    <row r="31" spans="2:34" s="236" customFormat="1" x14ac:dyDescent="0.25">
      <c r="B31" s="272"/>
      <c r="C31" s="131"/>
      <c r="D31" s="131"/>
      <c r="E31" s="131"/>
      <c r="F31" s="131"/>
      <c r="G31" s="131"/>
      <c r="H31" s="131"/>
      <c r="I31" s="131"/>
      <c r="N31" s="131"/>
      <c r="O31" s="131"/>
      <c r="P31" s="131"/>
      <c r="Q31" s="131"/>
      <c r="R31" s="131"/>
      <c r="S31" s="131"/>
      <c r="T31" s="131"/>
      <c r="AD31" s="264"/>
      <c r="AE31" s="264"/>
      <c r="AF31" s="264"/>
      <c r="AG31" s="264"/>
      <c r="AH31" s="264"/>
    </row>
    <row r="32" spans="2:34" s="236" customFormat="1" x14ac:dyDescent="0.25">
      <c r="B32" s="350"/>
      <c r="C32" s="269"/>
      <c r="D32" s="330" t="s">
        <v>787</v>
      </c>
      <c r="E32" s="183">
        <f>E30-$D$30</f>
        <v>177.59595598529677</v>
      </c>
      <c r="F32" s="183">
        <f t="shared" ref="F32:I32" si="9">F30-$D$30</f>
        <v>330.02965871550782</v>
      </c>
      <c r="G32" s="183">
        <f t="shared" si="9"/>
        <v>384.05305694444746</v>
      </c>
      <c r="H32" s="183">
        <f t="shared" si="9"/>
        <v>401.47447390322577</v>
      </c>
      <c r="I32" s="183">
        <f t="shared" si="9"/>
        <v>419.06386481006916</v>
      </c>
      <c r="N32" s="131"/>
      <c r="O32" s="131"/>
      <c r="P32" s="131"/>
      <c r="Q32" s="131"/>
      <c r="R32" s="131"/>
      <c r="S32" s="131"/>
      <c r="T32" s="131"/>
      <c r="AD32" s="264"/>
      <c r="AE32" s="264"/>
      <c r="AF32" s="264"/>
      <c r="AG32" s="264"/>
      <c r="AH32" s="264"/>
    </row>
    <row r="33" spans="2:34" s="236" customFormat="1" x14ac:dyDescent="0.25">
      <c r="B33" s="350"/>
      <c r="C33" s="269"/>
      <c r="D33" s="275" t="s">
        <v>814</v>
      </c>
      <c r="E33" s="183">
        <f>E32</f>
        <v>177.59595598529677</v>
      </c>
      <c r="F33" s="185">
        <f>F32-E32</f>
        <v>152.43370273021105</v>
      </c>
      <c r="G33" s="185">
        <f t="shared" ref="G33:I33" si="10">G32-F32</f>
        <v>54.023398228939641</v>
      </c>
      <c r="H33" s="185">
        <f t="shared" si="10"/>
        <v>17.421416958778309</v>
      </c>
      <c r="I33" s="185">
        <f t="shared" si="10"/>
        <v>17.589390906843391</v>
      </c>
      <c r="J33" s="131"/>
      <c r="K33" s="131"/>
      <c r="L33" s="131"/>
      <c r="M33" s="131"/>
      <c r="N33" s="131"/>
      <c r="O33" s="131"/>
      <c r="P33" s="131"/>
      <c r="Q33" s="131"/>
      <c r="R33" s="131"/>
      <c r="S33" s="131"/>
      <c r="T33" s="131"/>
      <c r="AD33" s="264"/>
      <c r="AE33" s="264"/>
      <c r="AF33" s="264"/>
      <c r="AG33" s="264"/>
      <c r="AH33" s="264"/>
    </row>
    <row r="35" spans="2:34" x14ac:dyDescent="0.25">
      <c r="J35" s="236"/>
      <c r="K35" s="236"/>
    </row>
    <row r="36" spans="2:34" x14ac:dyDescent="0.25">
      <c r="J36" s="236"/>
      <c r="K36" s="236"/>
    </row>
    <row r="37" spans="2:34" x14ac:dyDescent="0.25">
      <c r="J37" s="236"/>
      <c r="K37" s="236"/>
    </row>
  </sheetData>
  <sheetProtection algorithmName="SHA-512" hashValue="lMzd9n1aFLxqniMqQ13rTpTPoyVcZ7/wGZ6iHxVD7nzxB0zFeHo9YIeCWA8vquVSPo1swdMuu89UezmBHzjkKw==" saltValue="Y/QsrCcD4LBDln8gJbqmp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09"/>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89" t="str">
        <f>'Inputs and eligible population'!B1</f>
        <v>Durvalumab with chemotherapy before surgery (neoadjuvant) then alone after surgery (adjuvant) for treating resectable non-small-cell lung cancer</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25">
      <c r="B2" s="210" t="s">
        <v>815</v>
      </c>
      <c r="C2" s="125" t="s">
        <v>745</v>
      </c>
      <c r="D2" s="125" t="s">
        <v>745</v>
      </c>
      <c r="E2" s="439"/>
      <c r="F2" s="125" t="s">
        <v>745</v>
      </c>
      <c r="G2" s="125" t="s">
        <v>745</v>
      </c>
      <c r="H2" s="125" t="s">
        <v>745</v>
      </c>
      <c r="I2" s="125" t="s">
        <v>745</v>
      </c>
      <c r="J2" s="125"/>
      <c r="K2" s="125"/>
      <c r="L2" s="125"/>
      <c r="M2" s="125"/>
      <c r="N2" s="125"/>
      <c r="O2" s="125"/>
      <c r="P2" s="125"/>
      <c r="Q2" s="125"/>
      <c r="R2" s="125"/>
      <c r="S2" s="125"/>
      <c r="T2" s="125"/>
      <c r="U2" s="125"/>
      <c r="V2" s="125"/>
      <c r="W2" s="125"/>
      <c r="X2" s="125"/>
      <c r="Y2" s="125"/>
      <c r="Z2" s="125"/>
    </row>
    <row r="3" spans="1:40" ht="14.45" customHeight="1" x14ac:dyDescent="0.25">
      <c r="B3" s="128" t="s">
        <v>745</v>
      </c>
      <c r="C3" s="131" t="s">
        <v>745</v>
      </c>
      <c r="D3" s="131" t="s">
        <v>745</v>
      </c>
      <c r="F3" s="131" t="s">
        <v>745</v>
      </c>
      <c r="G3" s="131" t="s">
        <v>745</v>
      </c>
      <c r="H3" s="131" t="s">
        <v>745</v>
      </c>
      <c r="I3" s="131" t="s">
        <v>745</v>
      </c>
      <c r="J3" s="125"/>
      <c r="K3" s="125"/>
      <c r="L3" s="125"/>
      <c r="M3" s="125"/>
      <c r="N3" s="125"/>
      <c r="O3" s="125"/>
      <c r="P3" s="125"/>
      <c r="Q3" s="131"/>
      <c r="R3" s="125"/>
      <c r="S3" s="131"/>
      <c r="T3" s="131"/>
      <c r="U3" s="131"/>
      <c r="V3" s="131"/>
      <c r="W3" s="131"/>
      <c r="X3" s="131"/>
      <c r="Y3" s="131"/>
      <c r="Z3" s="131"/>
    </row>
    <row r="4" spans="1:40" ht="14.45" customHeight="1" x14ac:dyDescent="0.25">
      <c r="B4" t="s">
        <v>816</v>
      </c>
      <c r="C4" s="131"/>
      <c r="D4" s="131"/>
      <c r="F4" s="131"/>
      <c r="G4" s="131"/>
      <c r="H4" s="131"/>
      <c r="I4" s="131"/>
      <c r="J4" s="131"/>
      <c r="K4" s="131"/>
      <c r="L4" s="131"/>
      <c r="M4" s="131"/>
      <c r="N4" s="131"/>
      <c r="O4" s="131"/>
      <c r="P4" s="131"/>
      <c r="Q4" s="131"/>
      <c r="R4" s="125"/>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25"/>
      <c r="S5" s="131"/>
      <c r="T5" s="131"/>
      <c r="U5" s="131"/>
      <c r="V5" s="131"/>
      <c r="W5" s="131"/>
      <c r="X5" s="131"/>
      <c r="Y5" s="131"/>
      <c r="Z5" s="131"/>
    </row>
    <row r="6" spans="1:40" ht="45" x14ac:dyDescent="0.25">
      <c r="B6" s="249" t="s">
        <v>781</v>
      </c>
      <c r="C6" s="205"/>
      <c r="D6" s="384" t="s">
        <v>809</v>
      </c>
      <c r="E6" s="247" t="s">
        <v>676</v>
      </c>
      <c r="F6" s="247" t="s">
        <v>677</v>
      </c>
      <c r="G6" s="161" t="s">
        <v>778</v>
      </c>
      <c r="H6" s="161" t="s">
        <v>779</v>
      </c>
      <c r="I6" s="247" t="s">
        <v>780</v>
      </c>
      <c r="L6" s="384" t="s">
        <v>809</v>
      </c>
      <c r="M6" s="247" t="s">
        <v>676</v>
      </c>
      <c r="N6" s="247" t="s">
        <v>677</v>
      </c>
      <c r="O6" s="161" t="s">
        <v>778</v>
      </c>
      <c r="P6" s="161" t="s">
        <v>779</v>
      </c>
      <c r="Q6" s="247" t="s">
        <v>780</v>
      </c>
      <c r="R6" s="125"/>
      <c r="S6" s="131"/>
      <c r="T6" s="131"/>
      <c r="U6" s="131"/>
      <c r="V6" s="131"/>
      <c r="W6" s="131"/>
      <c r="X6" s="131"/>
      <c r="Y6" s="131"/>
      <c r="Z6" s="131"/>
      <c r="AJ6" s="277"/>
      <c r="AK6" s="277"/>
      <c r="AL6" s="277"/>
      <c r="AM6" s="277"/>
      <c r="AN6" s="277"/>
    </row>
    <row r="7" spans="1:40" ht="14.45" customHeight="1" x14ac:dyDescent="0.25">
      <c r="B7" s="219" t="s">
        <v>1137</v>
      </c>
      <c r="C7" s="164"/>
      <c r="D7" s="351">
        <f>'Inputs and eligible population'!L83</f>
        <v>1995.8519960999997</v>
      </c>
      <c r="E7" s="351">
        <f>'Inputs and eligible population'!M83</f>
        <v>2015.0956167728939</v>
      </c>
      <c r="F7" s="351">
        <f>'Inputs and eligible population'!N83</f>
        <v>2034.5247807312253</v>
      </c>
      <c r="G7" s="351">
        <f>'Inputs and eligible population'!O83</f>
        <v>2054.1412769476278</v>
      </c>
      <c r="H7" s="351">
        <f>'Inputs and eligible population'!P83</f>
        <v>2073.9469116436658</v>
      </c>
      <c r="I7" s="351">
        <f>'Inputs and eligible population'!Q83</f>
        <v>2093.9435084561437</v>
      </c>
      <c r="P7" s="131"/>
      <c r="Q7" s="131"/>
      <c r="R7" s="125"/>
      <c r="S7" s="131"/>
      <c r="T7" s="131"/>
      <c r="U7" s="131"/>
      <c r="V7" s="131"/>
      <c r="W7" s="131"/>
      <c r="X7" s="131"/>
      <c r="Y7" s="131"/>
      <c r="Z7" s="131"/>
      <c r="AJ7" s="277"/>
      <c r="AK7" s="277"/>
      <c r="AL7" s="277"/>
      <c r="AM7" s="277"/>
      <c r="AN7" s="277"/>
    </row>
    <row r="8" spans="1:40" ht="14.45" customHeight="1" x14ac:dyDescent="0.25">
      <c r="B8" s="219" t="s">
        <v>1138</v>
      </c>
      <c r="C8" s="164"/>
      <c r="D8" s="351">
        <f>'Inputs and eligible population'!L94</f>
        <v>71.05233106115999</v>
      </c>
      <c r="E8" s="351">
        <f>'Inputs and eligible population'!M94</f>
        <v>486.4440818889766</v>
      </c>
      <c r="F8" s="351">
        <f>'Inputs and eligible population'!N94</f>
        <v>837.41039974897228</v>
      </c>
      <c r="G8" s="351">
        <f>'Inputs and eligible population'!O94</f>
        <v>939.42727732404842</v>
      </c>
      <c r="H8" s="351">
        <f>'Inputs and eligible population'!P94</f>
        <v>948.4850542583697</v>
      </c>
      <c r="I8" s="351">
        <f>'Inputs and eligible population'!Q94</f>
        <v>957.63016453394312</v>
      </c>
      <c r="P8" s="131"/>
      <c r="Q8" s="131"/>
      <c r="R8" s="125"/>
      <c r="S8" s="131"/>
      <c r="T8" s="131"/>
      <c r="U8" s="131"/>
      <c r="V8" s="131"/>
      <c r="W8" s="131"/>
      <c r="X8" s="131"/>
      <c r="Y8" s="131"/>
      <c r="Z8" s="131"/>
      <c r="AJ8" s="277"/>
      <c r="AK8" s="277"/>
      <c r="AL8" s="277"/>
      <c r="AM8" s="277"/>
      <c r="AN8" s="277"/>
    </row>
    <row r="9" spans="1:40" ht="14.45" customHeight="1" x14ac:dyDescent="0.25">
      <c r="B9" s="219" t="s">
        <v>1139</v>
      </c>
      <c r="C9" s="164"/>
      <c r="D9" s="351">
        <f>'Financial impact (cash)'!D22</f>
        <v>2066.9043271611599</v>
      </c>
      <c r="E9" s="351">
        <f>'Financial impact (cash)'!E22</f>
        <v>2501.5396986618707</v>
      </c>
      <c r="F9" s="351">
        <f>'Financial impact (cash)'!F22</f>
        <v>2871.9351804801977</v>
      </c>
      <c r="G9" s="351">
        <f>'Financial impact (cash)'!G22</f>
        <v>2993.5685542716765</v>
      </c>
      <c r="H9" s="351">
        <f>'Financial impact (cash)'!H22</f>
        <v>3022.4319659020357</v>
      </c>
      <c r="I9" s="351">
        <f>'Financial impact (cash)'!I22</f>
        <v>3051.5736729900868</v>
      </c>
      <c r="P9" s="131"/>
      <c r="Q9" s="131"/>
      <c r="R9" s="125"/>
      <c r="S9" s="131"/>
      <c r="T9" s="131"/>
      <c r="U9" s="131"/>
      <c r="V9" s="131"/>
      <c r="W9" s="131"/>
      <c r="X9" s="131"/>
      <c r="Y9" s="131"/>
      <c r="Z9" s="131"/>
      <c r="AJ9" s="277"/>
      <c r="AK9" s="277"/>
      <c r="AL9" s="277"/>
      <c r="AM9" s="277"/>
      <c r="AN9" s="277"/>
    </row>
    <row r="10" spans="1:40" ht="14.45" customHeight="1" x14ac:dyDescent="0.25">
      <c r="B10"/>
      <c r="P10" s="131"/>
      <c r="Q10" s="131"/>
      <c r="R10" s="125"/>
      <c r="S10" s="131"/>
      <c r="T10" s="131"/>
      <c r="U10" s="131"/>
      <c r="V10" s="131"/>
      <c r="W10" s="131"/>
      <c r="X10" s="131"/>
      <c r="Y10" s="131"/>
      <c r="Z10" s="131"/>
      <c r="AJ10" s="277"/>
      <c r="AK10" s="277"/>
      <c r="AL10" s="277"/>
      <c r="AM10" s="277"/>
      <c r="AN10" s="277"/>
    </row>
    <row r="11" spans="1:40" ht="14.45" customHeight="1" x14ac:dyDescent="0.25">
      <c r="B11" s="270" t="s">
        <v>817</v>
      </c>
      <c r="C11" s="393"/>
      <c r="D11" s="393"/>
      <c r="E11" s="394"/>
      <c r="F11" s="393"/>
      <c r="G11" s="395"/>
      <c r="H11" s="396"/>
      <c r="I11" s="513"/>
      <c r="L11" s="619" t="s">
        <v>785</v>
      </c>
      <c r="M11" s="619" t="s">
        <v>785</v>
      </c>
      <c r="N11" s="619" t="s">
        <v>785</v>
      </c>
      <c r="O11" s="619" t="s">
        <v>785</v>
      </c>
      <c r="P11" s="619" t="s">
        <v>785</v>
      </c>
      <c r="Q11" s="619" t="s">
        <v>785</v>
      </c>
      <c r="R11" s="125"/>
      <c r="S11" s="131"/>
      <c r="T11" s="131"/>
      <c r="U11" s="131"/>
      <c r="V11" s="131"/>
      <c r="W11" s="131"/>
      <c r="X11" s="131"/>
      <c r="Y11" s="131"/>
      <c r="Z11" s="131"/>
      <c r="AJ11" s="277"/>
      <c r="AK11" s="277"/>
      <c r="AL11" s="277"/>
      <c r="AM11" s="277"/>
      <c r="AN11" s="277"/>
    </row>
    <row r="12" spans="1:40" ht="14.45" customHeight="1" x14ac:dyDescent="0.25">
      <c r="A12" s="279"/>
      <c r="B12" s="507" t="str">
        <f>'Capacity (national prices)'!B12</f>
        <v>First attendances - number of appointments</v>
      </c>
      <c r="C12" s="356"/>
      <c r="D12" s="386">
        <f>'Capacity (national prices)'!D12</f>
        <v>1995.8519960999997</v>
      </c>
      <c r="E12" s="386">
        <f>'Capacity (national prices)'!E12</f>
        <v>2015.0956167728939</v>
      </c>
      <c r="F12" s="386">
        <f>'Capacity (national prices)'!F12</f>
        <v>2034.5247807312253</v>
      </c>
      <c r="G12" s="386">
        <f>'Capacity (national prices)'!G12</f>
        <v>2054.1412769476278</v>
      </c>
      <c r="H12" s="386">
        <f>'Capacity (national prices)'!H12</f>
        <v>2073.9469116436658</v>
      </c>
      <c r="I12" s="386">
        <f>'Capacity (national prices)'!I12</f>
        <v>2093.9435084561437</v>
      </c>
      <c r="L12" s="281">
        <f t="shared" ref="L12:Q12" si="0">L31</f>
        <v>120.82887984389397</v>
      </c>
      <c r="M12" s="281">
        <f t="shared" si="0"/>
        <v>120.82887984389397</v>
      </c>
      <c r="N12" s="281">
        <f t="shared" si="0"/>
        <v>120.82887984389397</v>
      </c>
      <c r="O12" s="281">
        <f t="shared" si="0"/>
        <v>120.82887984389397</v>
      </c>
      <c r="P12" s="281">
        <f t="shared" si="0"/>
        <v>120.82887984389397</v>
      </c>
      <c r="Q12" s="281">
        <f t="shared" si="0"/>
        <v>120.82887984389397</v>
      </c>
      <c r="R12" s="125"/>
      <c r="S12" s="131"/>
      <c r="T12" s="131"/>
      <c r="U12" s="131"/>
      <c r="V12" s="131"/>
      <c r="W12" s="131"/>
      <c r="X12" s="131"/>
      <c r="Y12" s="131"/>
      <c r="Z12" s="131"/>
      <c r="AJ12" s="277"/>
      <c r="AK12" s="277"/>
      <c r="AL12" s="277"/>
      <c r="AM12" s="277"/>
      <c r="AN12" s="277"/>
    </row>
    <row r="13" spans="1:40" ht="14.45" customHeight="1" x14ac:dyDescent="0.25">
      <c r="A13" s="279"/>
      <c r="B13" s="507" t="str">
        <f>'Capacity (national prices)'!B13</f>
        <v>Follow up attendances - number of appointments</v>
      </c>
      <c r="C13" s="356"/>
      <c r="D13" s="386">
        <f>'Capacity (national prices)'!D13</f>
        <v>6200.7129814834789</v>
      </c>
      <c r="E13" s="386">
        <f>'Capacity (national prices)'!E13</f>
        <v>7504.6190959856121</v>
      </c>
      <c r="F13" s="386">
        <f>'Capacity (national prices)'!F13</f>
        <v>8615.8055414405935</v>
      </c>
      <c r="G13" s="386">
        <f>'Capacity (national prices)'!G13</f>
        <v>8980.7056628150276</v>
      </c>
      <c r="H13" s="386">
        <f>'Capacity (national prices)'!H13</f>
        <v>9067.2958977061062</v>
      </c>
      <c r="I13" s="386">
        <f>'Capacity (national prices)'!I13</f>
        <v>9154.72101897026</v>
      </c>
      <c r="L13" s="281">
        <f t="shared" ref="L13:Q13" si="1">L41</f>
        <v>250.26077593267323</v>
      </c>
      <c r="M13" s="281">
        <f t="shared" si="1"/>
        <v>302.88642671397923</v>
      </c>
      <c r="N13" s="281">
        <f t="shared" si="1"/>
        <v>347.7339116525423</v>
      </c>
      <c r="O13" s="281">
        <f t="shared" si="1"/>
        <v>362.46128055121454</v>
      </c>
      <c r="P13" s="281">
        <f t="shared" si="1"/>
        <v>365.9560624314185</v>
      </c>
      <c r="Q13" s="281">
        <f t="shared" si="1"/>
        <v>369.48454032563967</v>
      </c>
      <c r="R13" s="125"/>
      <c r="S13" s="131"/>
      <c r="T13" s="131"/>
      <c r="U13" s="131"/>
      <c r="V13" s="131"/>
      <c r="W13" s="131"/>
      <c r="X13" s="131"/>
      <c r="Y13" s="131"/>
      <c r="Z13" s="131"/>
      <c r="AJ13" s="277"/>
      <c r="AK13" s="277"/>
      <c r="AL13" s="277"/>
      <c r="AM13" s="277"/>
      <c r="AN13" s="277"/>
    </row>
    <row r="14" spans="1:40" ht="14.45" customHeight="1" x14ac:dyDescent="0.25">
      <c r="A14" s="279"/>
      <c r="B14" s="507" t="s">
        <v>1135</v>
      </c>
      <c r="C14" s="356"/>
      <c r="D14" s="386">
        <f>((D28*'Inputs and eligible population'!$F$113)+('Capacity (local prices)'!D29*'Inputs and eligible population'!$H$113)+('Capacity (local prices)'!D30*'Inputs and eligible population'!$J$113))/60</f>
        <v>997.92599804999975</v>
      </c>
      <c r="E14" s="386">
        <f>((E28*'Inputs and eligible population'!$F$113)+('Capacity (local prices)'!E29*'Inputs and eligible population'!$H$113)+('Capacity (local prices)'!E30*'Inputs and eligible population'!$J$113))/60</f>
        <v>1007.5478083864471</v>
      </c>
      <c r="F14" s="386">
        <f>((F28*'Inputs and eligible population'!$F$113)+('Capacity (local prices)'!F29*'Inputs and eligible population'!$H$113)+('Capacity (local prices)'!F30*'Inputs and eligible population'!$J$113))/60</f>
        <v>1017.2623903656126</v>
      </c>
      <c r="G14" s="386">
        <f>((G28*'Inputs and eligible population'!$F$113)+('Capacity (local prices)'!G29*'Inputs and eligible population'!$H$113)+('Capacity (local prices)'!G30*'Inputs and eligible population'!$J$113))/60</f>
        <v>1027.0706384738139</v>
      </c>
      <c r="H14" s="386">
        <f>((H28*'Inputs and eligible population'!$F$113)+('Capacity (local prices)'!H29*'Inputs and eligible population'!$H$113)+('Capacity (local prices)'!H30*'Inputs and eligible population'!$J$113))/60</f>
        <v>1036.9734558218329</v>
      </c>
      <c r="I14" s="386">
        <f>((I28*'Inputs and eligible population'!$F$113)+('Capacity (local prices)'!I29*'Inputs and eligible population'!$H$113)+('Capacity (local prices)'!I30*'Inputs and eligible population'!$J$113))/60</f>
        <v>1046.9717542280716</v>
      </c>
      <c r="L14" s="1000"/>
      <c r="M14" s="1000"/>
      <c r="N14" s="1000"/>
      <c r="O14" s="1000"/>
      <c r="P14" s="1000"/>
      <c r="Q14" s="1000"/>
      <c r="R14" s="125"/>
      <c r="S14" s="131"/>
      <c r="T14" s="131"/>
      <c r="U14" s="131"/>
      <c r="V14" s="131"/>
      <c r="W14" s="131"/>
      <c r="X14" s="131"/>
      <c r="Y14" s="131"/>
      <c r="Z14" s="131"/>
      <c r="AJ14" s="277"/>
      <c r="AK14" s="277"/>
      <c r="AL14" s="277"/>
      <c r="AM14" s="277"/>
      <c r="AN14" s="277"/>
    </row>
    <row r="15" spans="1:40" ht="14.45" customHeight="1" x14ac:dyDescent="0.25">
      <c r="A15" s="279"/>
      <c r="B15" s="507" t="s">
        <v>1136</v>
      </c>
      <c r="C15" s="356"/>
      <c r="D15" s="386">
        <f>((D36*'Inputs and eligible population'!$F$115)+('Capacity (local prices)'!D37*'Inputs and eligible population'!$H$115)+('Capacity (local prices)'!D38*'Inputs and eligible population'!$J$115)+('Capacity (local prices)'!D39*'Inputs and eligible population'!$G$115)+('Capacity (local prices)'!D40*'Inputs and eligible population'!$I$115))/60</f>
        <v>2066.9043271611595</v>
      </c>
      <c r="E15" s="386">
        <f>((E36*'Inputs and eligible population'!$F$115)+('Capacity (local prices)'!E37*'Inputs and eligible population'!$H$115)+('Capacity (local prices)'!E38*'Inputs and eligible population'!$J$115)+('Capacity (local prices)'!E39*'Inputs and eligible population'!$G$115)+('Capacity (local prices)'!E40*'Inputs and eligible population'!$I$115))/60</f>
        <v>2501.5396986618707</v>
      </c>
      <c r="F15" s="386">
        <f>((F36*'Inputs and eligible population'!$F$115)+('Capacity (local prices)'!F37*'Inputs and eligible population'!$H$115)+('Capacity (local prices)'!F38*'Inputs and eligible population'!$J$115)+('Capacity (local prices)'!F39*'Inputs and eligible population'!$G$115)+('Capacity (local prices)'!F40*'Inputs and eligible population'!$I$115))/60</f>
        <v>2871.9351804801981</v>
      </c>
      <c r="G15" s="386">
        <f>((G36*'Inputs and eligible population'!$F$115)+('Capacity (local prices)'!G37*'Inputs and eligible population'!$H$115)+('Capacity (local prices)'!G38*'Inputs and eligible population'!$J$115)+('Capacity (local prices)'!G39*'Inputs and eligible population'!$G$115)+('Capacity (local prices)'!G40*'Inputs and eligible population'!$I$115))/60</f>
        <v>2993.568554271676</v>
      </c>
      <c r="H15" s="386">
        <f>((H36*'Inputs and eligible population'!$F$115)+('Capacity (local prices)'!H37*'Inputs and eligible population'!$H$115)+('Capacity (local prices)'!H38*'Inputs and eligible population'!$J$115)+('Capacity (local prices)'!H39*'Inputs and eligible population'!$G$115)+('Capacity (local prices)'!H40*'Inputs and eligible population'!$I$115))/60</f>
        <v>3022.4319659020357</v>
      </c>
      <c r="I15" s="386">
        <f>((I36*'Inputs and eligible population'!$F$115)+('Capacity (local prices)'!I37*'Inputs and eligible population'!$H$115)+('Capacity (local prices)'!I38*'Inputs and eligible population'!$J$115)+('Capacity (local prices)'!I39*'Inputs and eligible population'!$G$115)+('Capacity (local prices)'!I40*'Inputs and eligible population'!$I$115))/60</f>
        <v>3051.5736729900868</v>
      </c>
      <c r="L15" s="1000"/>
      <c r="M15" s="1000"/>
      <c r="N15" s="1000"/>
      <c r="O15" s="1000"/>
      <c r="P15" s="1000"/>
      <c r="Q15" s="1000"/>
      <c r="R15" s="125"/>
      <c r="S15" s="131"/>
      <c r="T15" s="131"/>
      <c r="U15" s="131"/>
      <c r="V15" s="131"/>
      <c r="W15" s="131"/>
      <c r="X15" s="131"/>
      <c r="Y15" s="131"/>
      <c r="Z15" s="131"/>
      <c r="AJ15" s="277"/>
      <c r="AK15" s="277"/>
      <c r="AL15" s="277"/>
      <c r="AM15" s="277"/>
      <c r="AN15" s="277"/>
    </row>
    <row r="16" spans="1:40" ht="14.45" customHeight="1" x14ac:dyDescent="0.25">
      <c r="A16" s="285"/>
      <c r="B16" s="397" t="str">
        <f>B45</f>
        <v>Number of administrations</v>
      </c>
      <c r="C16" s="380"/>
      <c r="D16" s="379">
        <f>D50</f>
        <v>8791.5683746608102</v>
      </c>
      <c r="E16" s="379">
        <f t="shared" ref="E16:I16" si="2">E50</f>
        <v>12747.857588916346</v>
      </c>
      <c r="F16" s="379">
        <f t="shared" si="2"/>
        <v>16277.25619873578</v>
      </c>
      <c r="G16" s="379">
        <f t="shared" si="2"/>
        <v>17311.207140100236</v>
      </c>
      <c r="H16" s="379">
        <f t="shared" si="2"/>
        <v>17478.118466313274</v>
      </c>
      <c r="I16" s="379">
        <f t="shared" si="2"/>
        <v>17646.639119397201</v>
      </c>
      <c r="L16" s="203"/>
      <c r="M16" s="203"/>
      <c r="N16" s="203"/>
      <c r="O16" s="203"/>
      <c r="P16" s="378"/>
      <c r="Q16" s="378"/>
      <c r="R16" s="125"/>
      <c r="S16" s="131"/>
      <c r="T16" s="131"/>
      <c r="U16" s="131"/>
      <c r="V16" s="131"/>
      <c r="W16" s="131"/>
      <c r="X16" s="131"/>
      <c r="Y16" s="131"/>
      <c r="Z16" s="131"/>
      <c r="AJ16" s="277"/>
      <c r="AK16" s="277"/>
      <c r="AL16" s="277"/>
      <c r="AM16" s="277"/>
      <c r="AN16" s="277"/>
    </row>
    <row r="17" spans="1:40" ht="14.45" customHeight="1" x14ac:dyDescent="0.25">
      <c r="A17" s="285"/>
      <c r="B17" s="397" t="str">
        <f>B53</f>
        <v>Administrations - number of cycles</v>
      </c>
      <c r="C17" s="380"/>
      <c r="D17" s="379">
        <f>D60</f>
        <v>6438.219369019379</v>
      </c>
      <c r="E17" s="379">
        <f t="shared" ref="E17:I17" si="3">E60</f>
        <v>10561.519146630091</v>
      </c>
      <c r="F17" s="379">
        <f t="shared" si="3"/>
        <v>14304.336828365098</v>
      </c>
      <c r="G17" s="379">
        <f t="shared" si="3"/>
        <v>15362.237896532326</v>
      </c>
      <c r="H17" s="379">
        <f t="shared" si="3"/>
        <v>15510.357636545761</v>
      </c>
      <c r="I17" s="379">
        <f t="shared" si="3"/>
        <v>15659.905518574013</v>
      </c>
      <c r="L17" s="203"/>
      <c r="M17" s="203"/>
      <c r="N17" s="203"/>
      <c r="O17" s="203"/>
      <c r="P17" s="378"/>
      <c r="Q17" s="378"/>
      <c r="R17" s="125"/>
      <c r="S17" s="131"/>
      <c r="T17" s="131"/>
      <c r="U17" s="131"/>
      <c r="V17" s="131"/>
      <c r="W17" s="131"/>
      <c r="X17" s="131"/>
      <c r="Y17" s="131"/>
      <c r="Z17" s="131"/>
      <c r="AJ17" s="277"/>
      <c r="AK17" s="277"/>
      <c r="AL17" s="277"/>
      <c r="AM17" s="277"/>
      <c r="AN17" s="277"/>
    </row>
    <row r="18" spans="1:40" ht="14.45" customHeight="1" x14ac:dyDescent="0.25">
      <c r="A18" s="278"/>
      <c r="B18" s="398" t="str">
        <f>B64</f>
        <v>Administrations - duration of administrations (hours)</v>
      </c>
      <c r="C18" s="401"/>
      <c r="D18" s="381">
        <f>D71</f>
        <v>3219.1096845096895</v>
      </c>
      <c r="E18" s="381">
        <f t="shared" ref="E18:I18" si="4">E71</f>
        <v>7082.2550547100127</v>
      </c>
      <c r="F18" s="381">
        <f t="shared" si="4"/>
        <v>10789.898722129979</v>
      </c>
      <c r="G18" s="381">
        <f t="shared" si="4"/>
        <v>11762.012951802117</v>
      </c>
      <c r="H18" s="381">
        <f t="shared" si="4"/>
        <v>11875.42001607163</v>
      </c>
      <c r="I18" s="381">
        <f t="shared" si="4"/>
        <v>11989.92052941988</v>
      </c>
      <c r="L18" s="281">
        <f>L71</f>
        <v>135.68547320208339</v>
      </c>
      <c r="M18" s="281">
        <f t="shared" ref="M18:Q18" si="5">M71</f>
        <v>298.51705055602696</v>
      </c>
      <c r="N18" s="281">
        <f t="shared" si="5"/>
        <v>454.79423113777864</v>
      </c>
      <c r="O18" s="281">
        <f t="shared" si="5"/>
        <v>495.76884591845919</v>
      </c>
      <c r="P18" s="281">
        <f t="shared" si="5"/>
        <v>500.54895367741915</v>
      </c>
      <c r="Q18" s="281">
        <f t="shared" si="5"/>
        <v>505.3751503150479</v>
      </c>
      <c r="R18" s="125"/>
      <c r="S18" s="131"/>
      <c r="T18" s="131"/>
      <c r="U18" s="131"/>
      <c r="V18" s="131"/>
      <c r="W18" s="131"/>
      <c r="X18" s="131"/>
      <c r="Y18" s="131"/>
      <c r="Z18" s="131"/>
      <c r="AJ18" s="277"/>
      <c r="AK18" s="277"/>
      <c r="AL18" s="277"/>
      <c r="AM18" s="277"/>
      <c r="AN18" s="277"/>
    </row>
    <row r="19" spans="1:40" ht="14.45" customHeight="1" x14ac:dyDescent="0.25">
      <c r="A19" s="278"/>
      <c r="B19" s="398" t="str">
        <f>B74</f>
        <v>Preparation time before administration (hours)</v>
      </c>
      <c r="C19" s="401"/>
      <c r="D19" s="381">
        <f>D81</f>
        <v>3219.1096845096895</v>
      </c>
      <c r="E19" s="381">
        <f t="shared" ref="E19:I19" si="6">E81</f>
        <v>5280.7595733150456</v>
      </c>
      <c r="F19" s="381">
        <f t="shared" si="6"/>
        <v>7152.168414182549</v>
      </c>
      <c r="G19" s="381">
        <f t="shared" si="6"/>
        <v>7681.118948266163</v>
      </c>
      <c r="H19" s="381">
        <f t="shared" si="6"/>
        <v>7755.1788182728806</v>
      </c>
      <c r="I19" s="381">
        <f t="shared" si="6"/>
        <v>7829.9527592870063</v>
      </c>
      <c r="L19" s="281">
        <f>L81</f>
        <v>135.68547320208339</v>
      </c>
      <c r="M19" s="281">
        <f t="shared" ref="M19:Q19" si="7">M81</f>
        <v>222.58401601522917</v>
      </c>
      <c r="N19" s="281">
        <f t="shared" si="7"/>
        <v>301.46389865779446</v>
      </c>
      <c r="O19" s="281">
        <f t="shared" si="7"/>
        <v>323.75916366941874</v>
      </c>
      <c r="P19" s="281">
        <f t="shared" si="7"/>
        <v>326.88078719020189</v>
      </c>
      <c r="Q19" s="281">
        <f t="shared" si="7"/>
        <v>330.03250880394734</v>
      </c>
      <c r="R19" s="125"/>
      <c r="S19" s="131"/>
      <c r="T19" s="131"/>
      <c r="U19" s="131"/>
      <c r="V19" s="131"/>
      <c r="W19" s="131"/>
      <c r="X19" s="131"/>
      <c r="Y19" s="131"/>
      <c r="Z19" s="131"/>
      <c r="AJ19" s="277"/>
      <c r="AK19" s="277"/>
      <c r="AL19" s="277"/>
      <c r="AM19" s="277"/>
      <c r="AN19" s="277"/>
    </row>
    <row r="20" spans="1:40" ht="14.45" customHeight="1" x14ac:dyDescent="0.25">
      <c r="A20" s="278"/>
      <c r="B20" s="398" t="str">
        <f>B84</f>
        <v>Post administration nursing time (hours)</v>
      </c>
      <c r="C20" s="401"/>
      <c r="D20" s="381">
        <f>D91</f>
        <v>3219.1096845096895</v>
      </c>
      <c r="E20" s="382">
        <f t="shared" ref="E20:I20" si="8">E91</f>
        <v>5280.7595733150456</v>
      </c>
      <c r="F20" s="381">
        <f t="shared" si="8"/>
        <v>7152.168414182549</v>
      </c>
      <c r="G20" s="381">
        <f t="shared" si="8"/>
        <v>7681.118948266163</v>
      </c>
      <c r="H20" s="381">
        <f t="shared" si="8"/>
        <v>7755.1788182728806</v>
      </c>
      <c r="I20" s="381">
        <f t="shared" si="8"/>
        <v>7829.9527592870063</v>
      </c>
      <c r="L20" s="281">
        <f>L91</f>
        <v>135.68547320208339</v>
      </c>
      <c r="M20" s="281">
        <f t="shared" ref="M20:Q20" si="9">M91</f>
        <v>222.58401601522917</v>
      </c>
      <c r="N20" s="281">
        <f t="shared" si="9"/>
        <v>301.46389865779446</v>
      </c>
      <c r="O20" s="281">
        <f t="shared" si="9"/>
        <v>323.75916366941874</v>
      </c>
      <c r="P20" s="281">
        <f t="shared" si="9"/>
        <v>326.88078719020189</v>
      </c>
      <c r="Q20" s="281">
        <f t="shared" si="9"/>
        <v>330.03250880394734</v>
      </c>
      <c r="R20" s="125"/>
      <c r="S20" s="131"/>
      <c r="T20" s="131"/>
      <c r="U20" s="131"/>
      <c r="V20" s="131"/>
      <c r="W20" s="131"/>
      <c r="X20" s="131"/>
      <c r="Y20" s="131"/>
      <c r="Z20" s="131"/>
      <c r="AJ20" s="277"/>
      <c r="AK20" s="277"/>
      <c r="AL20" s="277"/>
      <c r="AM20" s="277"/>
      <c r="AN20" s="277"/>
    </row>
    <row r="21" spans="1:40" ht="14.45" customHeight="1" x14ac:dyDescent="0.25">
      <c r="A21" s="280"/>
      <c r="B21" s="399" t="str">
        <f>B95</f>
        <v>Pharmacy support (hours)</v>
      </c>
      <c r="C21" s="402"/>
      <c r="D21" s="383">
        <f>D102</f>
        <v>1609.5548422548447</v>
      </c>
      <c r="E21" s="383">
        <f t="shared" ref="E21:I21" si="10">E102</f>
        <v>2640.3797866575228</v>
      </c>
      <c r="F21" s="383">
        <f t="shared" si="10"/>
        <v>3576.0842070912745</v>
      </c>
      <c r="G21" s="383">
        <f t="shared" si="10"/>
        <v>3840.5594741330815</v>
      </c>
      <c r="H21" s="383">
        <f t="shared" si="10"/>
        <v>3877.5894091364403</v>
      </c>
      <c r="I21" s="383">
        <f t="shared" si="10"/>
        <v>3914.9763796435032</v>
      </c>
      <c r="L21" s="281">
        <f>L102</f>
        <v>75.278879972259105</v>
      </c>
      <c r="M21" s="281">
        <f t="shared" ref="M21:Q21" si="11">M102</f>
        <v>123.49056262197234</v>
      </c>
      <c r="N21" s="281">
        <f t="shared" si="11"/>
        <v>167.2534583656589</v>
      </c>
      <c r="O21" s="281">
        <f t="shared" si="11"/>
        <v>179.62296660520423</v>
      </c>
      <c r="P21" s="281">
        <f t="shared" si="11"/>
        <v>181.35485666531133</v>
      </c>
      <c r="Q21" s="281">
        <f t="shared" si="11"/>
        <v>183.10344527592667</v>
      </c>
      <c r="R21" s="125"/>
      <c r="S21" s="131"/>
      <c r="T21" s="131"/>
      <c r="U21" s="131"/>
      <c r="V21" s="131"/>
      <c r="W21" s="131"/>
      <c r="X21" s="131"/>
      <c r="Y21" s="131"/>
      <c r="Z21" s="131"/>
      <c r="AJ21" s="277"/>
      <c r="AK21" s="277"/>
      <c r="AL21" s="277"/>
      <c r="AM21" s="277"/>
      <c r="AN21" s="277"/>
    </row>
    <row r="22" spans="1:40" ht="14.45" customHeight="1" x14ac:dyDescent="0.25">
      <c r="B22" s="241"/>
      <c r="D22" s="277"/>
      <c r="F22" s="131"/>
      <c r="G22" s="131"/>
      <c r="H22" s="131"/>
      <c r="I22" s="131"/>
      <c r="J22" s="131"/>
      <c r="K22" s="131"/>
      <c r="L22" s="282">
        <f t="shared" ref="L22:Q22" si="12">SUM(L12:L21)</f>
        <v>853.42495535507646</v>
      </c>
      <c r="M22" s="282">
        <f t="shared" si="12"/>
        <v>1290.890951766331</v>
      </c>
      <c r="N22" s="282">
        <f t="shared" si="12"/>
        <v>1693.5382783154628</v>
      </c>
      <c r="O22" s="282">
        <f t="shared" si="12"/>
        <v>1806.2003002576096</v>
      </c>
      <c r="P22" s="282">
        <f t="shared" si="12"/>
        <v>1822.4503269984466</v>
      </c>
      <c r="Q22" s="282">
        <f t="shared" si="12"/>
        <v>1838.8570333684029</v>
      </c>
      <c r="R22" s="125"/>
      <c r="S22" s="131"/>
      <c r="T22" s="131"/>
      <c r="U22" s="131"/>
      <c r="V22" s="131"/>
      <c r="W22" s="131"/>
      <c r="X22" s="131"/>
      <c r="Y22" s="131"/>
      <c r="Z22" s="131"/>
    </row>
    <row r="23" spans="1:40" ht="14.45" customHeight="1" x14ac:dyDescent="0.25">
      <c r="B23" s="301"/>
      <c r="C23" s="301"/>
      <c r="D23" s="301"/>
      <c r="E23" s="301"/>
      <c r="F23" s="301"/>
      <c r="G23" s="301"/>
      <c r="H23" s="301"/>
      <c r="I23" s="301"/>
      <c r="J23" s="301"/>
      <c r="K23" s="301"/>
      <c r="L23" s="301"/>
      <c r="P23" s="131"/>
      <c r="Q23" s="131"/>
      <c r="R23" s="125"/>
      <c r="S23" s="131"/>
      <c r="V23" s="131"/>
      <c r="W23" s="131"/>
      <c r="X23" s="131"/>
      <c r="Y23" s="131"/>
      <c r="Z23" s="131"/>
      <c r="AJ23" s="277"/>
      <c r="AK23" s="277"/>
      <c r="AL23" s="277"/>
      <c r="AM23" s="277"/>
      <c r="AN23" s="277"/>
    </row>
    <row r="24" spans="1:40" ht="14.45" customHeight="1" x14ac:dyDescent="0.25">
      <c r="B24" s="343" t="s">
        <v>818</v>
      </c>
      <c r="C24" s="344"/>
      <c r="D24" s="344"/>
      <c r="E24" s="345"/>
      <c r="F24" s="344"/>
      <c r="G24" s="346"/>
      <c r="H24" s="347"/>
      <c r="I24" s="347"/>
      <c r="J24" s="347"/>
      <c r="K24" s="347"/>
      <c r="L24" s="347"/>
      <c r="M24" s="347"/>
      <c r="N24" s="347"/>
      <c r="O24" s="347"/>
      <c r="P24" s="347"/>
      <c r="Q24" s="348"/>
      <c r="R24" s="125"/>
      <c r="S24" s="131"/>
      <c r="T24" s="131"/>
      <c r="U24" s="131"/>
      <c r="V24" s="131"/>
      <c r="W24" s="131"/>
      <c r="X24" s="131"/>
      <c r="Y24" s="131"/>
      <c r="Z24" s="131"/>
      <c r="AJ24" s="277"/>
      <c r="AK24" s="277"/>
      <c r="AL24" s="277"/>
      <c r="AM24" s="277"/>
      <c r="AN24" s="277"/>
    </row>
    <row r="25" spans="1:40" ht="14.45" customHeight="1" x14ac:dyDescent="0.25">
      <c r="A25" s="279"/>
      <c r="B25" s="502" t="s">
        <v>714</v>
      </c>
      <c r="C25" s="495"/>
      <c r="D25" s="496"/>
      <c r="E25" s="497"/>
      <c r="F25" s="279"/>
      <c r="G25" s="279"/>
      <c r="H25" s="215"/>
      <c r="I25" s="215"/>
      <c r="J25" s="215"/>
      <c r="K25" s="215"/>
      <c r="L25" s="215"/>
      <c r="M25" s="215"/>
      <c r="N25" s="215"/>
      <c r="O25" s="215"/>
      <c r="P25" s="215"/>
      <c r="Q25" s="215"/>
      <c r="R25" s="125"/>
      <c r="S25" s="131"/>
      <c r="T25" s="131"/>
      <c r="U25" s="131"/>
      <c r="V25" s="131"/>
      <c r="W25" s="131"/>
      <c r="X25" s="131"/>
      <c r="Y25" s="131"/>
      <c r="Z25" s="131"/>
      <c r="AJ25" s="277"/>
      <c r="AK25" s="277"/>
      <c r="AL25" s="277"/>
      <c r="AM25" s="277"/>
      <c r="AN25" s="277"/>
    </row>
    <row r="26" spans="1:40" ht="14.45" customHeight="1" x14ac:dyDescent="0.25">
      <c r="A26" s="493"/>
      <c r="B26" s="498" t="s">
        <v>838</v>
      </c>
      <c r="C26" s="365"/>
      <c r="D26" s="365"/>
      <c r="E26" s="365"/>
      <c r="F26" s="365"/>
      <c r="G26" s="365"/>
      <c r="H26" s="365"/>
      <c r="I26" s="214"/>
      <c r="J26" s="215"/>
      <c r="K26" s="215"/>
      <c r="L26" s="215"/>
      <c r="M26" s="215"/>
      <c r="N26" s="215"/>
      <c r="O26" s="215"/>
      <c r="P26" s="215"/>
      <c r="Q26" s="215"/>
      <c r="R26" s="125"/>
      <c r="S26" s="131"/>
      <c r="T26" s="131"/>
      <c r="U26" s="131"/>
      <c r="V26" s="131"/>
      <c r="W26" s="131"/>
      <c r="X26" s="131"/>
      <c r="Y26" s="131"/>
      <c r="Z26" s="131"/>
      <c r="AJ26" s="277"/>
      <c r="AK26" s="277"/>
      <c r="AL26" s="277"/>
      <c r="AM26" s="277"/>
      <c r="AN26" s="277"/>
    </row>
    <row r="27" spans="1:40" ht="45" x14ac:dyDescent="0.25">
      <c r="A27" s="493"/>
      <c r="B27" s="300" t="s">
        <v>768</v>
      </c>
      <c r="C27" s="162" t="s">
        <v>819</v>
      </c>
      <c r="D27" s="384" t="s">
        <v>809</v>
      </c>
      <c r="E27" s="247" t="s">
        <v>676</v>
      </c>
      <c r="F27" s="247" t="s">
        <v>677</v>
      </c>
      <c r="G27" s="161" t="s">
        <v>778</v>
      </c>
      <c r="H27" s="161" t="s">
        <v>779</v>
      </c>
      <c r="I27" s="247" t="s">
        <v>780</v>
      </c>
      <c r="J27" s="501"/>
      <c r="K27" s="492" t="s">
        <v>820</v>
      </c>
      <c r="L27" s="384" t="s">
        <v>809</v>
      </c>
      <c r="M27" s="482" t="s">
        <v>676</v>
      </c>
      <c r="N27" s="482" t="s">
        <v>677</v>
      </c>
      <c r="O27" s="385" t="s">
        <v>778</v>
      </c>
      <c r="P27" s="385" t="s">
        <v>779</v>
      </c>
      <c r="Q27" s="482" t="s">
        <v>780</v>
      </c>
      <c r="R27" s="125"/>
      <c r="S27" s="131"/>
      <c r="T27" s="131"/>
      <c r="U27" s="131"/>
      <c r="V27" s="131"/>
      <c r="W27" s="131"/>
      <c r="X27" s="131"/>
      <c r="Y27" s="131"/>
      <c r="Z27" s="131"/>
      <c r="AJ27" s="277"/>
      <c r="AK27" s="277"/>
      <c r="AL27" s="277"/>
      <c r="AM27" s="277"/>
      <c r="AN27" s="277"/>
    </row>
    <row r="28" spans="1:40" ht="14.45" customHeight="1" x14ac:dyDescent="0.25">
      <c r="A28" s="493"/>
      <c r="B28" s="322" t="s">
        <v>962</v>
      </c>
      <c r="C28" s="146">
        <f>'Inputs and eligible population'!F112</f>
        <v>1</v>
      </c>
      <c r="D28" s="126">
        <f>'Financial impact (cash)'!D14*$C$28</f>
        <v>0</v>
      </c>
      <c r="E28" s="126">
        <f>'Financial impact (cash)'!E14*$C$28</f>
        <v>302.26434251593406</v>
      </c>
      <c r="F28" s="126">
        <f>'Financial impact (cash)'!F14*$C$28</f>
        <v>610.35743421936752</v>
      </c>
      <c r="G28" s="126">
        <f>'Financial impact (cash)'!G14*$C$28</f>
        <v>684.71375898254257</v>
      </c>
      <c r="H28" s="126">
        <f>'Financial impact (cash)'!H14*$C$28</f>
        <v>691.31563721455518</v>
      </c>
      <c r="I28" s="126">
        <f>'Financial impact (cash)'!I14*$C$28</f>
        <v>697.9811694853812</v>
      </c>
      <c r="J28" s="501"/>
      <c r="K28" s="506">
        <f>'Inputs and eligible population'!M113</f>
        <v>121.08</v>
      </c>
      <c r="L28" s="508">
        <f>$K28/1000*$D$28*'Inputs and eligible population'!$F$113/60</f>
        <v>0</v>
      </c>
      <c r="M28" s="508">
        <f>$K28/1000*$D$28*'Inputs and eligible population'!$F$113/60</f>
        <v>0</v>
      </c>
      <c r="N28" s="508">
        <f>$K28/1000*$D$28*'Inputs and eligible population'!$F$113/60</f>
        <v>0</v>
      </c>
      <c r="O28" s="508">
        <f>$K28/1000*$D$28*'Inputs and eligible population'!$F$113/60</f>
        <v>0</v>
      </c>
      <c r="P28" s="508">
        <f>$K28/1000*$D$28*'Inputs and eligible population'!$F$113/60</f>
        <v>0</v>
      </c>
      <c r="Q28" s="508">
        <f>$K28/1000*$D$28*'Inputs and eligible population'!$F$113/60</f>
        <v>0</v>
      </c>
      <c r="R28" s="125"/>
      <c r="S28" s="131"/>
      <c r="T28" s="131"/>
      <c r="U28" s="131"/>
      <c r="V28" s="131"/>
      <c r="W28" s="131"/>
      <c r="X28" s="131"/>
      <c r="Y28" s="131"/>
      <c r="Z28" s="131"/>
      <c r="AJ28" s="277"/>
      <c r="AK28" s="277"/>
      <c r="AL28" s="277"/>
      <c r="AM28" s="277"/>
      <c r="AN28" s="277"/>
    </row>
    <row r="29" spans="1:40" ht="14.45" customHeight="1" x14ac:dyDescent="0.25">
      <c r="A29" s="493"/>
      <c r="B29" s="322" t="s">
        <v>980</v>
      </c>
      <c r="C29" s="146">
        <f>'Inputs and eligible population'!H112</f>
        <v>1</v>
      </c>
      <c r="D29" s="126">
        <f>'Financial impact (cash)'!D15*$C$29</f>
        <v>99.792599804999995</v>
      </c>
      <c r="E29" s="126">
        <f>'Financial impact (cash)'!E15*$C$29</f>
        <v>403.01912335457882</v>
      </c>
      <c r="F29" s="126">
        <f>'Financial impact (cash)'!F15*$C$29</f>
        <v>610.35743421936752</v>
      </c>
      <c r="G29" s="126">
        <f>'Financial impact (cash)'!G15*$C$29</f>
        <v>684.71375898254257</v>
      </c>
      <c r="H29" s="126">
        <f>'Financial impact (cash)'!H15*$C$29</f>
        <v>691.31563721455518</v>
      </c>
      <c r="I29" s="126">
        <f>'Financial impact (cash)'!I15*$C$29</f>
        <v>697.9811694853812</v>
      </c>
      <c r="J29" s="501"/>
      <c r="K29" s="506">
        <f>'Inputs and eligible population'!M113</f>
        <v>121.08</v>
      </c>
      <c r="L29" s="508">
        <f>$K29/1000*$D$29*'Inputs and eligible population'!$H$113/60</f>
        <v>6.041443992194699</v>
      </c>
      <c r="M29" s="508">
        <f>$K29/1000*$D$29*'Inputs and eligible population'!$H$113/60</f>
        <v>6.041443992194699</v>
      </c>
      <c r="N29" s="508">
        <f>$K29/1000*$D$29*'Inputs and eligible population'!$H$113/60</f>
        <v>6.041443992194699</v>
      </c>
      <c r="O29" s="508">
        <f>$K29/1000*$D$29*'Inputs and eligible population'!$H$113/60</f>
        <v>6.041443992194699</v>
      </c>
      <c r="P29" s="508">
        <f>$K29/1000*$D$29*'Inputs and eligible population'!$H$113/60</f>
        <v>6.041443992194699</v>
      </c>
      <c r="Q29" s="508">
        <f>$K29/1000*$D$29*'Inputs and eligible population'!$H$113/60</f>
        <v>6.041443992194699</v>
      </c>
      <c r="R29" s="125"/>
      <c r="S29" s="131"/>
      <c r="T29" s="131"/>
      <c r="U29" s="131"/>
      <c r="V29" s="131"/>
      <c r="W29" s="131"/>
      <c r="X29" s="131"/>
      <c r="Y29" s="131"/>
      <c r="Z29" s="131"/>
      <c r="AJ29" s="277"/>
      <c r="AK29" s="277"/>
      <c r="AL29" s="277"/>
      <c r="AM29" s="277"/>
      <c r="AN29" s="277"/>
    </row>
    <row r="30" spans="1:40" ht="14.45" customHeight="1" x14ac:dyDescent="0.25">
      <c r="A30" s="493"/>
      <c r="B30" s="322" t="s">
        <v>964</v>
      </c>
      <c r="C30" s="146">
        <f>'Inputs and eligible population'!J112</f>
        <v>1</v>
      </c>
      <c r="D30" s="126">
        <f>'Financial impact (cash)'!D16*$C$30</f>
        <v>1896.0593962949997</v>
      </c>
      <c r="E30" s="126">
        <f>'Financial impact (cash)'!E16*$C$30</f>
        <v>1309.8121509023811</v>
      </c>
      <c r="F30" s="126">
        <f>'Financial impact (cash)'!F16*$C$30</f>
        <v>813.80991229249014</v>
      </c>
      <c r="G30" s="126">
        <f>'Financial impact (cash)'!G16*$C$30</f>
        <v>684.71375898254257</v>
      </c>
      <c r="H30" s="126">
        <f>'Financial impact (cash)'!H16*$C$30</f>
        <v>691.31563721455518</v>
      </c>
      <c r="I30" s="126">
        <f>'Financial impact (cash)'!I16*$C$30</f>
        <v>697.9811694853812</v>
      </c>
      <c r="J30" s="501"/>
      <c r="K30" s="506">
        <f>'Inputs and eligible population'!M113</f>
        <v>121.08</v>
      </c>
      <c r="L30" s="508">
        <f>$K30/1000*$D$30*'Inputs and eligible population'!$J$113/60</f>
        <v>114.78743585169927</v>
      </c>
      <c r="M30" s="508">
        <f>$K30/1000*$D$30*'Inputs and eligible population'!$J$113/60</f>
        <v>114.78743585169927</v>
      </c>
      <c r="N30" s="508">
        <f>$K30/1000*$D$30*'Inputs and eligible population'!$J$113/60</f>
        <v>114.78743585169927</v>
      </c>
      <c r="O30" s="508">
        <f>$K30/1000*$D$30*'Inputs and eligible population'!$J$113/60</f>
        <v>114.78743585169927</v>
      </c>
      <c r="P30" s="508">
        <f>$K30/1000*$D$30*'Inputs and eligible population'!$J$113/60</f>
        <v>114.78743585169927</v>
      </c>
      <c r="Q30" s="508">
        <f>$K30/1000*$D$30*'Inputs and eligible population'!$J$113/60</f>
        <v>114.78743585169927</v>
      </c>
      <c r="R30" s="125"/>
      <c r="S30" s="131"/>
      <c r="T30" s="131"/>
      <c r="U30" s="131"/>
      <c r="V30" s="131"/>
      <c r="W30" s="131"/>
      <c r="X30" s="131"/>
      <c r="Y30" s="131"/>
      <c r="Z30" s="131"/>
      <c r="AJ30" s="277"/>
      <c r="AK30" s="277"/>
      <c r="AL30" s="277"/>
      <c r="AM30" s="277"/>
      <c r="AN30" s="277"/>
    </row>
    <row r="31" spans="1:40" ht="14.45" customHeight="1" x14ac:dyDescent="0.25">
      <c r="A31" s="493"/>
      <c r="B31" s="462"/>
      <c r="C31" s="304"/>
      <c r="D31" s="182">
        <f>SUM(D28:D30)</f>
        <v>1995.8519960999997</v>
      </c>
      <c r="E31" s="182">
        <f t="shared" ref="E31:I31" si="13">SUM(E28:E30)</f>
        <v>2015.0956167728939</v>
      </c>
      <c r="F31" s="182">
        <f t="shared" si="13"/>
        <v>2034.5247807312253</v>
      </c>
      <c r="G31" s="182">
        <f t="shared" si="13"/>
        <v>2054.1412769476278</v>
      </c>
      <c r="H31" s="182">
        <f t="shared" si="13"/>
        <v>2073.9469116436658</v>
      </c>
      <c r="I31" s="182">
        <f t="shared" si="13"/>
        <v>2093.9435084561437</v>
      </c>
      <c r="J31" s="501"/>
      <c r="K31" s="215"/>
      <c r="L31" s="282">
        <f>SUM(L28:L30)</f>
        <v>120.82887984389397</v>
      </c>
      <c r="M31" s="282">
        <f t="shared" ref="M31:Q31" si="14">SUM(M28:M30)</f>
        <v>120.82887984389397</v>
      </c>
      <c r="N31" s="282">
        <f t="shared" si="14"/>
        <v>120.82887984389397</v>
      </c>
      <c r="O31" s="282">
        <f t="shared" si="14"/>
        <v>120.82887984389397</v>
      </c>
      <c r="P31" s="282">
        <f t="shared" si="14"/>
        <v>120.82887984389397</v>
      </c>
      <c r="Q31" s="282">
        <f t="shared" si="14"/>
        <v>120.82887984389397</v>
      </c>
      <c r="R31" s="125"/>
      <c r="S31" s="131"/>
      <c r="T31" s="131"/>
      <c r="U31" s="131"/>
      <c r="V31" s="131"/>
      <c r="W31" s="131"/>
      <c r="X31" s="131"/>
      <c r="Y31" s="131"/>
      <c r="Z31" s="131"/>
      <c r="AJ31" s="277"/>
      <c r="AK31" s="277"/>
      <c r="AL31" s="277"/>
      <c r="AM31" s="277"/>
      <c r="AN31" s="277"/>
    </row>
    <row r="32" spans="1:40" ht="14.45" customHeight="1" x14ac:dyDescent="0.25">
      <c r="A32" s="493"/>
      <c r="B32" s="248"/>
      <c r="C32" s="248"/>
      <c r="D32" s="276" t="s">
        <v>1127</v>
      </c>
      <c r="E32" s="182">
        <f>E31-$D$31</f>
        <v>19.243620672894167</v>
      </c>
      <c r="F32" s="182">
        <f>F31-$D$31</f>
        <v>38.672784631225568</v>
      </c>
      <c r="G32" s="182">
        <f>G31-$D$31</f>
        <v>58.289280847628106</v>
      </c>
      <c r="H32" s="182">
        <f>H31-$D$31</f>
        <v>78.094915543666048</v>
      </c>
      <c r="I32" s="182">
        <f>I31-$D$31</f>
        <v>98.091512356143994</v>
      </c>
      <c r="J32" s="501"/>
      <c r="K32" s="215"/>
      <c r="L32" s="215"/>
      <c r="M32" s="282">
        <f>M31-$L31</f>
        <v>0</v>
      </c>
      <c r="N32" s="282">
        <f t="shared" ref="N32:Q32" si="15">N31-$L31</f>
        <v>0</v>
      </c>
      <c r="O32" s="282">
        <f t="shared" si="15"/>
        <v>0</v>
      </c>
      <c r="P32" s="282">
        <f t="shared" si="15"/>
        <v>0</v>
      </c>
      <c r="Q32" s="282">
        <f t="shared" si="15"/>
        <v>0</v>
      </c>
      <c r="R32" s="125"/>
      <c r="S32" s="131"/>
      <c r="T32" s="131"/>
      <c r="U32" s="131"/>
      <c r="V32" s="131"/>
      <c r="W32" s="131"/>
      <c r="X32" s="131"/>
      <c r="Y32" s="131"/>
      <c r="Z32" s="131"/>
      <c r="AJ32" s="277"/>
      <c r="AK32" s="277"/>
      <c r="AL32" s="277"/>
      <c r="AM32" s="277"/>
      <c r="AN32" s="277"/>
    </row>
    <row r="33" spans="1:40" ht="14.45" customHeight="1" x14ac:dyDescent="0.25">
      <c r="A33" s="279"/>
      <c r="B33" s="494"/>
      <c r="C33" s="495"/>
      <c r="D33" s="496"/>
      <c r="E33" s="497"/>
      <c r="F33" s="279"/>
      <c r="G33" s="279"/>
      <c r="H33" s="279"/>
      <c r="I33" s="299"/>
      <c r="J33" s="215"/>
      <c r="K33" s="215"/>
      <c r="L33" s="215"/>
      <c r="M33" s="215"/>
      <c r="N33" s="215"/>
      <c r="O33" s="215"/>
      <c r="P33" s="215"/>
      <c r="Q33" s="215"/>
      <c r="R33" s="125"/>
      <c r="S33" s="131"/>
      <c r="T33" s="131"/>
      <c r="U33" s="131"/>
      <c r="V33" s="131"/>
      <c r="W33" s="131"/>
      <c r="X33" s="131"/>
      <c r="Y33" s="131"/>
      <c r="Z33" s="131"/>
      <c r="AJ33" s="277"/>
      <c r="AK33" s="277"/>
      <c r="AL33" s="277"/>
      <c r="AM33" s="277"/>
      <c r="AN33" s="277"/>
    </row>
    <row r="34" spans="1:40" ht="14.45" customHeight="1" x14ac:dyDescent="0.25">
      <c r="A34" s="279"/>
      <c r="B34" s="364" t="s">
        <v>839</v>
      </c>
      <c r="C34" s="365"/>
      <c r="D34" s="365"/>
      <c r="E34" s="365"/>
      <c r="F34" s="365"/>
      <c r="G34" s="365"/>
      <c r="H34" s="365"/>
      <c r="I34" s="214"/>
      <c r="J34" s="215"/>
      <c r="K34" s="215"/>
      <c r="L34" s="215"/>
      <c r="M34" s="215"/>
      <c r="N34" s="215"/>
      <c r="O34" s="215"/>
      <c r="P34" s="215"/>
      <c r="Q34" s="215"/>
      <c r="R34" s="125"/>
      <c r="S34" s="131"/>
      <c r="T34" s="131"/>
      <c r="U34" s="131"/>
      <c r="V34" s="131"/>
      <c r="W34" s="131"/>
      <c r="X34" s="131"/>
      <c r="Y34" s="131"/>
      <c r="Z34" s="131"/>
      <c r="AJ34" s="277"/>
      <c r="AK34" s="277"/>
      <c r="AL34" s="277"/>
      <c r="AM34" s="277"/>
      <c r="AN34" s="277"/>
    </row>
    <row r="35" spans="1:40" ht="45" x14ac:dyDescent="0.25">
      <c r="A35" s="279"/>
      <c r="B35" s="273" t="s">
        <v>768</v>
      </c>
      <c r="C35" s="162" t="s">
        <v>819</v>
      </c>
      <c r="D35" s="384" t="s">
        <v>809</v>
      </c>
      <c r="E35" s="247" t="s">
        <v>676</v>
      </c>
      <c r="F35" s="247" t="s">
        <v>677</v>
      </c>
      <c r="G35" s="161" t="s">
        <v>778</v>
      </c>
      <c r="H35" s="161" t="s">
        <v>779</v>
      </c>
      <c r="I35" s="247" t="s">
        <v>780</v>
      </c>
      <c r="J35" s="215"/>
      <c r="K35" s="492" t="s">
        <v>820</v>
      </c>
      <c r="L35" s="384" t="s">
        <v>809</v>
      </c>
      <c r="M35" s="482" t="s">
        <v>676</v>
      </c>
      <c r="N35" s="482" t="s">
        <v>677</v>
      </c>
      <c r="O35" s="385" t="s">
        <v>778</v>
      </c>
      <c r="P35" s="385" t="s">
        <v>779</v>
      </c>
      <c r="Q35" s="482" t="s">
        <v>780</v>
      </c>
      <c r="R35" s="125"/>
      <c r="S35" s="131"/>
      <c r="T35" s="131"/>
      <c r="U35" s="131"/>
      <c r="V35" s="131"/>
      <c r="W35" s="131"/>
      <c r="X35" s="131"/>
      <c r="Y35" s="131"/>
      <c r="Z35" s="131"/>
      <c r="AJ35" s="277"/>
      <c r="AK35" s="277"/>
      <c r="AL35" s="277"/>
      <c r="AM35" s="277"/>
      <c r="AN35" s="277"/>
    </row>
    <row r="36" spans="1:40" ht="14.45" customHeight="1" x14ac:dyDescent="0.25">
      <c r="A36" s="279"/>
      <c r="B36" s="322" t="s">
        <v>1130</v>
      </c>
      <c r="C36" s="812">
        <f>'Inputs and eligible population'!F114</f>
        <v>3</v>
      </c>
      <c r="D36" s="126">
        <f>'Financial impact (cash)'!D14*$C$36</f>
        <v>0</v>
      </c>
      <c r="E36" s="126">
        <f>'Financial impact (cash)'!E14*$C$36</f>
        <v>906.79302754780224</v>
      </c>
      <c r="F36" s="126">
        <f>'Financial impact (cash)'!F14*$C$36</f>
        <v>1831.0723026581027</v>
      </c>
      <c r="G36" s="126">
        <f>'Financial impact (cash)'!G14*$C$36</f>
        <v>2054.1412769476278</v>
      </c>
      <c r="H36" s="126">
        <f>'Financial impact (cash)'!H14*$C$36</f>
        <v>2073.9469116436658</v>
      </c>
      <c r="I36" s="126">
        <f>'Financial impact (cash)'!I14*$C$36</f>
        <v>2093.9435084561437</v>
      </c>
      <c r="J36" s="215"/>
      <c r="K36" s="506">
        <f>'Inputs and eligible population'!M115</f>
        <v>121.08</v>
      </c>
      <c r="L36" s="508">
        <f>$K36/1000*D36*'Inputs and eligible population'!$F$115/60</f>
        <v>0</v>
      </c>
      <c r="M36" s="508">
        <f>$K36/1000*E36*'Inputs and eligible population'!$F$115/60</f>
        <v>36.598166591829298</v>
      </c>
      <c r="N36" s="508">
        <f>$K36/1000*F36*'Inputs and eligible population'!$F$115/60</f>
        <v>73.902078135281016</v>
      </c>
      <c r="O36" s="508">
        <f>$K36/1000*G36*'Inputs and eligible population'!$F$115/60</f>
        <v>82.905141937606246</v>
      </c>
      <c r="P36" s="508">
        <f>$K36/1000*H36*'Inputs and eligible population'!$F$115/60</f>
        <v>83.704497353938351</v>
      </c>
      <c r="Q36" s="508">
        <f>$K36/1000*I36*'Inputs and eligible population'!$F$115/60</f>
        <v>84.511560001289965</v>
      </c>
      <c r="R36" s="125"/>
      <c r="S36" s="131"/>
      <c r="T36" s="131"/>
      <c r="U36" s="131"/>
      <c r="V36" s="131"/>
      <c r="W36" s="131"/>
      <c r="X36" s="131"/>
      <c r="Y36" s="131"/>
      <c r="Z36" s="131"/>
      <c r="AJ36" s="277"/>
      <c r="AK36" s="277"/>
      <c r="AL36" s="277"/>
      <c r="AM36" s="277"/>
      <c r="AN36" s="277"/>
    </row>
    <row r="37" spans="1:40" ht="14.45" customHeight="1" x14ac:dyDescent="0.25">
      <c r="A37" s="279"/>
      <c r="B37" s="322" t="s">
        <v>1131</v>
      </c>
      <c r="C37" s="812">
        <f>'Inputs and eligible population'!H114</f>
        <v>3</v>
      </c>
      <c r="D37" s="126">
        <f>'Financial impact (cash)'!D15*$C$37</f>
        <v>299.37779941499997</v>
      </c>
      <c r="E37" s="126">
        <f>'Financial impact (cash)'!E15*$C$37</f>
        <v>1209.0573700637365</v>
      </c>
      <c r="F37" s="126">
        <f>'Financial impact (cash)'!F15*$C$37</f>
        <v>1831.0723026581027</v>
      </c>
      <c r="G37" s="126">
        <f>'Financial impact (cash)'!G15*$C$37</f>
        <v>2054.1412769476278</v>
      </c>
      <c r="H37" s="126">
        <f>'Financial impact (cash)'!H15*$C$37</f>
        <v>2073.9469116436658</v>
      </c>
      <c r="I37" s="126">
        <f>'Financial impact (cash)'!I15*$C$37</f>
        <v>2093.9435084561437</v>
      </c>
      <c r="J37" s="215"/>
      <c r="K37" s="506">
        <f>'Inputs and eligible population'!M115</f>
        <v>121.08</v>
      </c>
      <c r="L37" s="508">
        <f>$K37/1000*D37*'Inputs and eligible population'!$H$115/60</f>
        <v>12.0828879843894</v>
      </c>
      <c r="M37" s="508">
        <f>$K37/1000*E37*'Inputs and eligible population'!$H$115/60</f>
        <v>48.79755545577239</v>
      </c>
      <c r="N37" s="508">
        <f>$K37/1000*F37*'Inputs and eligible population'!$H$115/60</f>
        <v>73.902078135281016</v>
      </c>
      <c r="O37" s="508">
        <f>$K37/1000*G37*'Inputs and eligible population'!$H$115/60</f>
        <v>82.905141937606246</v>
      </c>
      <c r="P37" s="508">
        <f>$K37/1000*H37*'Inputs and eligible population'!$H$115/60</f>
        <v>83.704497353938351</v>
      </c>
      <c r="Q37" s="508">
        <f>$K37/1000*I37*'Inputs and eligible population'!$H$115/60</f>
        <v>84.511560001289965</v>
      </c>
      <c r="R37" s="125"/>
      <c r="S37" s="131"/>
      <c r="T37" s="131"/>
      <c r="U37" s="131"/>
      <c r="V37" s="131"/>
      <c r="W37" s="131"/>
      <c r="X37" s="131"/>
      <c r="Y37" s="131"/>
      <c r="Z37" s="131"/>
      <c r="AJ37" s="277"/>
      <c r="AK37" s="277"/>
      <c r="AL37" s="277"/>
      <c r="AM37" s="277"/>
      <c r="AN37" s="277"/>
    </row>
    <row r="38" spans="1:40" ht="14.45" customHeight="1" x14ac:dyDescent="0.25">
      <c r="A38" s="279"/>
      <c r="B38" s="322" t="s">
        <v>1132</v>
      </c>
      <c r="C38" s="812">
        <f>'Inputs and eligible population'!J114</f>
        <v>3</v>
      </c>
      <c r="D38" s="126">
        <f>'Financial impact (cash)'!D16*$C$38</f>
        <v>5688.1781888849991</v>
      </c>
      <c r="E38" s="126">
        <f>'Financial impact (cash)'!E16*$C$38</f>
        <v>3929.436452707143</v>
      </c>
      <c r="F38" s="126">
        <f>'Financial impact (cash)'!F16*$C$38</f>
        <v>2441.4297368774705</v>
      </c>
      <c r="G38" s="126">
        <f>'Financial impact (cash)'!G16*$C$38</f>
        <v>2054.1412769476278</v>
      </c>
      <c r="H38" s="126">
        <f>'Financial impact (cash)'!H16*$C$38</f>
        <v>2073.9469116436658</v>
      </c>
      <c r="I38" s="126">
        <f>'Financial impact (cash)'!I16*$C$38</f>
        <v>2093.9435084561437</v>
      </c>
      <c r="J38" s="215"/>
      <c r="K38" s="506">
        <f>'Inputs and eligible population'!M115</f>
        <v>121.08</v>
      </c>
      <c r="L38" s="508">
        <f>$K38/1000*D38*'Inputs and eligible population'!$J$115/60</f>
        <v>229.57487170339857</v>
      </c>
      <c r="M38" s="508">
        <f>$K38/1000*E38*'Inputs and eligible population'!$J$115/60</f>
        <v>158.5920552312603</v>
      </c>
      <c r="N38" s="508">
        <f>$K38/1000*F38*'Inputs and eligible population'!$J$115/60</f>
        <v>98.536104180374707</v>
      </c>
      <c r="O38" s="508">
        <f>$K38/1000*G38*'Inputs and eligible population'!$J$115/60</f>
        <v>82.905141937606246</v>
      </c>
      <c r="P38" s="508">
        <f>$K38/1000*H38*'Inputs and eligible population'!$J$115/60</f>
        <v>83.704497353938351</v>
      </c>
      <c r="Q38" s="508">
        <f>$K38/1000*I38*'Inputs and eligible population'!$J$115/60</f>
        <v>84.511560001289965</v>
      </c>
      <c r="R38" s="125"/>
      <c r="S38" s="131"/>
      <c r="T38" s="131"/>
      <c r="U38" s="131"/>
      <c r="V38" s="131"/>
      <c r="W38" s="131"/>
      <c r="X38" s="131"/>
      <c r="Y38" s="131"/>
      <c r="Z38" s="131"/>
      <c r="AJ38" s="277"/>
      <c r="AK38" s="277"/>
      <c r="AL38" s="277"/>
      <c r="AM38" s="277"/>
      <c r="AN38" s="277"/>
    </row>
    <row r="39" spans="1:40" ht="14.45" customHeight="1" x14ac:dyDescent="0.25">
      <c r="A39" s="279"/>
      <c r="B39" s="322" t="s">
        <v>1128</v>
      </c>
      <c r="C39" s="812">
        <f>'Inputs and eligible population'!G114</f>
        <v>3</v>
      </c>
      <c r="D39" s="126">
        <f>'Financial impact (cash)'!D19*$C39</f>
        <v>0</v>
      </c>
      <c r="E39" s="126">
        <f>'Financial impact (cash)'!E19*$C39</f>
        <v>598.48339818154955</v>
      </c>
      <c r="F39" s="126">
        <f>'Financial impact (cash)'!F19*$C39</f>
        <v>1208.5077197543478</v>
      </c>
      <c r="G39" s="126">
        <f>'Financial impact (cash)'!G19*$C39</f>
        <v>1355.7332427854344</v>
      </c>
      <c r="H39" s="126">
        <f>'Financial impact (cash)'!H19*$C39</f>
        <v>1368.8049616848193</v>
      </c>
      <c r="I39" s="126">
        <f>'Financial impact (cash)'!I19*$C39</f>
        <v>1382.0027155810549</v>
      </c>
      <c r="J39" s="215"/>
      <c r="K39" s="506">
        <f>'Inputs and eligible population'!M115</f>
        <v>121.08</v>
      </c>
      <c r="L39" s="508">
        <f>$K39/1000*D39*'Inputs and eligible population'!$G$115/60</f>
        <v>0</v>
      </c>
      <c r="M39" s="508">
        <f>$K39/1000*E39*'Inputs and eligible population'!$G$115/60</f>
        <v>24.154789950607338</v>
      </c>
      <c r="N39" s="508">
        <f>$K39/1000*F39*'Inputs and eligible population'!$G$115/60</f>
        <v>48.775371569285468</v>
      </c>
      <c r="O39" s="508">
        <f>$K39/1000*G39*'Inputs and eligible population'!$G$115/60</f>
        <v>54.71739367882013</v>
      </c>
      <c r="P39" s="508">
        <f>$K39/1000*H39*'Inputs and eligible population'!$G$115/60</f>
        <v>55.244968253599303</v>
      </c>
      <c r="Q39" s="508">
        <f>$K39/1000*I39*'Inputs and eligible population'!$G$115/60</f>
        <v>55.777629600851377</v>
      </c>
      <c r="R39" s="125"/>
      <c r="S39" s="131"/>
      <c r="T39" s="131"/>
      <c r="U39" s="131"/>
      <c r="V39" s="131"/>
      <c r="W39" s="131"/>
      <c r="X39" s="131"/>
      <c r="Y39" s="131"/>
      <c r="Z39" s="131"/>
      <c r="AJ39" s="277"/>
      <c r="AK39" s="277"/>
      <c r="AL39" s="277"/>
      <c r="AM39" s="277"/>
      <c r="AN39" s="277"/>
    </row>
    <row r="40" spans="1:40" ht="14.45" customHeight="1" x14ac:dyDescent="0.25">
      <c r="A40" s="279"/>
      <c r="B40" s="321" t="s">
        <v>1129</v>
      </c>
      <c r="C40" s="812">
        <f>'Inputs and eligible population'!I114</f>
        <v>3</v>
      </c>
      <c r="D40" s="126">
        <f>'Financial impact (cash)'!D20*$C40</f>
        <v>213.15699318347998</v>
      </c>
      <c r="E40" s="126">
        <f>'Financial impact (cash)'!E20*$C40</f>
        <v>860.84884748538025</v>
      </c>
      <c r="F40" s="126">
        <f>'Financial impact (cash)'!F20*$C40</f>
        <v>1303.7234794925689</v>
      </c>
      <c r="G40" s="126">
        <f>'Financial impact (cash)'!G20*$C40</f>
        <v>1462.5485891867111</v>
      </c>
      <c r="H40" s="126">
        <f>'Financial impact (cash)'!H20*$C40</f>
        <v>1476.65020109029</v>
      </c>
      <c r="I40" s="126">
        <f>'Financial impact (cash)'!I20*$C40</f>
        <v>1490.8877780207742</v>
      </c>
      <c r="J40" s="215"/>
      <c r="K40" s="506">
        <f>'Inputs and eligible population'!M115</f>
        <v>121.08</v>
      </c>
      <c r="L40" s="508">
        <f>$K40/1000*D40*'Inputs and eligible population'!$I$115/60</f>
        <v>8.6030162448852519</v>
      </c>
      <c r="M40" s="508">
        <f>$K40/1000*E40*'Inputs and eligible population'!$I$115/60</f>
        <v>34.743859484509947</v>
      </c>
      <c r="N40" s="508">
        <f>$K40/1000*F40*'Inputs and eligible population'!$I$115/60</f>
        <v>52.618279632320082</v>
      </c>
      <c r="O40" s="508">
        <f>$K40/1000*G40*'Inputs and eligible population'!$I$115/60</f>
        <v>59.028461059575655</v>
      </c>
      <c r="P40" s="508">
        <f>$K40/1000*H40*'Inputs and eligible population'!$I$115/60</f>
        <v>59.597602116004097</v>
      </c>
      <c r="Q40" s="508">
        <f>$K40/1000*I40*'Inputs and eligible population'!$I$115/60</f>
        <v>60.172230720918449</v>
      </c>
      <c r="R40" s="125"/>
      <c r="S40" s="131"/>
      <c r="T40" s="131"/>
      <c r="U40" s="131"/>
      <c r="V40" s="131"/>
      <c r="W40" s="131"/>
      <c r="X40" s="131"/>
      <c r="Y40" s="131"/>
      <c r="Z40" s="131"/>
      <c r="AJ40" s="277"/>
      <c r="AK40" s="277"/>
      <c r="AL40" s="277"/>
      <c r="AM40" s="277"/>
      <c r="AN40" s="277"/>
    </row>
    <row r="41" spans="1:40" ht="14.45" customHeight="1" x14ac:dyDescent="0.25">
      <c r="A41" s="493"/>
      <c r="B41" s="951"/>
      <c r="C41" s="274"/>
      <c r="D41" s="182">
        <f>SUM(D36:D40)</f>
        <v>6200.7129814834789</v>
      </c>
      <c r="E41" s="182">
        <f t="shared" ref="E41:I41" si="16">SUM(E36:E40)</f>
        <v>7504.6190959856121</v>
      </c>
      <c r="F41" s="182">
        <f t="shared" si="16"/>
        <v>8615.8055414405935</v>
      </c>
      <c r="G41" s="182">
        <f t="shared" si="16"/>
        <v>8980.7056628150276</v>
      </c>
      <c r="H41" s="182">
        <f t="shared" si="16"/>
        <v>9067.2958977061062</v>
      </c>
      <c r="I41" s="182">
        <f t="shared" si="16"/>
        <v>9154.72101897026</v>
      </c>
      <c r="J41" s="501"/>
      <c r="K41" s="215"/>
      <c r="L41" s="282">
        <f>SUM(L36:L40)</f>
        <v>250.26077593267323</v>
      </c>
      <c r="M41" s="282">
        <f t="shared" ref="M41:Q41" si="17">SUM(M36:M40)</f>
        <v>302.88642671397923</v>
      </c>
      <c r="N41" s="282">
        <f t="shared" si="17"/>
        <v>347.7339116525423</v>
      </c>
      <c r="O41" s="282">
        <f t="shared" si="17"/>
        <v>362.46128055121454</v>
      </c>
      <c r="P41" s="282">
        <f t="shared" si="17"/>
        <v>365.9560624314185</v>
      </c>
      <c r="Q41" s="282">
        <f t="shared" si="17"/>
        <v>369.48454032563967</v>
      </c>
      <c r="R41" s="125"/>
      <c r="S41" s="131"/>
      <c r="T41" s="131"/>
      <c r="U41" s="131"/>
      <c r="V41" s="131"/>
      <c r="W41" s="131"/>
      <c r="X41" s="131"/>
      <c r="Y41" s="131"/>
      <c r="Z41" s="131"/>
      <c r="AJ41" s="277"/>
      <c r="AK41" s="277"/>
      <c r="AL41" s="277"/>
      <c r="AM41" s="277"/>
      <c r="AN41" s="277"/>
    </row>
    <row r="42" spans="1:40" ht="14.45" customHeight="1" x14ac:dyDescent="0.25">
      <c r="A42" s="493"/>
      <c r="B42" s="248"/>
      <c r="C42" s="248"/>
      <c r="D42" s="276" t="s">
        <v>1126</v>
      </c>
      <c r="E42" s="182">
        <f>E41-$D$41</f>
        <v>1303.9061145021333</v>
      </c>
      <c r="F42" s="182">
        <f t="shared" ref="F42:I42" si="18">F41-$D$41</f>
        <v>2415.0925599571146</v>
      </c>
      <c r="G42" s="182">
        <f t="shared" si="18"/>
        <v>2779.9926813315487</v>
      </c>
      <c r="H42" s="182">
        <f t="shared" si="18"/>
        <v>2866.5829162226273</v>
      </c>
      <c r="I42" s="182">
        <f t="shared" si="18"/>
        <v>2954.0080374867812</v>
      </c>
      <c r="J42" s="501"/>
      <c r="K42" s="215"/>
      <c r="L42" s="215"/>
      <c r="M42" s="282">
        <f>M41-$L41</f>
        <v>52.625650781306007</v>
      </c>
      <c r="N42" s="282">
        <f t="shared" ref="N42:Q42" si="19">N41-$L41</f>
        <v>97.473135719869077</v>
      </c>
      <c r="O42" s="282">
        <f t="shared" si="19"/>
        <v>112.20050461854132</v>
      </c>
      <c r="P42" s="282">
        <f t="shared" si="19"/>
        <v>115.69528649874528</v>
      </c>
      <c r="Q42" s="282">
        <f t="shared" si="19"/>
        <v>119.22376439296644</v>
      </c>
      <c r="R42" s="125"/>
      <c r="S42" s="131"/>
      <c r="T42" s="131"/>
      <c r="U42" s="131"/>
      <c r="V42" s="131"/>
      <c r="W42" s="131"/>
      <c r="X42" s="131"/>
      <c r="Y42" s="131"/>
      <c r="Z42" s="131"/>
      <c r="AJ42" s="277"/>
      <c r="AK42" s="277"/>
      <c r="AL42" s="277"/>
      <c r="AM42" s="277"/>
      <c r="AN42" s="277"/>
    </row>
    <row r="43" spans="1:40" ht="14.45" customHeight="1" x14ac:dyDescent="0.25">
      <c r="A43" s="279"/>
      <c r="B43" s="494"/>
      <c r="C43" s="495"/>
      <c r="D43" s="496"/>
      <c r="E43" s="497"/>
      <c r="F43" s="279"/>
      <c r="G43" s="279"/>
      <c r="H43" s="279"/>
      <c r="I43" s="279"/>
      <c r="J43" s="215"/>
      <c r="K43" s="215"/>
      <c r="L43" s="215"/>
      <c r="M43" s="215"/>
      <c r="N43" s="215"/>
      <c r="O43" s="215"/>
      <c r="P43" s="215"/>
      <c r="Q43" s="215"/>
      <c r="R43" s="125"/>
      <c r="S43" s="131"/>
      <c r="T43" s="131"/>
      <c r="U43" s="131"/>
      <c r="V43" s="131"/>
      <c r="W43" s="131"/>
      <c r="X43" s="131"/>
      <c r="Y43" s="131"/>
      <c r="Z43" s="131"/>
      <c r="AJ43" s="277"/>
      <c r="AK43" s="277"/>
      <c r="AL43" s="277"/>
      <c r="AM43" s="277"/>
      <c r="AN43" s="277"/>
    </row>
    <row r="44" spans="1:40" ht="14.45" customHeight="1" x14ac:dyDescent="0.25">
      <c r="A44" s="285"/>
      <c r="B44" s="302" t="s">
        <v>821</v>
      </c>
      <c r="C44" s="286"/>
      <c r="D44" s="286"/>
      <c r="E44" s="287"/>
      <c r="F44" s="288"/>
      <c r="G44" s="289"/>
      <c r="H44" s="289"/>
      <c r="I44" s="390"/>
      <c r="J44" s="391"/>
      <c r="K44" s="285"/>
      <c r="L44" s="285"/>
      <c r="M44" s="285"/>
      <c r="N44" s="285"/>
      <c r="O44" s="285"/>
      <c r="P44" s="285"/>
      <c r="Q44" s="211"/>
      <c r="R44" s="125"/>
      <c r="S44" s="131"/>
      <c r="V44" s="131"/>
    </row>
    <row r="45" spans="1:40" ht="14.45" customHeight="1" x14ac:dyDescent="0.25">
      <c r="A45" s="293"/>
      <c r="B45" s="357" t="s">
        <v>822</v>
      </c>
      <c r="C45" s="358"/>
      <c r="D45" s="358"/>
      <c r="E45" s="358"/>
      <c r="F45" s="358"/>
      <c r="G45" s="358"/>
      <c r="H45" s="358"/>
      <c r="I45" s="358"/>
      <c r="J45" s="387"/>
      <c r="K45" s="211"/>
      <c r="L45" s="211"/>
      <c r="M45" s="211"/>
      <c r="N45" s="211"/>
      <c r="O45" s="211"/>
      <c r="P45" s="211"/>
      <c r="Q45" s="211"/>
      <c r="R45" s="125"/>
      <c r="S45" s="131"/>
      <c r="T45" s="131"/>
      <c r="U45" s="131"/>
      <c r="V45" s="131"/>
      <c r="W45" s="131"/>
      <c r="X45" s="131"/>
      <c r="Y45" s="131"/>
      <c r="Z45" s="131"/>
      <c r="AJ45" s="277"/>
      <c r="AK45" s="277"/>
      <c r="AL45" s="277"/>
      <c r="AM45" s="277"/>
      <c r="AN45" s="277"/>
    </row>
    <row r="46" spans="1:40" ht="45" x14ac:dyDescent="0.25">
      <c r="A46" s="293"/>
      <c r="B46" s="300" t="s">
        <v>1134</v>
      </c>
      <c r="C46" s="464"/>
      <c r="D46" s="384" t="s">
        <v>809</v>
      </c>
      <c r="E46" s="247" t="s">
        <v>676</v>
      </c>
      <c r="F46" s="247" t="s">
        <v>677</v>
      </c>
      <c r="G46" s="161" t="s">
        <v>778</v>
      </c>
      <c r="H46" s="161" t="s">
        <v>779</v>
      </c>
      <c r="I46" s="247" t="s">
        <v>780</v>
      </c>
      <c r="J46" s="387"/>
      <c r="K46" s="211"/>
      <c r="L46" s="211"/>
      <c r="M46" s="211"/>
      <c r="N46" s="211"/>
      <c r="O46" s="211"/>
      <c r="P46" s="211"/>
      <c r="Q46" s="211"/>
      <c r="R46" s="125"/>
      <c r="S46" s="131"/>
      <c r="T46" s="131"/>
      <c r="U46" s="131"/>
      <c r="V46" s="131"/>
      <c r="W46" s="131"/>
      <c r="X46" s="131"/>
      <c r="Y46" s="131"/>
      <c r="Z46" s="131"/>
      <c r="AJ46" s="277"/>
      <c r="AK46" s="277"/>
      <c r="AL46" s="277"/>
      <c r="AM46" s="277"/>
      <c r="AN46" s="277"/>
    </row>
    <row r="47" spans="1:40" ht="14.45" customHeight="1" x14ac:dyDescent="0.25">
      <c r="A47" s="293"/>
      <c r="B47" s="463" t="s">
        <v>1021</v>
      </c>
      <c r="C47" s="448"/>
      <c r="D47" s="126">
        <f>('Financial impact (cash)'!D19*'Unit costs'!$N$83)+('Financial impact (cash)'!D20*'Unit costs'!$N$93)+('Financial impact (cash)'!D16*'Unit costs'!$N$101)</f>
        <v>6078.9660097213791</v>
      </c>
      <c r="E47" s="126">
        <f>('Financial impact (cash)'!E19*'Unit costs'!$N$83)+('Financial impact (cash)'!E20*'Unit costs'!$N$93)+('Financial impact (cash)'!E16*'Unit costs'!$N$101)</f>
        <v>7901.5929324898716</v>
      </c>
      <c r="F47" s="126">
        <f>('Financial impact (cash)'!F19*'Unit costs'!$N$83)+('Financial impact (cash)'!F20*'Unit costs'!$N$93)+('Financial impact (cash)'!F16*'Unit costs'!$N$101)</f>
        <v>9665.6203282979041</v>
      </c>
      <c r="G47" s="126">
        <f>('Financial impact (cash)'!G19*'Unit costs'!$N$83)+('Financial impact (cash)'!G20*'Unit costs'!$N$93)+('Financial impact (cash)'!G16*'Unit costs'!$N$101)</f>
        <v>10158.413328265002</v>
      </c>
      <c r="H47" s="126">
        <f>('Financial impact (cash)'!H19*'Unit costs'!$N$83)+('Financial impact (cash)'!H20*'Unit costs'!$N$93)+('Financial impact (cash)'!H16*'Unit costs'!$N$101)</f>
        <v>10256.358793715142</v>
      </c>
      <c r="I47" s="126">
        <f>('Financial impact (cash)'!I19*'Unit costs'!$N$83)+('Financial impact (cash)'!I20*'Unit costs'!$N$93)+('Financial impact (cash)'!I16*'Unit costs'!$N$101)</f>
        <v>10355.248630485115</v>
      </c>
      <c r="J47" s="387"/>
      <c r="K47" s="211"/>
      <c r="L47" s="211"/>
      <c r="M47" s="211"/>
      <c r="N47" s="211"/>
      <c r="O47" s="211"/>
      <c r="P47" s="211"/>
      <c r="Q47" s="211"/>
      <c r="R47" s="125"/>
      <c r="S47" s="131"/>
      <c r="T47" s="131"/>
      <c r="U47" s="131"/>
      <c r="V47" s="131"/>
      <c r="W47" s="131"/>
      <c r="X47" s="131"/>
      <c r="Y47" s="131"/>
      <c r="Z47" s="131"/>
      <c r="AJ47" s="277"/>
      <c r="AK47" s="277"/>
      <c r="AL47" s="277"/>
      <c r="AM47" s="277"/>
      <c r="AN47" s="277"/>
    </row>
    <row r="48" spans="1:40" ht="14.45" customHeight="1" x14ac:dyDescent="0.25">
      <c r="A48" s="293"/>
      <c r="B48" s="463" t="s">
        <v>1016</v>
      </c>
      <c r="C48" s="448"/>
      <c r="D48" s="126">
        <f>('Financial impact (cash)'!D14*'Unit costs'!$N$80)+('Financial impact (cash)'!D15*'Unit costs'!$N$90)</f>
        <v>359.25335929799996</v>
      </c>
      <c r="E48" s="126">
        <f>('Financial impact (cash)'!E14*'Unit costs'!$N$80)+('Financial impact (cash)'!E15*'Unit costs'!$N$90)</f>
        <v>2659.9262141402201</v>
      </c>
      <c r="F48" s="126">
        <f>('Financial impact (cash)'!F14*'Unit costs'!$N$80)+('Financial impact (cash)'!F15*'Unit costs'!$N$90)</f>
        <v>4638.716500067193</v>
      </c>
      <c r="G48" s="126">
        <f>('Financial impact (cash)'!G14*'Unit costs'!$N$80)+('Financial impact (cash)'!G15*'Unit costs'!$N$90)</f>
        <v>5203.8245682673241</v>
      </c>
      <c r="H48" s="126">
        <f>('Financial impact (cash)'!H14*'Unit costs'!$N$80)+('Financial impact (cash)'!H15*'Unit costs'!$N$90)</f>
        <v>5253.9988428306197</v>
      </c>
      <c r="I48" s="126">
        <f>('Financial impact (cash)'!I14*'Unit costs'!$N$80)+('Financial impact (cash)'!I15*'Unit costs'!$N$90)</f>
        <v>5304.6568880888972</v>
      </c>
      <c r="J48" s="387"/>
      <c r="K48" s="211"/>
      <c r="L48" s="211"/>
      <c r="M48" s="211"/>
      <c r="N48" s="211"/>
      <c r="O48" s="211"/>
      <c r="P48" s="211"/>
      <c r="Q48" s="211"/>
      <c r="R48" s="125"/>
      <c r="S48" s="131"/>
      <c r="T48" s="131"/>
      <c r="U48" s="131"/>
      <c r="V48" s="131"/>
      <c r="W48" s="131"/>
      <c r="X48" s="131"/>
      <c r="Y48" s="131"/>
      <c r="Z48" s="131"/>
      <c r="AJ48" s="277"/>
      <c r="AK48" s="277"/>
      <c r="AL48" s="277"/>
      <c r="AM48" s="277"/>
      <c r="AN48" s="277"/>
    </row>
    <row r="49" spans="1:40" ht="14.45" customHeight="1" x14ac:dyDescent="0.25">
      <c r="A49" s="293"/>
      <c r="B49" s="463" t="s">
        <v>1018</v>
      </c>
      <c r="C49" s="448"/>
      <c r="D49" s="126">
        <f>('Financial impact (cash)'!D14*'Unit costs'!$N$81)+('Financial impact (cash)'!D15*'Unit costs'!$N$91)+('Financial impact (cash)'!D16*'Unit costs'!$N$102)</f>
        <v>2353.3490056414316</v>
      </c>
      <c r="E49" s="126">
        <f>('Financial impact (cash)'!E14*'Unit costs'!$N$81)+('Financial impact (cash)'!E15*'Unit costs'!$N$91)+('Financial impact (cash)'!E16*'Unit costs'!$N$102)</f>
        <v>2186.3384422862546</v>
      </c>
      <c r="F49" s="126">
        <f>('Financial impact (cash)'!F14*'Unit costs'!$N$81)+('Financial impact (cash)'!F15*'Unit costs'!$N$91)+('Financial impact (cash)'!F16*'Unit costs'!$N$102)</f>
        <v>1972.9193703706837</v>
      </c>
      <c r="G49" s="126">
        <f>('Financial impact (cash)'!G14*'Unit costs'!$N$81)+('Financial impact (cash)'!G15*'Unit costs'!$N$91)+('Financial impact (cash)'!G16*'Unit costs'!$N$102)</f>
        <v>1948.969243567909</v>
      </c>
      <c r="H49" s="126">
        <f>('Financial impact (cash)'!H14*'Unit costs'!$N$81)+('Financial impact (cash)'!H15*'Unit costs'!$N$91)+('Financial impact (cash)'!H16*'Unit costs'!$N$102)</f>
        <v>1967.7608297675097</v>
      </c>
      <c r="I49" s="126">
        <f>('Financial impact (cash)'!I14*'Unit costs'!$N$81)+('Financial impact (cash)'!I15*'Unit costs'!$N$91)+('Financial impact (cash)'!I16*'Unit costs'!$N$102)</f>
        <v>1986.7336008231891</v>
      </c>
      <c r="J49" s="387"/>
      <c r="K49" s="211"/>
      <c r="L49" s="211"/>
      <c r="M49" s="211"/>
      <c r="N49" s="211"/>
      <c r="O49" s="211"/>
      <c r="P49" s="211"/>
      <c r="Q49" s="211"/>
      <c r="R49" s="125"/>
      <c r="S49" s="131"/>
      <c r="T49" s="131"/>
      <c r="U49" s="131"/>
      <c r="V49" s="131"/>
      <c r="W49" s="131"/>
      <c r="X49" s="131"/>
      <c r="Y49" s="131"/>
      <c r="Z49" s="131"/>
      <c r="AJ49" s="277"/>
      <c r="AK49" s="277"/>
      <c r="AL49" s="277"/>
      <c r="AM49" s="277"/>
      <c r="AN49" s="277"/>
    </row>
    <row r="50" spans="1:40" ht="14.45" customHeight="1" x14ac:dyDescent="0.25">
      <c r="A50" s="293"/>
      <c r="B50" s="462"/>
      <c r="C50" s="304"/>
      <c r="D50" s="182">
        <f>SUM(D47:D49)</f>
        <v>8791.5683746608102</v>
      </c>
      <c r="E50" s="182">
        <f t="shared" ref="E50:I50" si="20">SUM(E47:E49)</f>
        <v>12747.857588916346</v>
      </c>
      <c r="F50" s="182">
        <f t="shared" si="20"/>
        <v>16277.25619873578</v>
      </c>
      <c r="G50" s="182">
        <f t="shared" si="20"/>
        <v>17311.207140100236</v>
      </c>
      <c r="H50" s="182">
        <f t="shared" si="20"/>
        <v>17478.118466313274</v>
      </c>
      <c r="I50" s="182">
        <f t="shared" si="20"/>
        <v>17646.639119397201</v>
      </c>
      <c r="J50" s="387"/>
      <c r="K50" s="211"/>
      <c r="L50" s="211"/>
      <c r="M50" s="211"/>
      <c r="N50" s="211"/>
      <c r="O50" s="211"/>
      <c r="P50" s="211"/>
      <c r="Q50" s="211"/>
      <c r="R50" s="125"/>
      <c r="S50" s="131"/>
      <c r="T50" s="131"/>
      <c r="U50" s="131"/>
      <c r="V50" s="131"/>
      <c r="W50" s="131"/>
      <c r="X50" s="131"/>
      <c r="Y50" s="131"/>
      <c r="Z50" s="131"/>
      <c r="AJ50" s="277"/>
      <c r="AK50" s="277"/>
      <c r="AL50" s="277"/>
      <c r="AM50" s="277"/>
      <c r="AN50" s="277"/>
    </row>
    <row r="51" spans="1:40" ht="14.45" customHeight="1" x14ac:dyDescent="0.25">
      <c r="A51" s="293"/>
      <c r="B51" s="248"/>
      <c r="C51" s="248"/>
      <c r="D51" s="276" t="s">
        <v>823</v>
      </c>
      <c r="E51" s="182">
        <f>E50-D50</f>
        <v>3956.2892142555356</v>
      </c>
      <c r="F51" s="182">
        <f>F50-$D$50</f>
        <v>7485.6878240749702</v>
      </c>
      <c r="G51" s="182">
        <f t="shared" ref="G51:I51" si="21">G50-$D$50</f>
        <v>8519.6387654394257</v>
      </c>
      <c r="H51" s="182">
        <f t="shared" si="21"/>
        <v>8686.5500916524634</v>
      </c>
      <c r="I51" s="182">
        <f t="shared" si="21"/>
        <v>8855.0707447363911</v>
      </c>
      <c r="J51" s="387"/>
      <c r="K51" s="211"/>
      <c r="L51" s="211"/>
      <c r="M51" s="211"/>
      <c r="N51" s="211"/>
      <c r="O51" s="211"/>
      <c r="P51" s="211"/>
      <c r="Q51" s="211"/>
      <c r="R51" s="125"/>
      <c r="S51" s="131"/>
      <c r="T51" s="131"/>
      <c r="U51" s="131"/>
      <c r="V51" s="131"/>
      <c r="W51" s="131"/>
      <c r="X51" s="131"/>
      <c r="Y51" s="131"/>
      <c r="Z51" s="131"/>
      <c r="AJ51" s="277"/>
      <c r="AK51" s="277"/>
      <c r="AL51" s="277"/>
      <c r="AM51" s="277"/>
      <c r="AN51" s="277"/>
    </row>
    <row r="52" spans="1:40" ht="14.45" customHeight="1" x14ac:dyDescent="0.25">
      <c r="A52" s="285"/>
      <c r="B52" s="303"/>
      <c r="C52" s="291"/>
      <c r="D52" s="290"/>
      <c r="E52" s="291"/>
      <c r="F52" s="292"/>
      <c r="G52" s="285"/>
      <c r="H52" s="285"/>
      <c r="I52" s="289"/>
      <c r="J52" s="211"/>
      <c r="K52" s="211"/>
      <c r="L52" s="211"/>
      <c r="M52" s="211"/>
      <c r="N52" s="211"/>
      <c r="O52" s="211"/>
      <c r="P52" s="211"/>
      <c r="Q52" s="211"/>
      <c r="R52" s="125"/>
      <c r="S52" s="131"/>
      <c r="T52" s="131"/>
      <c r="U52" s="131"/>
      <c r="V52" s="131"/>
      <c r="W52" s="131"/>
      <c r="X52" s="131"/>
      <c r="Y52" s="131"/>
      <c r="Z52" s="131"/>
      <c r="AJ52" s="277"/>
      <c r="AK52" s="277"/>
      <c r="AL52" s="277"/>
      <c r="AM52" s="277"/>
      <c r="AN52" s="277"/>
    </row>
    <row r="53" spans="1:40" ht="14.45" customHeight="1" x14ac:dyDescent="0.25">
      <c r="A53" s="293"/>
      <c r="B53" s="357" t="s">
        <v>824</v>
      </c>
      <c r="C53" s="358"/>
      <c r="D53" s="358"/>
      <c r="E53" s="358"/>
      <c r="F53" s="358"/>
      <c r="G53" s="358"/>
      <c r="H53" s="358"/>
      <c r="I53" s="358"/>
      <c r="J53" s="387"/>
      <c r="K53" s="211"/>
      <c r="L53" s="211"/>
      <c r="M53" s="211"/>
      <c r="N53" s="211"/>
      <c r="O53" s="211"/>
      <c r="P53" s="211"/>
      <c r="Q53" s="211"/>
      <c r="R53" s="125"/>
      <c r="S53" s="131"/>
      <c r="T53" s="131"/>
      <c r="U53" s="131"/>
      <c r="V53" s="131"/>
      <c r="W53" s="131"/>
      <c r="X53" s="131"/>
      <c r="Y53" s="131"/>
      <c r="Z53" s="131"/>
      <c r="AJ53" s="277"/>
      <c r="AK53" s="277"/>
      <c r="AL53" s="277"/>
      <c r="AM53" s="277"/>
      <c r="AN53" s="277"/>
    </row>
    <row r="54" spans="1:40" ht="45" x14ac:dyDescent="0.25">
      <c r="A54" s="293"/>
      <c r="B54" s="300" t="s">
        <v>768</v>
      </c>
      <c r="C54" s="162" t="s">
        <v>760</v>
      </c>
      <c r="D54" s="384" t="s">
        <v>809</v>
      </c>
      <c r="E54" s="247" t="s">
        <v>676</v>
      </c>
      <c r="F54" s="247" t="s">
        <v>677</v>
      </c>
      <c r="G54" s="161" t="s">
        <v>778</v>
      </c>
      <c r="H54" s="161" t="s">
        <v>779</v>
      </c>
      <c r="I54" s="247" t="s">
        <v>780</v>
      </c>
      <c r="J54" s="387"/>
      <c r="K54" s="211"/>
      <c r="L54" s="211"/>
      <c r="M54" s="211"/>
      <c r="N54" s="211"/>
      <c r="O54" s="211"/>
      <c r="P54" s="211"/>
      <c r="Q54" s="211"/>
      <c r="R54" s="125"/>
      <c r="V54" s="131"/>
      <c r="AJ54" s="277"/>
      <c r="AK54" s="277"/>
      <c r="AL54" s="277"/>
      <c r="AM54" s="277"/>
      <c r="AN54" s="277"/>
    </row>
    <row r="55" spans="1:40" ht="14.45" customHeight="1" x14ac:dyDescent="0.25">
      <c r="A55" s="293"/>
      <c r="B55" s="322" t="s">
        <v>1130</v>
      </c>
      <c r="C55" s="284">
        <f>'Inputs and eligible population'!F50</f>
        <v>4</v>
      </c>
      <c r="D55" s="126">
        <f>$C55*'Inputs and eligible population'!L80</f>
        <v>0</v>
      </c>
      <c r="E55" s="126">
        <f>$C55*'Inputs and eligible population'!M80</f>
        <v>1209.0573700637362</v>
      </c>
      <c r="F55" s="126">
        <f>$C55*'Inputs and eligible population'!N80</f>
        <v>2441.4297368774701</v>
      </c>
      <c r="G55" s="126">
        <f>$C55*'Inputs and eligible population'!O80</f>
        <v>2738.8550359301703</v>
      </c>
      <c r="H55" s="126">
        <f>$C55*'Inputs and eligible population'!P80</f>
        <v>2765.2625488582207</v>
      </c>
      <c r="I55" s="126">
        <f>$C55*'Inputs and eligible population'!Q80</f>
        <v>2791.9246779415248</v>
      </c>
      <c r="J55" s="387"/>
      <c r="K55" s="211"/>
      <c r="L55" s="211"/>
      <c r="M55" s="211"/>
      <c r="N55" s="211"/>
      <c r="O55" s="211"/>
      <c r="P55" s="211"/>
      <c r="Q55" s="211"/>
      <c r="R55" s="125"/>
      <c r="V55" s="131"/>
      <c r="AJ55" s="277"/>
      <c r="AK55" s="277"/>
      <c r="AL55" s="277"/>
      <c r="AM55" s="277"/>
      <c r="AN55" s="277"/>
    </row>
    <row r="56" spans="1:40" ht="14.45" customHeight="1" x14ac:dyDescent="0.25">
      <c r="A56" s="293"/>
      <c r="B56" s="322" t="s">
        <v>1131</v>
      </c>
      <c r="C56" s="284">
        <f>'Inputs and eligible population'!F52</f>
        <v>3.6</v>
      </c>
      <c r="D56" s="126">
        <f>$C56*'Inputs and eligible population'!L81</f>
        <v>359.25335929799996</v>
      </c>
      <c r="E56" s="126">
        <f>$C56*'Inputs and eligible population'!M81</f>
        <v>1450.8688440764838</v>
      </c>
      <c r="F56" s="126">
        <f>$C56*'Inputs and eligible population'!N81</f>
        <v>2197.2867631897229</v>
      </c>
      <c r="G56" s="126">
        <f>$C56*'Inputs and eligible population'!O81</f>
        <v>2464.9695323371534</v>
      </c>
      <c r="H56" s="126">
        <f>$C56*'Inputs and eligible population'!P81</f>
        <v>2488.7362939723989</v>
      </c>
      <c r="I56" s="126">
        <f>$C56*'Inputs and eligible population'!Q81</f>
        <v>2512.7322101473724</v>
      </c>
      <c r="J56" s="387"/>
      <c r="K56" s="211"/>
      <c r="L56" s="211"/>
      <c r="M56" s="211"/>
      <c r="N56" s="211"/>
      <c r="O56" s="211"/>
      <c r="P56" s="211"/>
      <c r="Q56" s="211"/>
      <c r="R56" s="125"/>
      <c r="V56" s="131"/>
      <c r="AJ56" s="277"/>
      <c r="AK56" s="277"/>
      <c r="AL56" s="277"/>
      <c r="AM56" s="277"/>
      <c r="AN56" s="277"/>
    </row>
    <row r="57" spans="1:40" ht="14.45" customHeight="1" x14ac:dyDescent="0.25">
      <c r="A57" s="293"/>
      <c r="B57" s="322" t="s">
        <v>1132</v>
      </c>
      <c r="C57" s="284">
        <f>'Inputs and eligible population'!F55</f>
        <v>3</v>
      </c>
      <c r="D57" s="126">
        <f>$C57*'Inputs and eligible population'!L82</f>
        <v>5688.1781888849991</v>
      </c>
      <c r="E57" s="126">
        <f>$C57*'Inputs and eligible population'!M82</f>
        <v>3929.436452707143</v>
      </c>
      <c r="F57" s="126">
        <f>$C57*'Inputs and eligible population'!N82</f>
        <v>2441.4297368774705</v>
      </c>
      <c r="G57" s="126">
        <f>$C57*'Inputs and eligible population'!O82</f>
        <v>2054.1412769476278</v>
      </c>
      <c r="H57" s="126">
        <f>$C57*'Inputs and eligible population'!P82</f>
        <v>2073.9469116436658</v>
      </c>
      <c r="I57" s="126">
        <f>$C57*'Inputs and eligible population'!Q82</f>
        <v>2093.9435084561437</v>
      </c>
      <c r="J57" s="387"/>
      <c r="K57" s="211"/>
      <c r="L57" s="211"/>
      <c r="M57" s="211"/>
      <c r="N57" s="211"/>
      <c r="O57" s="211"/>
      <c r="P57" s="211"/>
      <c r="Q57" s="211"/>
      <c r="R57" s="125"/>
      <c r="V57" s="131"/>
      <c r="AJ57" s="277"/>
      <c r="AK57" s="277"/>
      <c r="AL57" s="277"/>
      <c r="AM57" s="277"/>
      <c r="AN57" s="277"/>
    </row>
    <row r="58" spans="1:40" ht="14.45" customHeight="1" x14ac:dyDescent="0.25">
      <c r="A58" s="293"/>
      <c r="B58" s="322" t="s">
        <v>1128</v>
      </c>
      <c r="C58" s="284">
        <f>'Inputs and eligible population'!F51</f>
        <v>12</v>
      </c>
      <c r="D58" s="126">
        <f>$C58*'Inputs and eligible population'!L92</f>
        <v>0</v>
      </c>
      <c r="E58" s="126">
        <f>$C58*'Inputs and eligible population'!M92</f>
        <v>2393.9335927261982</v>
      </c>
      <c r="F58" s="126">
        <f>$C58*'Inputs and eligible population'!N92</f>
        <v>4834.0308790173913</v>
      </c>
      <c r="G58" s="126">
        <f>$C58*'Inputs and eligible population'!O92</f>
        <v>5422.9329711417377</v>
      </c>
      <c r="H58" s="126">
        <f>$C58*'Inputs and eligible population'!P92</f>
        <v>5475.2198467392773</v>
      </c>
      <c r="I58" s="126">
        <f>$C58*'Inputs and eligible population'!Q92</f>
        <v>5528.0108623242195</v>
      </c>
      <c r="J58" s="211"/>
      <c r="K58" s="211"/>
      <c r="L58" s="211"/>
      <c r="M58" s="211"/>
      <c r="N58" s="211"/>
      <c r="O58" s="211"/>
      <c r="P58" s="211"/>
      <c r="Q58" s="211"/>
      <c r="R58" s="125"/>
      <c r="V58" s="131"/>
      <c r="AJ58" s="277"/>
      <c r="AK58" s="277"/>
      <c r="AL58" s="277"/>
      <c r="AM58" s="277"/>
      <c r="AN58" s="277"/>
    </row>
    <row r="59" spans="1:40" ht="14.45" customHeight="1" x14ac:dyDescent="0.25">
      <c r="A59" s="293"/>
      <c r="B59" s="321" t="s">
        <v>1129</v>
      </c>
      <c r="C59" s="284">
        <f>'Unit costs'!P45</f>
        <v>5.5</v>
      </c>
      <c r="D59" s="126">
        <f>$C59*'Inputs and eligible population'!L93</f>
        <v>390.78782083637992</v>
      </c>
      <c r="E59" s="126">
        <f>$C59*'Inputs and eligible population'!M93</f>
        <v>1578.2228870565305</v>
      </c>
      <c r="F59" s="126">
        <f>$C59*'Inputs and eligible population'!N93</f>
        <v>2390.1597124030432</v>
      </c>
      <c r="G59" s="126">
        <f>$C59*'Inputs and eligible population'!O93</f>
        <v>2681.3390801756368</v>
      </c>
      <c r="H59" s="126">
        <f>$C59*'Inputs and eligible population'!P93</f>
        <v>2707.192035332198</v>
      </c>
      <c r="I59" s="126">
        <f>$C59*'Inputs and eligible population'!Q93</f>
        <v>2733.2942597047527</v>
      </c>
      <c r="J59" s="285"/>
      <c r="K59" s="285"/>
      <c r="L59" s="285"/>
      <c r="M59" s="285"/>
      <c r="N59" s="285"/>
      <c r="O59" s="285"/>
      <c r="P59" s="285"/>
      <c r="Q59" s="285"/>
      <c r="R59" s="125"/>
      <c r="V59" s="131"/>
      <c r="AJ59" s="277"/>
      <c r="AK59" s="277"/>
      <c r="AL59" s="277"/>
      <c r="AM59" s="277"/>
      <c r="AN59" s="277"/>
    </row>
    <row r="60" spans="1:40" ht="14.45" customHeight="1" x14ac:dyDescent="0.25">
      <c r="A60" s="293"/>
      <c r="B60" s="462"/>
      <c r="C60" s="304"/>
      <c r="D60" s="182">
        <f t="shared" ref="D60:I60" si="22">SUM(D55:D59)</f>
        <v>6438.219369019379</v>
      </c>
      <c r="E60" s="182">
        <f t="shared" si="22"/>
        <v>10561.519146630091</v>
      </c>
      <c r="F60" s="182">
        <f t="shared" si="22"/>
        <v>14304.336828365098</v>
      </c>
      <c r="G60" s="182">
        <f t="shared" si="22"/>
        <v>15362.237896532326</v>
      </c>
      <c r="H60" s="182">
        <f t="shared" si="22"/>
        <v>15510.357636545761</v>
      </c>
      <c r="I60" s="182">
        <f t="shared" si="22"/>
        <v>15659.905518574013</v>
      </c>
      <c r="J60" s="285"/>
      <c r="K60" s="285"/>
      <c r="L60" s="285"/>
      <c r="M60" s="285"/>
      <c r="N60" s="285"/>
      <c r="O60" s="285"/>
      <c r="P60" s="285"/>
      <c r="Q60" s="285"/>
      <c r="R60" s="125"/>
      <c r="V60" s="131"/>
      <c r="AJ60" s="277"/>
      <c r="AK60" s="277"/>
      <c r="AL60" s="277"/>
      <c r="AM60" s="277"/>
      <c r="AN60" s="277"/>
    </row>
    <row r="61" spans="1:40" ht="14.45" customHeight="1" x14ac:dyDescent="0.25">
      <c r="A61" s="293"/>
      <c r="B61" s="248"/>
      <c r="C61" s="248"/>
      <c r="D61" s="276" t="s">
        <v>825</v>
      </c>
      <c r="E61" s="182">
        <f>E60-$D$60</f>
        <v>4123.2997776107122</v>
      </c>
      <c r="F61" s="182">
        <f>F60-$D$60</f>
        <v>7866.117459345719</v>
      </c>
      <c r="G61" s="182">
        <f>G60-$D$60</f>
        <v>8924.0185275129479</v>
      </c>
      <c r="H61" s="182">
        <f>H60-$D$60</f>
        <v>9072.1382675263812</v>
      </c>
      <c r="I61" s="182">
        <f>I60-$D$60</f>
        <v>9221.6861495546327</v>
      </c>
      <c r="J61" s="285"/>
      <c r="K61" s="285"/>
      <c r="L61" s="285"/>
      <c r="M61" s="285"/>
      <c r="N61" s="285"/>
      <c r="O61" s="285"/>
      <c r="P61" s="285"/>
      <c r="Q61" s="285"/>
      <c r="R61" s="125"/>
      <c r="S61" s="131"/>
      <c r="T61" s="131"/>
      <c r="U61" s="131"/>
      <c r="V61" s="131"/>
      <c r="W61" s="131"/>
      <c r="X61" s="131"/>
      <c r="Y61" s="131"/>
      <c r="Z61" s="131"/>
      <c r="AJ61" s="277"/>
      <c r="AK61" s="277"/>
      <c r="AL61" s="277"/>
      <c r="AM61" s="277"/>
      <c r="AN61" s="277"/>
    </row>
    <row r="62" spans="1:40" ht="14.45" customHeight="1" x14ac:dyDescent="0.25">
      <c r="A62" s="285"/>
      <c r="B62" s="303"/>
      <c r="C62" s="291"/>
      <c r="D62" s="291"/>
      <c r="E62" s="292"/>
      <c r="F62" s="285"/>
      <c r="G62" s="285"/>
      <c r="H62" s="211"/>
      <c r="I62" s="211"/>
      <c r="J62" s="211"/>
      <c r="K62" s="211"/>
      <c r="L62" s="211"/>
      <c r="M62" s="211"/>
      <c r="N62" s="211"/>
      <c r="O62" s="211"/>
      <c r="P62" s="211"/>
      <c r="Q62" s="211"/>
      <c r="R62" s="125"/>
      <c r="S62" s="131"/>
      <c r="T62" s="131"/>
      <c r="U62" s="131"/>
      <c r="V62" s="131"/>
      <c r="W62" s="131"/>
      <c r="X62" s="131"/>
      <c r="Y62" s="131"/>
      <c r="Z62" s="131"/>
      <c r="AJ62" s="277"/>
      <c r="AK62" s="277"/>
      <c r="AL62" s="277"/>
      <c r="AM62" s="277"/>
      <c r="AN62" s="277"/>
    </row>
    <row r="63" spans="1:40" ht="14.45" customHeight="1" x14ac:dyDescent="0.25">
      <c r="A63" s="278"/>
      <c r="B63" s="305" t="s">
        <v>826</v>
      </c>
      <c r="C63" s="294"/>
      <c r="D63" s="294"/>
      <c r="E63" s="295"/>
      <c r="F63" s="296"/>
      <c r="G63" s="297"/>
      <c r="H63" s="297"/>
      <c r="I63" s="297"/>
      <c r="J63" s="392"/>
      <c r="K63" s="278"/>
      <c r="L63" s="278"/>
      <c r="M63" s="278"/>
      <c r="N63" s="278"/>
      <c r="O63" s="278"/>
      <c r="P63" s="278"/>
      <c r="Q63" s="213"/>
      <c r="R63" s="125"/>
      <c r="V63" s="131"/>
    </row>
    <row r="64" spans="1:40" ht="14.45" customHeight="1" x14ac:dyDescent="0.25">
      <c r="A64" s="278"/>
      <c r="B64" s="359" t="s">
        <v>827</v>
      </c>
      <c r="C64" s="360"/>
      <c r="D64" s="360"/>
      <c r="E64" s="360"/>
      <c r="F64" s="360"/>
      <c r="G64" s="360"/>
      <c r="H64" s="360"/>
      <c r="I64" s="212"/>
      <c r="J64" s="389"/>
      <c r="K64" s="213"/>
      <c r="L64" s="388"/>
      <c r="M64" s="388"/>
      <c r="N64" s="388"/>
      <c r="O64" s="388"/>
      <c r="P64" s="388"/>
      <c r="Q64" s="388"/>
      <c r="R64" s="125"/>
      <c r="V64" s="131"/>
    </row>
    <row r="65" spans="1:40" ht="74.45" customHeight="1" x14ac:dyDescent="0.25">
      <c r="A65" s="278"/>
      <c r="B65" s="273" t="s">
        <v>768</v>
      </c>
      <c r="C65" s="162" t="s">
        <v>828</v>
      </c>
      <c r="D65" s="384" t="s">
        <v>809</v>
      </c>
      <c r="E65" s="247" t="s">
        <v>676</v>
      </c>
      <c r="F65" s="247" t="s">
        <v>677</v>
      </c>
      <c r="G65" s="161" t="s">
        <v>778</v>
      </c>
      <c r="H65" s="161" t="s">
        <v>779</v>
      </c>
      <c r="I65" s="247" t="s">
        <v>780</v>
      </c>
      <c r="J65" s="278"/>
      <c r="K65" s="492" t="s">
        <v>820</v>
      </c>
      <c r="L65" s="384" t="s">
        <v>809</v>
      </c>
      <c r="M65" s="482" t="s">
        <v>676</v>
      </c>
      <c r="N65" s="482" t="s">
        <v>677</v>
      </c>
      <c r="O65" s="385" t="s">
        <v>778</v>
      </c>
      <c r="P65" s="385" t="s">
        <v>779</v>
      </c>
      <c r="Q65" s="482" t="s">
        <v>780</v>
      </c>
      <c r="R65" s="125"/>
      <c r="V65" s="131"/>
    </row>
    <row r="66" spans="1:40" ht="14.45" customHeight="1" x14ac:dyDescent="0.25">
      <c r="A66" s="278"/>
      <c r="B66" s="322" t="s">
        <v>1130</v>
      </c>
      <c r="C66" s="146">
        <f>'Capacity (national prices)'!C64</f>
        <v>60</v>
      </c>
      <c r="D66" s="126">
        <f>(D55*$C66)/60</f>
        <v>0</v>
      </c>
      <c r="E66" s="126">
        <f t="shared" ref="E66:I66" si="23">(E55*$C66)/60</f>
        <v>1209.0573700637362</v>
      </c>
      <c r="F66" s="126">
        <f t="shared" si="23"/>
        <v>2441.4297368774701</v>
      </c>
      <c r="G66" s="126">
        <f t="shared" si="23"/>
        <v>2738.8550359301703</v>
      </c>
      <c r="H66" s="126">
        <f t="shared" si="23"/>
        <v>2765.2625488582207</v>
      </c>
      <c r="I66" s="126">
        <f t="shared" si="23"/>
        <v>2791.9246779415248</v>
      </c>
      <c r="J66" s="278"/>
      <c r="K66" s="509">
        <f>'Inputs and eligible population'!$M$116</f>
        <v>42.15</v>
      </c>
      <c r="L66" s="281">
        <f>(D66*$K66)/1000</f>
        <v>0</v>
      </c>
      <c r="M66" s="281">
        <f t="shared" ref="M66:Q66" si="24">(E66*$K66)/1000</f>
        <v>50.961768148186479</v>
      </c>
      <c r="N66" s="281">
        <f t="shared" si="24"/>
        <v>102.90626340938536</v>
      </c>
      <c r="O66" s="281">
        <f t="shared" si="24"/>
        <v>115.44273976445668</v>
      </c>
      <c r="P66" s="281">
        <f t="shared" si="24"/>
        <v>116.55581643437401</v>
      </c>
      <c r="Q66" s="281">
        <f t="shared" si="24"/>
        <v>117.67962517523527</v>
      </c>
      <c r="R66" s="125"/>
      <c r="S66" s="131"/>
      <c r="T66" s="131"/>
      <c r="U66" s="131"/>
      <c r="V66" s="131"/>
      <c r="W66" s="131"/>
      <c r="X66" s="131"/>
      <c r="Y66" s="131"/>
      <c r="Z66" s="131"/>
      <c r="AJ66" s="277"/>
      <c r="AK66" s="277"/>
      <c r="AL66" s="277"/>
      <c r="AM66" s="277"/>
      <c r="AN66" s="277"/>
    </row>
    <row r="67" spans="1:40" ht="14.45" customHeight="1" x14ac:dyDescent="0.25">
      <c r="A67" s="278"/>
      <c r="B67" s="322" t="s">
        <v>1131</v>
      </c>
      <c r="C67" s="146">
        <f>'Capacity (national prices)'!C65</f>
        <v>30</v>
      </c>
      <c r="D67" s="126">
        <f t="shared" ref="D67:I70" si="25">(D56*$C67)/60</f>
        <v>179.62667964899998</v>
      </c>
      <c r="E67" s="126">
        <f t="shared" si="25"/>
        <v>725.43442203824191</v>
      </c>
      <c r="F67" s="126">
        <f t="shared" si="25"/>
        <v>1098.6433815948615</v>
      </c>
      <c r="G67" s="126">
        <f t="shared" si="25"/>
        <v>1232.4847661685767</v>
      </c>
      <c r="H67" s="126">
        <f t="shared" si="25"/>
        <v>1244.3681469861995</v>
      </c>
      <c r="I67" s="126">
        <f t="shared" si="25"/>
        <v>1256.3661050736862</v>
      </c>
      <c r="J67" s="278"/>
      <c r="K67" s="509">
        <f>'Inputs and eligible population'!$M$116</f>
        <v>42.15</v>
      </c>
      <c r="L67" s="281">
        <f t="shared" ref="L67:L70" si="26">(D67*$K67)/1000</f>
        <v>7.5712645472053488</v>
      </c>
      <c r="M67" s="281">
        <f t="shared" ref="M67:M70" si="27">(E67*$K67)/1000</f>
        <v>30.577060888911895</v>
      </c>
      <c r="N67" s="281">
        <f t="shared" ref="N67:N70" si="28">(F67*$K67)/1000</f>
        <v>46.307818534223408</v>
      </c>
      <c r="O67" s="281">
        <f t="shared" ref="O67:O70" si="29">(G67*$K67)/1000</f>
        <v>51.949232894005512</v>
      </c>
      <c r="P67" s="281">
        <f t="shared" ref="P67:P70" si="30">(H67*$K67)/1000</f>
        <v>52.450117395468304</v>
      </c>
      <c r="Q67" s="281">
        <f t="shared" ref="Q67:Q70" si="31">(I67*$K67)/1000</f>
        <v>52.955831328855872</v>
      </c>
      <c r="R67" s="125"/>
      <c r="S67" s="131"/>
      <c r="T67" s="131"/>
      <c r="U67" s="131"/>
      <c r="V67" s="131"/>
      <c r="W67" s="131"/>
      <c r="X67" s="131"/>
      <c r="Y67" s="131"/>
      <c r="Z67" s="131"/>
      <c r="AJ67" s="277"/>
      <c r="AK67" s="277"/>
      <c r="AL67" s="277"/>
      <c r="AM67" s="277"/>
      <c r="AN67" s="277"/>
    </row>
    <row r="68" spans="1:40" ht="14.45" customHeight="1" x14ac:dyDescent="0.25">
      <c r="A68" s="278"/>
      <c r="B68" s="322" t="s">
        <v>1132</v>
      </c>
      <c r="C68" s="146">
        <f>'Capacity (national prices)'!C66</f>
        <v>30</v>
      </c>
      <c r="D68" s="126">
        <f t="shared" si="25"/>
        <v>2844.0890944424996</v>
      </c>
      <c r="E68" s="126">
        <f t="shared" si="25"/>
        <v>1964.7182263535715</v>
      </c>
      <c r="F68" s="126">
        <f t="shared" si="25"/>
        <v>1220.7148684387353</v>
      </c>
      <c r="G68" s="126">
        <f t="shared" si="25"/>
        <v>1027.0706384738139</v>
      </c>
      <c r="H68" s="126">
        <f t="shared" si="25"/>
        <v>1036.9734558218329</v>
      </c>
      <c r="I68" s="126">
        <f t="shared" si="25"/>
        <v>1046.9717542280719</v>
      </c>
      <c r="J68" s="278"/>
      <c r="K68" s="509">
        <f>'Inputs and eligible population'!$M$116</f>
        <v>42.15</v>
      </c>
      <c r="L68" s="281">
        <f t="shared" si="26"/>
        <v>119.87835533075135</v>
      </c>
      <c r="M68" s="281">
        <f t="shared" si="27"/>
        <v>82.812873240803029</v>
      </c>
      <c r="N68" s="281">
        <f t="shared" si="28"/>
        <v>51.453131704692694</v>
      </c>
      <c r="O68" s="281">
        <f t="shared" si="29"/>
        <v>43.291027411671251</v>
      </c>
      <c r="P68" s="281">
        <f t="shared" si="30"/>
        <v>43.708431162890257</v>
      </c>
      <c r="Q68" s="281">
        <f t="shared" si="31"/>
        <v>44.129859440713226</v>
      </c>
      <c r="R68" s="125"/>
      <c r="S68" s="131"/>
      <c r="T68" s="131"/>
      <c r="U68" s="131"/>
      <c r="V68" s="131"/>
      <c r="W68" s="131"/>
      <c r="X68" s="131"/>
      <c r="Y68" s="131"/>
      <c r="Z68" s="131"/>
      <c r="AJ68" s="277"/>
      <c r="AK68" s="277"/>
      <c r="AL68" s="277"/>
      <c r="AM68" s="277"/>
      <c r="AN68" s="277"/>
    </row>
    <row r="69" spans="1:40" ht="14.45" customHeight="1" x14ac:dyDescent="0.25">
      <c r="A69" s="278"/>
      <c r="B69" s="322" t="s">
        <v>1128</v>
      </c>
      <c r="C69" s="146">
        <f>'Capacity (national prices)'!C67</f>
        <v>60</v>
      </c>
      <c r="D69" s="126">
        <f t="shared" si="25"/>
        <v>0</v>
      </c>
      <c r="E69" s="126">
        <f t="shared" si="25"/>
        <v>2393.9335927261982</v>
      </c>
      <c r="F69" s="126">
        <f t="shared" si="25"/>
        <v>4834.0308790173913</v>
      </c>
      <c r="G69" s="126">
        <f t="shared" si="25"/>
        <v>5422.9329711417377</v>
      </c>
      <c r="H69" s="126">
        <f t="shared" si="25"/>
        <v>5475.2198467392773</v>
      </c>
      <c r="I69" s="126">
        <f t="shared" si="25"/>
        <v>5528.0108623242204</v>
      </c>
      <c r="J69" s="278"/>
      <c r="K69" s="509">
        <f>'Inputs and eligible population'!$M$116</f>
        <v>42.15</v>
      </c>
      <c r="L69" s="281">
        <f t="shared" si="26"/>
        <v>0</v>
      </c>
      <c r="M69" s="281">
        <f t="shared" si="27"/>
        <v>100.90430093340925</v>
      </c>
      <c r="N69" s="281">
        <f t="shared" si="28"/>
        <v>203.75440155058305</v>
      </c>
      <c r="O69" s="281">
        <f t="shared" si="29"/>
        <v>228.57662473362421</v>
      </c>
      <c r="P69" s="281">
        <f t="shared" si="30"/>
        <v>230.78051654006052</v>
      </c>
      <c r="Q69" s="281">
        <f t="shared" si="31"/>
        <v>233.00565784696587</v>
      </c>
      <c r="R69" s="125"/>
      <c r="S69" s="131"/>
      <c r="T69" s="131"/>
      <c r="U69" s="131"/>
      <c r="V69" s="131"/>
      <c r="W69" s="131"/>
      <c r="X69" s="131"/>
      <c r="Y69" s="131"/>
      <c r="Z69" s="131"/>
      <c r="AJ69" s="277"/>
      <c r="AK69" s="277"/>
      <c r="AL69" s="277"/>
      <c r="AM69" s="277"/>
      <c r="AN69" s="277"/>
    </row>
    <row r="70" spans="1:40" ht="14.45" customHeight="1" x14ac:dyDescent="0.25">
      <c r="A70" s="278"/>
      <c r="B70" s="321" t="s">
        <v>1129</v>
      </c>
      <c r="C70" s="146">
        <f>'Capacity (national prices)'!C68</f>
        <v>30</v>
      </c>
      <c r="D70" s="126">
        <f t="shared" si="25"/>
        <v>195.39391041818996</v>
      </c>
      <c r="E70" s="126">
        <f t="shared" si="25"/>
        <v>789.11144352826523</v>
      </c>
      <c r="F70" s="126">
        <f t="shared" si="25"/>
        <v>1195.0798562015216</v>
      </c>
      <c r="G70" s="126">
        <f t="shared" si="25"/>
        <v>1340.6695400878184</v>
      </c>
      <c r="H70" s="126">
        <f t="shared" si="25"/>
        <v>1353.596017666099</v>
      </c>
      <c r="I70" s="126">
        <f t="shared" si="25"/>
        <v>1366.6471298523763</v>
      </c>
      <c r="J70" s="278"/>
      <c r="K70" s="509">
        <f>'Inputs and eligible population'!$M$116</f>
        <v>42.15</v>
      </c>
      <c r="L70" s="281">
        <f t="shared" si="26"/>
        <v>8.2358533241267065</v>
      </c>
      <c r="M70" s="281">
        <f t="shared" si="27"/>
        <v>33.261047344716374</v>
      </c>
      <c r="N70" s="281">
        <f t="shared" si="28"/>
        <v>50.372615938894128</v>
      </c>
      <c r="O70" s="281">
        <f t="shared" si="29"/>
        <v>56.509221114701539</v>
      </c>
      <c r="P70" s="281">
        <f t="shared" si="30"/>
        <v>57.054072144626069</v>
      </c>
      <c r="Q70" s="281">
        <f t="shared" si="31"/>
        <v>57.604176523277658</v>
      </c>
      <c r="R70" s="125"/>
      <c r="S70" s="131"/>
      <c r="T70" s="131"/>
      <c r="U70" s="131"/>
      <c r="V70" s="131"/>
      <c r="W70" s="131"/>
      <c r="X70" s="131"/>
      <c r="Y70" s="131"/>
      <c r="Z70" s="131"/>
      <c r="AJ70" s="277"/>
      <c r="AK70" s="277"/>
      <c r="AL70" s="277"/>
      <c r="AM70" s="277"/>
      <c r="AN70" s="277"/>
    </row>
    <row r="71" spans="1:40" ht="14.45" customHeight="1" x14ac:dyDescent="0.25">
      <c r="A71" s="278"/>
      <c r="B71" s="271"/>
      <c r="C71" s="304"/>
      <c r="D71" s="182">
        <f>SUM(D66:D70)</f>
        <v>3219.1096845096895</v>
      </c>
      <c r="E71" s="182">
        <f t="shared" ref="E71:I71" si="32">SUM(E66:E70)</f>
        <v>7082.2550547100127</v>
      </c>
      <c r="F71" s="182">
        <f t="shared" si="32"/>
        <v>10789.898722129979</v>
      </c>
      <c r="G71" s="182">
        <f t="shared" si="32"/>
        <v>11762.012951802117</v>
      </c>
      <c r="H71" s="182">
        <f t="shared" si="32"/>
        <v>11875.42001607163</v>
      </c>
      <c r="I71" s="182">
        <f t="shared" si="32"/>
        <v>11989.92052941988</v>
      </c>
      <c r="J71" s="278"/>
      <c r="K71" s="278"/>
      <c r="L71" s="282">
        <f>SUM(L66:L70)</f>
        <v>135.68547320208339</v>
      </c>
      <c r="M71" s="282">
        <f t="shared" ref="M71:Q71" si="33">SUM(M66:M70)</f>
        <v>298.51705055602696</v>
      </c>
      <c r="N71" s="282">
        <f t="shared" si="33"/>
        <v>454.79423113777864</v>
      </c>
      <c r="O71" s="282">
        <f t="shared" si="33"/>
        <v>495.76884591845919</v>
      </c>
      <c r="P71" s="282">
        <f t="shared" si="33"/>
        <v>500.54895367741915</v>
      </c>
      <c r="Q71" s="282">
        <f t="shared" si="33"/>
        <v>505.3751503150479</v>
      </c>
      <c r="R71" s="125"/>
      <c r="S71" s="131"/>
      <c r="T71" s="131"/>
      <c r="U71" s="131"/>
      <c r="V71" s="131"/>
      <c r="W71" s="131"/>
      <c r="X71" s="131"/>
      <c r="Y71" s="131"/>
      <c r="Z71" s="131"/>
      <c r="AJ71" s="277"/>
      <c r="AK71" s="277"/>
      <c r="AL71" s="277"/>
      <c r="AM71" s="277"/>
      <c r="AN71" s="277"/>
    </row>
    <row r="72" spans="1:40" ht="14.45" customHeight="1" x14ac:dyDescent="0.25">
      <c r="A72" s="278"/>
      <c r="B72" s="298"/>
      <c r="C72" s="248"/>
      <c r="D72" s="276" t="s">
        <v>829</v>
      </c>
      <c r="E72" s="182">
        <f>E71-$D$71</f>
        <v>3863.1453702003232</v>
      </c>
      <c r="F72" s="182">
        <f>F71-$D$71</f>
        <v>7570.7890376202904</v>
      </c>
      <c r="G72" s="182">
        <f>G71-$D$71</f>
        <v>8542.9032672924277</v>
      </c>
      <c r="H72" s="182">
        <f>H71-$D$71</f>
        <v>8656.310331561941</v>
      </c>
      <c r="I72" s="182">
        <f>I71-$D$71</f>
        <v>8770.810844910191</v>
      </c>
      <c r="J72" s="278"/>
      <c r="K72" s="278"/>
      <c r="L72" s="483"/>
      <c r="M72" s="282">
        <f>M71-$L$71</f>
        <v>162.83157735394357</v>
      </c>
      <c r="N72" s="282">
        <f t="shared" ref="N72:Q72" si="34">N71-$L$71</f>
        <v>319.10875793569528</v>
      </c>
      <c r="O72" s="282">
        <f t="shared" si="34"/>
        <v>360.08337271637583</v>
      </c>
      <c r="P72" s="282">
        <f t="shared" si="34"/>
        <v>364.86348047533579</v>
      </c>
      <c r="Q72" s="282">
        <f t="shared" si="34"/>
        <v>369.68967711296455</v>
      </c>
      <c r="R72" s="125"/>
      <c r="S72" s="131"/>
      <c r="T72" s="131"/>
      <c r="U72" s="131"/>
      <c r="V72" s="131"/>
      <c r="W72" s="131"/>
      <c r="X72" s="131"/>
      <c r="Y72" s="131"/>
      <c r="Z72" s="131"/>
      <c r="AJ72" s="277"/>
      <c r="AK72" s="277"/>
      <c r="AL72" s="277"/>
      <c r="AM72" s="277"/>
      <c r="AN72" s="277"/>
    </row>
    <row r="73" spans="1:40" ht="14.45" customHeight="1" x14ac:dyDescent="0.25">
      <c r="A73" s="278"/>
      <c r="B73" s="306"/>
      <c r="C73" s="213"/>
      <c r="D73" s="213"/>
      <c r="E73" s="213"/>
      <c r="F73" s="213"/>
      <c r="G73" s="213"/>
      <c r="H73" s="213"/>
      <c r="I73" s="213"/>
      <c r="J73" s="213"/>
      <c r="K73" s="213"/>
      <c r="L73" s="213"/>
      <c r="M73" s="213"/>
      <c r="N73" s="213"/>
      <c r="O73" s="213"/>
      <c r="P73" s="213"/>
      <c r="Q73" s="213"/>
      <c r="R73" s="125"/>
      <c r="S73" s="131"/>
      <c r="T73" s="131"/>
      <c r="U73" s="131"/>
      <c r="V73" s="131"/>
      <c r="W73" s="131"/>
      <c r="X73" s="131"/>
      <c r="Y73" s="131"/>
      <c r="Z73" s="131"/>
      <c r="AJ73" s="277"/>
      <c r="AK73" s="277"/>
      <c r="AL73" s="277"/>
      <c r="AM73" s="277"/>
      <c r="AN73" s="277"/>
    </row>
    <row r="74" spans="1:40" ht="14.45" customHeight="1" x14ac:dyDescent="0.25">
      <c r="A74" s="278"/>
      <c r="B74" s="361" t="s">
        <v>830</v>
      </c>
      <c r="C74" s="360"/>
      <c r="D74" s="360"/>
      <c r="E74" s="360"/>
      <c r="F74" s="360"/>
      <c r="G74" s="360"/>
      <c r="H74" s="360"/>
      <c r="I74" s="212"/>
      <c r="J74" s="389"/>
      <c r="K74" s="213"/>
      <c r="L74" s="388"/>
      <c r="M74" s="388"/>
      <c r="N74" s="388"/>
      <c r="O74" s="388"/>
      <c r="P74" s="388"/>
      <c r="Q74" s="388"/>
      <c r="R74" s="125"/>
      <c r="S74" s="131"/>
      <c r="T74" s="131"/>
      <c r="U74" s="131"/>
      <c r="V74" s="131"/>
      <c r="W74" s="131"/>
      <c r="X74" s="131"/>
      <c r="Y74" s="131"/>
      <c r="Z74" s="131"/>
      <c r="AJ74" s="277"/>
      <c r="AK74" s="277"/>
      <c r="AL74" s="277"/>
      <c r="AM74" s="277"/>
      <c r="AN74" s="277"/>
    </row>
    <row r="75" spans="1:40" ht="75" x14ac:dyDescent="0.25">
      <c r="A75" s="278"/>
      <c r="B75" s="273" t="s">
        <v>768</v>
      </c>
      <c r="C75" s="162" t="s">
        <v>725</v>
      </c>
      <c r="D75" s="384" t="s">
        <v>809</v>
      </c>
      <c r="E75" s="247" t="s">
        <v>676</v>
      </c>
      <c r="F75" s="247" t="s">
        <v>677</v>
      </c>
      <c r="G75" s="161" t="s">
        <v>778</v>
      </c>
      <c r="H75" s="161" t="s">
        <v>779</v>
      </c>
      <c r="I75" s="247" t="s">
        <v>780</v>
      </c>
      <c r="J75" s="278"/>
      <c r="K75" s="492" t="s">
        <v>820</v>
      </c>
      <c r="L75" s="384" t="s">
        <v>809</v>
      </c>
      <c r="M75" s="247" t="s">
        <v>676</v>
      </c>
      <c r="N75" s="247" t="s">
        <v>677</v>
      </c>
      <c r="O75" s="161" t="s">
        <v>778</v>
      </c>
      <c r="P75" s="161" t="s">
        <v>779</v>
      </c>
      <c r="Q75" s="247" t="s">
        <v>780</v>
      </c>
      <c r="R75" s="125"/>
      <c r="S75" s="131"/>
      <c r="T75" s="131"/>
      <c r="U75" s="131"/>
      <c r="V75" s="131"/>
      <c r="W75" s="131"/>
      <c r="X75" s="131"/>
      <c r="Y75" s="131"/>
      <c r="Z75" s="131"/>
      <c r="AJ75" s="277"/>
      <c r="AK75" s="277"/>
      <c r="AL75" s="277"/>
      <c r="AM75" s="277"/>
      <c r="AN75" s="277"/>
    </row>
    <row r="76" spans="1:40" ht="14.45" customHeight="1" x14ac:dyDescent="0.25">
      <c r="A76" s="278"/>
      <c r="B76" s="322" t="str">
        <f>B66</f>
        <v>Durvalumab neoadjuvent</v>
      </c>
      <c r="C76" s="146">
        <f>'Capacity (national prices)'!C74</f>
        <v>30</v>
      </c>
      <c r="D76" s="126">
        <f>D55*($C76/60)</f>
        <v>0</v>
      </c>
      <c r="E76" s="126">
        <f t="shared" ref="E76:I76" si="35">E55*($C76/60)</f>
        <v>604.52868503186812</v>
      </c>
      <c r="F76" s="126">
        <f t="shared" si="35"/>
        <v>1220.714868438735</v>
      </c>
      <c r="G76" s="126">
        <f t="shared" si="35"/>
        <v>1369.4275179650851</v>
      </c>
      <c r="H76" s="126">
        <f t="shared" si="35"/>
        <v>1382.6312744291104</v>
      </c>
      <c r="I76" s="126">
        <f t="shared" si="35"/>
        <v>1395.9623389707624</v>
      </c>
      <c r="J76" s="278"/>
      <c r="K76" s="509">
        <f>'Inputs and eligible population'!$M$117</f>
        <v>42.15</v>
      </c>
      <c r="L76" s="281">
        <f>(D76*$K76)/1000</f>
        <v>0</v>
      </c>
      <c r="M76" s="281">
        <f t="shared" ref="M76:Q76" si="36">(E76*$K76)/1000</f>
        <v>25.48088407409324</v>
      </c>
      <c r="N76" s="281">
        <f t="shared" si="36"/>
        <v>51.45313170469268</v>
      </c>
      <c r="O76" s="281">
        <f t="shared" si="36"/>
        <v>57.721369882228338</v>
      </c>
      <c r="P76" s="281">
        <f t="shared" si="36"/>
        <v>58.277908217187004</v>
      </c>
      <c r="Q76" s="281">
        <f t="shared" si="36"/>
        <v>58.839812587617637</v>
      </c>
      <c r="R76" s="125"/>
      <c r="S76" s="131"/>
      <c r="T76" s="131"/>
      <c r="U76" s="131"/>
      <c r="V76" s="131"/>
      <c r="W76" s="131"/>
      <c r="X76" s="131"/>
      <c r="Y76" s="131"/>
      <c r="Z76" s="131"/>
      <c r="AJ76" s="277"/>
      <c r="AK76" s="277"/>
      <c r="AL76" s="277"/>
      <c r="AM76" s="277"/>
      <c r="AN76" s="277"/>
    </row>
    <row r="77" spans="1:40" ht="14.45" customHeight="1" x14ac:dyDescent="0.25">
      <c r="A77" s="278"/>
      <c r="B77" s="322" t="str">
        <f t="shared" ref="B77:B80" si="37">B67</f>
        <v>Pembrolizumab neoadjuvent</v>
      </c>
      <c r="C77" s="146">
        <f>'Capacity (national prices)'!C75</f>
        <v>30</v>
      </c>
      <c r="D77" s="126">
        <f t="shared" ref="D77:I77" si="38">D56*($C77/60)</f>
        <v>179.62667964899998</v>
      </c>
      <c r="E77" s="126">
        <f t="shared" si="38"/>
        <v>725.43442203824191</v>
      </c>
      <c r="F77" s="126">
        <f t="shared" si="38"/>
        <v>1098.6433815948615</v>
      </c>
      <c r="G77" s="126">
        <f t="shared" si="38"/>
        <v>1232.4847661685767</v>
      </c>
      <c r="H77" s="126">
        <f t="shared" si="38"/>
        <v>1244.3681469861995</v>
      </c>
      <c r="I77" s="126">
        <f t="shared" si="38"/>
        <v>1256.3661050736862</v>
      </c>
      <c r="J77" s="278"/>
      <c r="K77" s="509">
        <f>'Inputs and eligible population'!$M$117</f>
        <v>42.15</v>
      </c>
      <c r="L77" s="281">
        <f t="shared" ref="L77:L80" si="39">(D77*$K77)/1000</f>
        <v>7.5712645472053488</v>
      </c>
      <c r="M77" s="281">
        <f t="shared" ref="M77:M80" si="40">(E77*$K77)/1000</f>
        <v>30.577060888911895</v>
      </c>
      <c r="N77" s="281">
        <f>(F77*$K77)/1000</f>
        <v>46.307818534223408</v>
      </c>
      <c r="O77" s="281">
        <f t="shared" ref="O77:O80" si="41">(G77*$K77)/1000</f>
        <v>51.949232894005512</v>
      </c>
      <c r="P77" s="281">
        <f t="shared" ref="P77:P80" si="42">(H77*$K77)/1000</f>
        <v>52.450117395468304</v>
      </c>
      <c r="Q77" s="281">
        <f t="shared" ref="Q77:Q80" si="43">(I77*$K77)/1000</f>
        <v>52.955831328855872</v>
      </c>
      <c r="R77" s="125"/>
      <c r="S77" s="131"/>
      <c r="T77" s="131"/>
      <c r="U77" s="131"/>
      <c r="V77" s="131"/>
      <c r="W77" s="131"/>
      <c r="X77" s="131"/>
      <c r="Y77" s="131"/>
      <c r="Z77" s="131"/>
      <c r="AJ77" s="277"/>
      <c r="AK77" s="277"/>
      <c r="AL77" s="277"/>
      <c r="AM77" s="277"/>
      <c r="AN77" s="277"/>
    </row>
    <row r="78" spans="1:40" ht="14.45" customHeight="1" x14ac:dyDescent="0.25">
      <c r="A78" s="278"/>
      <c r="B78" s="322" t="str">
        <f t="shared" si="37"/>
        <v>Nivolumab neoadjuvent</v>
      </c>
      <c r="C78" s="146">
        <f>'Capacity (national prices)'!C76</f>
        <v>30</v>
      </c>
      <c r="D78" s="126">
        <f t="shared" ref="D78:I78" si="44">D57*($C78/60)</f>
        <v>2844.0890944424996</v>
      </c>
      <c r="E78" s="126">
        <f t="shared" si="44"/>
        <v>1964.7182263535715</v>
      </c>
      <c r="F78" s="126">
        <f t="shared" si="44"/>
        <v>1220.7148684387353</v>
      </c>
      <c r="G78" s="126">
        <f t="shared" si="44"/>
        <v>1027.0706384738139</v>
      </c>
      <c r="H78" s="126">
        <f t="shared" si="44"/>
        <v>1036.9734558218329</v>
      </c>
      <c r="I78" s="126">
        <f t="shared" si="44"/>
        <v>1046.9717542280719</v>
      </c>
      <c r="J78" s="278"/>
      <c r="K78" s="509">
        <f>'Inputs and eligible population'!$M$117</f>
        <v>42.15</v>
      </c>
      <c r="L78" s="281">
        <f t="shared" si="39"/>
        <v>119.87835533075135</v>
      </c>
      <c r="M78" s="281">
        <f t="shared" si="40"/>
        <v>82.812873240803029</v>
      </c>
      <c r="N78" s="281">
        <f t="shared" ref="N78:N80" si="45">(F78*$K78)/1000</f>
        <v>51.453131704692694</v>
      </c>
      <c r="O78" s="281">
        <f t="shared" si="41"/>
        <v>43.291027411671251</v>
      </c>
      <c r="P78" s="281">
        <f t="shared" si="42"/>
        <v>43.708431162890257</v>
      </c>
      <c r="Q78" s="281">
        <f t="shared" si="43"/>
        <v>44.129859440713226</v>
      </c>
      <c r="R78" s="125"/>
      <c r="S78" s="131"/>
      <c r="T78" s="131"/>
      <c r="U78" s="131"/>
      <c r="V78" s="131"/>
      <c r="W78" s="131"/>
      <c r="X78" s="131"/>
      <c r="Y78" s="131"/>
      <c r="Z78" s="131"/>
      <c r="AJ78" s="277"/>
      <c r="AK78" s="277"/>
      <c r="AL78" s="277"/>
      <c r="AM78" s="277"/>
      <c r="AN78" s="277"/>
    </row>
    <row r="79" spans="1:40" ht="14.45" customHeight="1" x14ac:dyDescent="0.25">
      <c r="A79" s="278"/>
      <c r="B79" s="322" t="str">
        <f t="shared" si="37"/>
        <v>Durvalumab adjuvent</v>
      </c>
      <c r="C79" s="146">
        <f>'Capacity (national prices)'!C77</f>
        <v>30</v>
      </c>
      <c r="D79" s="126">
        <f t="shared" ref="D79:I79" si="46">D58*($C79/60)</f>
        <v>0</v>
      </c>
      <c r="E79" s="126">
        <f t="shared" si="46"/>
        <v>1196.9667963630991</v>
      </c>
      <c r="F79" s="126">
        <f t="shared" si="46"/>
        <v>2417.0154395086956</v>
      </c>
      <c r="G79" s="126">
        <f t="shared" si="46"/>
        <v>2711.4664855708688</v>
      </c>
      <c r="H79" s="126">
        <f t="shared" si="46"/>
        <v>2737.6099233696386</v>
      </c>
      <c r="I79" s="126">
        <f t="shared" si="46"/>
        <v>2764.0054311621097</v>
      </c>
      <c r="J79" s="278"/>
      <c r="K79" s="509">
        <f>'Inputs and eligible population'!$M$117</f>
        <v>42.15</v>
      </c>
      <c r="L79" s="281">
        <f t="shared" si="39"/>
        <v>0</v>
      </c>
      <c r="M79" s="281">
        <f t="shared" si="40"/>
        <v>50.452150466704623</v>
      </c>
      <c r="N79" s="281">
        <f t="shared" si="45"/>
        <v>101.87720077529153</v>
      </c>
      <c r="O79" s="281">
        <f t="shared" si="41"/>
        <v>114.28831236681211</v>
      </c>
      <c r="P79" s="281">
        <f t="shared" si="42"/>
        <v>115.39025827003026</v>
      </c>
      <c r="Q79" s="281">
        <f t="shared" si="43"/>
        <v>116.50282892348292</v>
      </c>
      <c r="R79" s="125"/>
      <c r="S79" s="131"/>
      <c r="T79" s="131"/>
      <c r="U79" s="131"/>
      <c r="V79" s="131"/>
      <c r="W79" s="131"/>
      <c r="X79" s="131"/>
      <c r="Y79" s="131"/>
      <c r="Z79" s="131"/>
      <c r="AJ79" s="277"/>
      <c r="AK79" s="277"/>
      <c r="AL79" s="277"/>
      <c r="AM79" s="277"/>
      <c r="AN79" s="277"/>
    </row>
    <row r="80" spans="1:40" ht="14.45" customHeight="1" x14ac:dyDescent="0.25">
      <c r="A80" s="278"/>
      <c r="B80" s="322" t="str">
        <f t="shared" si="37"/>
        <v>Pembrolizumab adjuvent</v>
      </c>
      <c r="C80" s="146">
        <f>'Capacity (national prices)'!C78</f>
        <v>30</v>
      </c>
      <c r="D80" s="126">
        <f t="shared" ref="D80:I80" si="47">D59*($C80/60)</f>
        <v>195.39391041818996</v>
      </c>
      <c r="E80" s="126">
        <f t="shared" si="47"/>
        <v>789.11144352826523</v>
      </c>
      <c r="F80" s="126">
        <f t="shared" si="47"/>
        <v>1195.0798562015216</v>
      </c>
      <c r="G80" s="126">
        <f t="shared" si="47"/>
        <v>1340.6695400878184</v>
      </c>
      <c r="H80" s="126">
        <f t="shared" si="47"/>
        <v>1353.596017666099</v>
      </c>
      <c r="I80" s="126">
        <f t="shared" si="47"/>
        <v>1366.6471298523763</v>
      </c>
      <c r="J80" s="278"/>
      <c r="K80" s="509">
        <f>'Inputs and eligible population'!$M$117</f>
        <v>42.15</v>
      </c>
      <c r="L80" s="281">
        <f t="shared" si="39"/>
        <v>8.2358533241267065</v>
      </c>
      <c r="M80" s="281">
        <f t="shared" si="40"/>
        <v>33.261047344716374</v>
      </c>
      <c r="N80" s="281">
        <f t="shared" si="45"/>
        <v>50.372615938894128</v>
      </c>
      <c r="O80" s="281">
        <f t="shared" si="41"/>
        <v>56.509221114701539</v>
      </c>
      <c r="P80" s="281">
        <f t="shared" si="42"/>
        <v>57.054072144626069</v>
      </c>
      <c r="Q80" s="281">
        <f t="shared" si="43"/>
        <v>57.604176523277658</v>
      </c>
      <c r="R80" s="125"/>
      <c r="S80" s="131"/>
      <c r="T80" s="131"/>
      <c r="U80" s="131"/>
      <c r="V80" s="131"/>
      <c r="W80" s="131"/>
      <c r="X80" s="131"/>
      <c r="Y80" s="131"/>
      <c r="Z80" s="131"/>
      <c r="AJ80" s="277"/>
      <c r="AK80" s="277"/>
      <c r="AL80" s="277"/>
      <c r="AM80" s="277"/>
      <c r="AN80" s="277"/>
    </row>
    <row r="81" spans="1:40" ht="14.45" customHeight="1" x14ac:dyDescent="0.25">
      <c r="A81" s="278"/>
      <c r="B81" s="271"/>
      <c r="C81" s="304"/>
      <c r="D81" s="182">
        <f t="shared" ref="D81:I81" si="48">SUM(D76:D80)</f>
        <v>3219.1096845096895</v>
      </c>
      <c r="E81" s="182">
        <f t="shared" si="48"/>
        <v>5280.7595733150456</v>
      </c>
      <c r="F81" s="182">
        <f t="shared" si="48"/>
        <v>7152.168414182549</v>
      </c>
      <c r="G81" s="182">
        <f t="shared" si="48"/>
        <v>7681.118948266163</v>
      </c>
      <c r="H81" s="182">
        <f t="shared" si="48"/>
        <v>7755.1788182728806</v>
      </c>
      <c r="I81" s="182">
        <f t="shared" si="48"/>
        <v>7829.9527592870063</v>
      </c>
      <c r="J81" s="278"/>
      <c r="K81" s="278"/>
      <c r="L81" s="282">
        <f>SUM(L76:L80)</f>
        <v>135.68547320208339</v>
      </c>
      <c r="M81" s="282">
        <f t="shared" ref="M81:Q81" si="49">SUM(M76:M80)</f>
        <v>222.58401601522917</v>
      </c>
      <c r="N81" s="282">
        <f t="shared" si="49"/>
        <v>301.46389865779446</v>
      </c>
      <c r="O81" s="282">
        <f t="shared" si="49"/>
        <v>323.75916366941874</v>
      </c>
      <c r="P81" s="282">
        <f t="shared" si="49"/>
        <v>326.88078719020189</v>
      </c>
      <c r="Q81" s="282">
        <f t="shared" si="49"/>
        <v>330.03250880394734</v>
      </c>
      <c r="R81" s="125"/>
      <c r="S81" s="131"/>
      <c r="T81" s="131"/>
      <c r="U81" s="131"/>
      <c r="V81" s="131"/>
      <c r="W81" s="131"/>
      <c r="X81" s="131"/>
      <c r="Y81" s="131"/>
      <c r="Z81" s="131"/>
      <c r="AJ81" s="277"/>
      <c r="AK81" s="277"/>
      <c r="AL81" s="277"/>
      <c r="AM81" s="277"/>
      <c r="AN81" s="277"/>
    </row>
    <row r="82" spans="1:40" ht="14.45" customHeight="1" x14ac:dyDescent="0.25">
      <c r="A82" s="278"/>
      <c r="B82" s="274"/>
      <c r="C82" s="274"/>
      <c r="D82" s="276" t="s">
        <v>831</v>
      </c>
      <c r="E82" s="182">
        <f>E81-$D$81</f>
        <v>2061.6498888053561</v>
      </c>
      <c r="F82" s="182">
        <f>F81-$D$81</f>
        <v>3933.0587296728595</v>
      </c>
      <c r="G82" s="182">
        <f>G81-$D$81</f>
        <v>4462.009263756474</v>
      </c>
      <c r="H82" s="182">
        <f>H81-$D$81</f>
        <v>4536.0691337631906</v>
      </c>
      <c r="I82" s="182">
        <f>I81-$D$81</f>
        <v>4610.8430747773164</v>
      </c>
      <c r="J82" s="278"/>
      <c r="K82" s="278"/>
      <c r="L82" s="483"/>
      <c r="M82" s="282">
        <f>M81-$L$81</f>
        <v>86.898542813145781</v>
      </c>
      <c r="N82" s="282">
        <f t="shared" ref="N82:Q82" si="50">N81-$L$81</f>
        <v>165.77842545571107</v>
      </c>
      <c r="O82" s="282">
        <f t="shared" si="50"/>
        <v>188.07369046733535</v>
      </c>
      <c r="P82" s="282">
        <f t="shared" si="50"/>
        <v>191.1953139881185</v>
      </c>
      <c r="Q82" s="282">
        <f t="shared" si="50"/>
        <v>194.34703560186395</v>
      </c>
      <c r="R82" s="125"/>
      <c r="S82" s="131"/>
      <c r="T82" s="131"/>
      <c r="U82" s="131"/>
      <c r="V82" s="131"/>
      <c r="W82" s="131"/>
      <c r="X82" s="131"/>
      <c r="Y82" s="131"/>
      <c r="Z82" s="131"/>
      <c r="AJ82" s="277"/>
      <c r="AK82" s="277"/>
      <c r="AL82" s="277"/>
      <c r="AM82" s="277"/>
      <c r="AN82" s="277"/>
    </row>
    <row r="83" spans="1:40" ht="14.45" customHeight="1" x14ac:dyDescent="0.25">
      <c r="A83" s="278"/>
      <c r="B83" s="306"/>
      <c r="C83" s="213"/>
      <c r="D83" s="213"/>
      <c r="E83" s="213"/>
      <c r="F83" s="213"/>
      <c r="G83" s="213"/>
      <c r="H83" s="213"/>
      <c r="I83" s="213"/>
      <c r="J83" s="213"/>
      <c r="K83" s="213"/>
      <c r="L83" s="213"/>
      <c r="M83" s="213"/>
      <c r="N83" s="213"/>
      <c r="O83" s="213"/>
      <c r="P83" s="213"/>
      <c r="Q83" s="213"/>
      <c r="S83" s="131"/>
      <c r="T83" s="131"/>
      <c r="U83" s="131"/>
      <c r="V83" s="131"/>
      <c r="W83" s="131"/>
      <c r="X83" s="131"/>
      <c r="Y83" s="131"/>
      <c r="Z83" s="131"/>
      <c r="AJ83" s="277"/>
      <c r="AK83" s="277"/>
      <c r="AL83" s="277"/>
      <c r="AM83" s="277"/>
      <c r="AN83" s="277"/>
    </row>
    <row r="84" spans="1:40" ht="14.45" customHeight="1" x14ac:dyDescent="0.25">
      <c r="A84" s="278"/>
      <c r="B84" s="361" t="s">
        <v>803</v>
      </c>
      <c r="C84" s="360"/>
      <c r="D84" s="360"/>
      <c r="E84" s="360"/>
      <c r="F84" s="360"/>
      <c r="G84" s="360"/>
      <c r="H84" s="360"/>
      <c r="I84" s="212"/>
      <c r="J84" s="389"/>
      <c r="K84" s="213"/>
      <c r="L84" s="388"/>
      <c r="M84" s="388"/>
      <c r="N84" s="388"/>
      <c r="O84" s="388"/>
      <c r="P84" s="388"/>
      <c r="Q84" s="388"/>
      <c r="V84" s="131"/>
      <c r="AJ84" s="277"/>
      <c r="AK84" s="277"/>
      <c r="AL84" s="277"/>
      <c r="AM84" s="277"/>
      <c r="AN84" s="277"/>
    </row>
    <row r="85" spans="1:40" ht="60" x14ac:dyDescent="0.25">
      <c r="A85" s="278"/>
      <c r="B85" s="273" t="s">
        <v>768</v>
      </c>
      <c r="C85" s="162" t="s">
        <v>726</v>
      </c>
      <c r="D85" s="384" t="s">
        <v>809</v>
      </c>
      <c r="E85" s="247" t="s">
        <v>676</v>
      </c>
      <c r="F85" s="247" t="s">
        <v>677</v>
      </c>
      <c r="G85" s="161" t="s">
        <v>778</v>
      </c>
      <c r="H85" s="161" t="s">
        <v>779</v>
      </c>
      <c r="I85" s="247" t="s">
        <v>780</v>
      </c>
      <c r="J85" s="278"/>
      <c r="K85" s="492" t="s">
        <v>820</v>
      </c>
      <c r="L85" s="384" t="s">
        <v>809</v>
      </c>
      <c r="M85" s="247" t="s">
        <v>676</v>
      </c>
      <c r="N85" s="247" t="s">
        <v>677</v>
      </c>
      <c r="O85" s="161" t="s">
        <v>778</v>
      </c>
      <c r="P85" s="161" t="s">
        <v>779</v>
      </c>
      <c r="Q85" s="247" t="s">
        <v>780</v>
      </c>
      <c r="V85" s="131"/>
      <c r="AJ85" s="277"/>
      <c r="AK85" s="277"/>
      <c r="AL85" s="277"/>
      <c r="AM85" s="277"/>
      <c r="AN85" s="277"/>
    </row>
    <row r="86" spans="1:40" ht="14.45" customHeight="1" x14ac:dyDescent="0.25">
      <c r="A86" s="278"/>
      <c r="B86" s="322" t="str">
        <f>B76</f>
        <v>Durvalumab neoadjuvent</v>
      </c>
      <c r="C86" s="146">
        <f>'Capacity (national prices)'!C84</f>
        <v>30</v>
      </c>
      <c r="D86" s="126">
        <f>D55*($C86/60)</f>
        <v>0</v>
      </c>
      <c r="E86" s="126">
        <f t="shared" ref="E86:I86" si="51">E55*($C86/60)</f>
        <v>604.52868503186812</v>
      </c>
      <c r="F86" s="126">
        <f t="shared" si="51"/>
        <v>1220.714868438735</v>
      </c>
      <c r="G86" s="126">
        <f t="shared" si="51"/>
        <v>1369.4275179650851</v>
      </c>
      <c r="H86" s="126">
        <f t="shared" si="51"/>
        <v>1382.6312744291104</v>
      </c>
      <c r="I86" s="126">
        <f t="shared" si="51"/>
        <v>1395.9623389707624</v>
      </c>
      <c r="J86" s="278"/>
      <c r="K86" s="509">
        <f>'Inputs and eligible population'!$M$118</f>
        <v>42.15</v>
      </c>
      <c r="L86" s="281">
        <f>(D86*$K86)/1000</f>
        <v>0</v>
      </c>
      <c r="M86" s="281">
        <f t="shared" ref="M86:Q86" si="52">(E86*$K86)/1000</f>
        <v>25.48088407409324</v>
      </c>
      <c r="N86" s="281">
        <f t="shared" si="52"/>
        <v>51.45313170469268</v>
      </c>
      <c r="O86" s="281">
        <f t="shared" si="52"/>
        <v>57.721369882228338</v>
      </c>
      <c r="P86" s="281">
        <f t="shared" si="52"/>
        <v>58.277908217187004</v>
      </c>
      <c r="Q86" s="281">
        <f t="shared" si="52"/>
        <v>58.839812587617637</v>
      </c>
      <c r="V86" s="131"/>
      <c r="AJ86" s="277"/>
      <c r="AK86" s="277"/>
      <c r="AL86" s="277"/>
      <c r="AM86" s="277"/>
      <c r="AN86" s="277"/>
    </row>
    <row r="87" spans="1:40" ht="14.45" customHeight="1" x14ac:dyDescent="0.25">
      <c r="A87" s="278"/>
      <c r="B87" s="322" t="str">
        <f t="shared" ref="B87:B90" si="53">B77</f>
        <v>Pembrolizumab neoadjuvent</v>
      </c>
      <c r="C87" s="146">
        <f>'Capacity (national prices)'!C85</f>
        <v>30</v>
      </c>
      <c r="D87" s="126">
        <f t="shared" ref="D87:I87" si="54">D56*($C87/60)</f>
        <v>179.62667964899998</v>
      </c>
      <c r="E87" s="126">
        <f t="shared" si="54"/>
        <v>725.43442203824191</v>
      </c>
      <c r="F87" s="126">
        <f t="shared" si="54"/>
        <v>1098.6433815948615</v>
      </c>
      <c r="G87" s="126">
        <f t="shared" si="54"/>
        <v>1232.4847661685767</v>
      </c>
      <c r="H87" s="126">
        <f t="shared" si="54"/>
        <v>1244.3681469861995</v>
      </c>
      <c r="I87" s="126">
        <f t="shared" si="54"/>
        <v>1256.3661050736862</v>
      </c>
      <c r="J87" s="278"/>
      <c r="K87" s="509">
        <f>'Inputs and eligible population'!$M$118</f>
        <v>42.15</v>
      </c>
      <c r="L87" s="281">
        <f t="shared" ref="L87:L90" si="55">(D87*$K87)/1000</f>
        <v>7.5712645472053488</v>
      </c>
      <c r="M87" s="281">
        <f t="shared" ref="M87:M90" si="56">(E87*$K87)/1000</f>
        <v>30.577060888911895</v>
      </c>
      <c r="N87" s="281">
        <f t="shared" ref="N87:N90" si="57">(F87*$K87)/1000</f>
        <v>46.307818534223408</v>
      </c>
      <c r="O87" s="281">
        <f t="shared" ref="O87:O90" si="58">(G87*$K87)/1000</f>
        <v>51.949232894005512</v>
      </c>
      <c r="P87" s="281">
        <f t="shared" ref="P87:P90" si="59">(H87*$K87)/1000</f>
        <v>52.450117395468304</v>
      </c>
      <c r="Q87" s="281">
        <f t="shared" ref="Q87:Q90" si="60">(I87*$K87)/1000</f>
        <v>52.955831328855872</v>
      </c>
      <c r="V87" s="131"/>
      <c r="AJ87" s="277"/>
      <c r="AK87" s="277"/>
      <c r="AL87" s="277"/>
      <c r="AM87" s="277"/>
      <c r="AN87" s="277"/>
    </row>
    <row r="88" spans="1:40" ht="14.45" customHeight="1" x14ac:dyDescent="0.25">
      <c r="A88" s="278"/>
      <c r="B88" s="322" t="str">
        <f t="shared" si="53"/>
        <v>Nivolumab neoadjuvent</v>
      </c>
      <c r="C88" s="146">
        <f>'Capacity (national prices)'!C86</f>
        <v>30</v>
      </c>
      <c r="D88" s="126">
        <f t="shared" ref="D88:I88" si="61">D57*($C88/60)</f>
        <v>2844.0890944424996</v>
      </c>
      <c r="E88" s="126">
        <f t="shared" si="61"/>
        <v>1964.7182263535715</v>
      </c>
      <c r="F88" s="126">
        <f t="shared" si="61"/>
        <v>1220.7148684387353</v>
      </c>
      <c r="G88" s="126">
        <f t="shared" si="61"/>
        <v>1027.0706384738139</v>
      </c>
      <c r="H88" s="126">
        <f t="shared" si="61"/>
        <v>1036.9734558218329</v>
      </c>
      <c r="I88" s="126">
        <f t="shared" si="61"/>
        <v>1046.9717542280719</v>
      </c>
      <c r="J88" s="278"/>
      <c r="K88" s="509">
        <f>'Inputs and eligible population'!$M$118</f>
        <v>42.15</v>
      </c>
      <c r="L88" s="281">
        <f t="shared" si="55"/>
        <v>119.87835533075135</v>
      </c>
      <c r="M88" s="281">
        <f t="shared" si="56"/>
        <v>82.812873240803029</v>
      </c>
      <c r="N88" s="281">
        <f t="shared" si="57"/>
        <v>51.453131704692694</v>
      </c>
      <c r="O88" s="281">
        <f t="shared" si="58"/>
        <v>43.291027411671251</v>
      </c>
      <c r="P88" s="281">
        <f t="shared" si="59"/>
        <v>43.708431162890257</v>
      </c>
      <c r="Q88" s="281">
        <f t="shared" si="60"/>
        <v>44.129859440713226</v>
      </c>
      <c r="V88" s="131"/>
      <c r="AJ88" s="277"/>
      <c r="AK88" s="277"/>
      <c r="AL88" s="277"/>
      <c r="AM88" s="277"/>
      <c r="AN88" s="277"/>
    </row>
    <row r="89" spans="1:40" ht="14.45" customHeight="1" x14ac:dyDescent="0.25">
      <c r="A89" s="278"/>
      <c r="B89" s="322" t="str">
        <f t="shared" si="53"/>
        <v>Durvalumab adjuvent</v>
      </c>
      <c r="C89" s="146">
        <f>'Capacity (national prices)'!C87</f>
        <v>30</v>
      </c>
      <c r="D89" s="126">
        <f t="shared" ref="D89:I89" si="62">D58*($C89/60)</f>
        <v>0</v>
      </c>
      <c r="E89" s="126">
        <f t="shared" si="62"/>
        <v>1196.9667963630991</v>
      </c>
      <c r="F89" s="126">
        <f t="shared" si="62"/>
        <v>2417.0154395086956</v>
      </c>
      <c r="G89" s="126">
        <f t="shared" si="62"/>
        <v>2711.4664855708688</v>
      </c>
      <c r="H89" s="126">
        <f t="shared" si="62"/>
        <v>2737.6099233696386</v>
      </c>
      <c r="I89" s="126">
        <f t="shared" si="62"/>
        <v>2764.0054311621097</v>
      </c>
      <c r="J89" s="278"/>
      <c r="K89" s="509">
        <f>'Inputs and eligible population'!$M$118</f>
        <v>42.15</v>
      </c>
      <c r="L89" s="281">
        <f t="shared" si="55"/>
        <v>0</v>
      </c>
      <c r="M89" s="281">
        <f t="shared" si="56"/>
        <v>50.452150466704623</v>
      </c>
      <c r="N89" s="281">
        <f t="shared" si="57"/>
        <v>101.87720077529153</v>
      </c>
      <c r="O89" s="281">
        <f t="shared" si="58"/>
        <v>114.28831236681211</v>
      </c>
      <c r="P89" s="281">
        <f t="shared" si="59"/>
        <v>115.39025827003026</v>
      </c>
      <c r="Q89" s="281">
        <f t="shared" si="60"/>
        <v>116.50282892348292</v>
      </c>
      <c r="V89" s="131"/>
      <c r="AJ89" s="277"/>
      <c r="AK89" s="277"/>
      <c r="AL89" s="277"/>
      <c r="AM89" s="277"/>
      <c r="AN89" s="277"/>
    </row>
    <row r="90" spans="1:40" ht="14.45" customHeight="1" x14ac:dyDescent="0.25">
      <c r="A90" s="278"/>
      <c r="B90" s="322" t="str">
        <f t="shared" si="53"/>
        <v>Pembrolizumab adjuvent</v>
      </c>
      <c r="C90" s="146">
        <f>'Capacity (national prices)'!C88</f>
        <v>30</v>
      </c>
      <c r="D90" s="126">
        <f t="shared" ref="D90:I90" si="63">D59*($C90/60)</f>
        <v>195.39391041818996</v>
      </c>
      <c r="E90" s="126">
        <f t="shared" si="63"/>
        <v>789.11144352826523</v>
      </c>
      <c r="F90" s="126">
        <f t="shared" si="63"/>
        <v>1195.0798562015216</v>
      </c>
      <c r="G90" s="126">
        <f t="shared" si="63"/>
        <v>1340.6695400878184</v>
      </c>
      <c r="H90" s="126">
        <f t="shared" si="63"/>
        <v>1353.596017666099</v>
      </c>
      <c r="I90" s="126">
        <f t="shared" si="63"/>
        <v>1366.6471298523763</v>
      </c>
      <c r="J90" s="278"/>
      <c r="K90" s="509">
        <f>'Inputs and eligible population'!$M$118</f>
        <v>42.15</v>
      </c>
      <c r="L90" s="281">
        <f t="shared" si="55"/>
        <v>8.2358533241267065</v>
      </c>
      <c r="M90" s="281">
        <f t="shared" si="56"/>
        <v>33.261047344716374</v>
      </c>
      <c r="N90" s="281">
        <f t="shared" si="57"/>
        <v>50.372615938894128</v>
      </c>
      <c r="O90" s="281">
        <f t="shared" si="58"/>
        <v>56.509221114701539</v>
      </c>
      <c r="P90" s="281">
        <f t="shared" si="59"/>
        <v>57.054072144626069</v>
      </c>
      <c r="Q90" s="281">
        <f t="shared" si="60"/>
        <v>57.604176523277658</v>
      </c>
      <c r="V90" s="131"/>
      <c r="AJ90" s="277"/>
      <c r="AK90" s="277"/>
      <c r="AL90" s="277"/>
      <c r="AM90" s="277"/>
      <c r="AN90" s="277"/>
    </row>
    <row r="91" spans="1:40" ht="14.45" customHeight="1" x14ac:dyDescent="0.25">
      <c r="A91" s="278"/>
      <c r="B91" s="271"/>
      <c r="C91" s="304"/>
      <c r="D91" s="182">
        <f t="shared" ref="D91:I91" si="64">SUM(D86:D90)</f>
        <v>3219.1096845096895</v>
      </c>
      <c r="E91" s="182">
        <f t="shared" si="64"/>
        <v>5280.7595733150456</v>
      </c>
      <c r="F91" s="182">
        <f t="shared" si="64"/>
        <v>7152.168414182549</v>
      </c>
      <c r="G91" s="182">
        <f t="shared" si="64"/>
        <v>7681.118948266163</v>
      </c>
      <c r="H91" s="182">
        <f t="shared" si="64"/>
        <v>7755.1788182728806</v>
      </c>
      <c r="I91" s="182">
        <f t="shared" si="64"/>
        <v>7829.9527592870063</v>
      </c>
      <c r="J91" s="278"/>
      <c r="K91" s="278"/>
      <c r="L91" s="282">
        <f>SUM(L86:L90)</f>
        <v>135.68547320208339</v>
      </c>
      <c r="M91" s="282">
        <f t="shared" ref="M91" si="65">SUM(M86:M90)</f>
        <v>222.58401601522917</v>
      </c>
      <c r="N91" s="282">
        <f t="shared" ref="N91" si="66">SUM(N86:N90)</f>
        <v>301.46389865779446</v>
      </c>
      <c r="O91" s="282">
        <f t="shared" ref="O91" si="67">SUM(O86:O90)</f>
        <v>323.75916366941874</v>
      </c>
      <c r="P91" s="282">
        <f t="shared" ref="P91" si="68">SUM(P86:P90)</f>
        <v>326.88078719020189</v>
      </c>
      <c r="Q91" s="282">
        <f t="shared" ref="Q91" si="69">SUM(Q86:Q90)</f>
        <v>330.03250880394734</v>
      </c>
      <c r="R91" s="131"/>
      <c r="S91" s="131"/>
      <c r="T91" s="131"/>
      <c r="U91" s="131"/>
      <c r="V91" s="131"/>
      <c r="W91" s="131"/>
      <c r="X91" s="131"/>
      <c r="Y91" s="131"/>
      <c r="Z91" s="131"/>
      <c r="AJ91" s="277"/>
      <c r="AK91" s="277"/>
      <c r="AL91" s="277"/>
      <c r="AM91" s="277"/>
      <c r="AN91" s="277"/>
    </row>
    <row r="92" spans="1:40" ht="14.45" customHeight="1" x14ac:dyDescent="0.25">
      <c r="A92" s="278"/>
      <c r="B92" s="298"/>
      <c r="C92" s="274"/>
      <c r="D92" s="276" t="s">
        <v>832</v>
      </c>
      <c r="E92" s="182">
        <f>E91-$D$91</f>
        <v>2061.6498888053561</v>
      </c>
      <c r="F92" s="182">
        <f>F91-$D$91</f>
        <v>3933.0587296728595</v>
      </c>
      <c r="G92" s="182">
        <f>G91-$D$91</f>
        <v>4462.009263756474</v>
      </c>
      <c r="H92" s="182">
        <f>H91-$D$91</f>
        <v>4536.0691337631906</v>
      </c>
      <c r="I92" s="182">
        <f>I91-$D$91</f>
        <v>4610.8430747773164</v>
      </c>
      <c r="J92" s="278"/>
      <c r="K92" s="278"/>
      <c r="L92" s="483"/>
      <c r="M92" s="282">
        <f>M91-$L$91</f>
        <v>86.898542813145781</v>
      </c>
      <c r="N92" s="282">
        <f t="shared" ref="N92:Q92" si="70">N91-$L$91</f>
        <v>165.77842545571107</v>
      </c>
      <c r="O92" s="282">
        <f t="shared" si="70"/>
        <v>188.07369046733535</v>
      </c>
      <c r="P92" s="282">
        <f t="shared" si="70"/>
        <v>191.1953139881185</v>
      </c>
      <c r="Q92" s="282">
        <f t="shared" si="70"/>
        <v>194.34703560186395</v>
      </c>
      <c r="R92" s="131"/>
      <c r="S92" s="131"/>
      <c r="T92" s="131"/>
      <c r="U92" s="131"/>
      <c r="V92" s="131"/>
      <c r="W92" s="131"/>
      <c r="X92" s="131"/>
      <c r="Y92" s="131"/>
      <c r="Z92" s="131"/>
      <c r="AJ92" s="277"/>
      <c r="AK92" s="277"/>
      <c r="AL92" s="277"/>
      <c r="AM92" s="277"/>
      <c r="AN92" s="277"/>
    </row>
    <row r="93" spans="1:40" ht="14.45" customHeight="1" x14ac:dyDescent="0.25">
      <c r="A93" s="278"/>
      <c r="B93" s="306"/>
      <c r="C93" s="213"/>
      <c r="D93" s="213"/>
      <c r="E93" s="213"/>
      <c r="F93" s="213"/>
      <c r="G93" s="213"/>
      <c r="H93" s="213"/>
      <c r="I93" s="213"/>
      <c r="J93" s="278"/>
      <c r="K93" s="278"/>
      <c r="L93" s="213"/>
      <c r="M93" s="213"/>
      <c r="N93" s="213"/>
      <c r="O93" s="213"/>
      <c r="P93" s="213"/>
      <c r="Q93" s="213"/>
      <c r="R93" s="131"/>
      <c r="S93" s="131"/>
      <c r="T93" s="131"/>
      <c r="U93" s="131"/>
      <c r="V93" s="131"/>
      <c r="W93" s="131"/>
      <c r="X93" s="131"/>
      <c r="Y93" s="131"/>
      <c r="Z93" s="131"/>
      <c r="AJ93" s="277"/>
      <c r="AK93" s="277"/>
      <c r="AL93" s="277"/>
      <c r="AM93" s="277"/>
      <c r="AN93" s="277"/>
    </row>
    <row r="94" spans="1:40" ht="14.45" customHeight="1" x14ac:dyDescent="0.25">
      <c r="A94" s="626"/>
      <c r="B94" s="632" t="s">
        <v>833</v>
      </c>
      <c r="C94" s="627"/>
      <c r="D94" s="628"/>
      <c r="E94" s="627"/>
      <c r="F94" s="629"/>
      <c r="G94" s="630"/>
      <c r="H94" s="630"/>
      <c r="I94" s="631"/>
      <c r="J94" s="626"/>
      <c r="K94" s="626"/>
      <c r="L94" s="626"/>
      <c r="M94" s="626"/>
      <c r="N94" s="626"/>
      <c r="O94" s="626"/>
      <c r="P94" s="626"/>
      <c r="Q94" s="626"/>
      <c r="R94" s="131"/>
      <c r="S94" s="131"/>
      <c r="T94" s="131"/>
      <c r="U94" s="131"/>
      <c r="V94" s="131"/>
      <c r="W94" s="131"/>
      <c r="X94" s="131"/>
      <c r="Y94" s="131"/>
      <c r="Z94" s="131"/>
      <c r="AJ94" s="277"/>
      <c r="AK94" s="277"/>
      <c r="AL94" s="277"/>
      <c r="AM94" s="277"/>
      <c r="AN94" s="277"/>
    </row>
    <row r="95" spans="1:40" ht="14.45" customHeight="1" x14ac:dyDescent="0.25">
      <c r="A95" s="280"/>
      <c r="B95" s="362" t="s">
        <v>834</v>
      </c>
      <c r="C95" s="363"/>
      <c r="D95" s="363"/>
      <c r="E95" s="363"/>
      <c r="F95" s="363"/>
      <c r="G95" s="363"/>
      <c r="H95" s="363"/>
      <c r="I95" s="216"/>
      <c r="J95" s="280"/>
      <c r="K95" s="280"/>
      <c r="L95" s="280"/>
      <c r="M95" s="280"/>
      <c r="N95" s="280"/>
      <c r="O95" s="280"/>
      <c r="P95" s="280"/>
      <c r="Q95" s="280"/>
      <c r="V95" s="131"/>
    </row>
    <row r="96" spans="1:40" ht="45" x14ac:dyDescent="0.25">
      <c r="A96" s="280"/>
      <c r="B96" s="270" t="s">
        <v>768</v>
      </c>
      <c r="C96" s="162" t="s">
        <v>835</v>
      </c>
      <c r="D96" s="384" t="s">
        <v>809</v>
      </c>
      <c r="E96" s="247" t="s">
        <v>676</v>
      </c>
      <c r="F96" s="247" t="s">
        <v>677</v>
      </c>
      <c r="G96" s="161" t="s">
        <v>778</v>
      </c>
      <c r="H96" s="161" t="s">
        <v>779</v>
      </c>
      <c r="I96" s="247" t="s">
        <v>780</v>
      </c>
      <c r="J96" s="280"/>
      <c r="K96" s="492" t="s">
        <v>820</v>
      </c>
      <c r="L96" s="384" t="s">
        <v>809</v>
      </c>
      <c r="M96" s="247" t="s">
        <v>676</v>
      </c>
      <c r="N96" s="247" t="s">
        <v>677</v>
      </c>
      <c r="O96" s="161" t="s">
        <v>778</v>
      </c>
      <c r="P96" s="161" t="s">
        <v>779</v>
      </c>
      <c r="Q96" s="247" t="s">
        <v>780</v>
      </c>
      <c r="V96" s="131"/>
    </row>
    <row r="97" spans="1:40" x14ac:dyDescent="0.25">
      <c r="A97" s="280"/>
      <c r="B97" s="322" t="str">
        <f>B86</f>
        <v>Durvalumab neoadjuvent</v>
      </c>
      <c r="C97" s="146">
        <f>'Capacity (national prices)'!C95</f>
        <v>15</v>
      </c>
      <c r="D97" s="126">
        <f>($C97/60)*D55</f>
        <v>0</v>
      </c>
      <c r="E97" s="126">
        <f t="shared" ref="E97:I97" si="71">($C97/60)*E55</f>
        <v>302.26434251593406</v>
      </c>
      <c r="F97" s="126">
        <f t="shared" si="71"/>
        <v>610.35743421936752</v>
      </c>
      <c r="G97" s="126">
        <f t="shared" si="71"/>
        <v>684.71375898254257</v>
      </c>
      <c r="H97" s="126">
        <f t="shared" si="71"/>
        <v>691.31563721455518</v>
      </c>
      <c r="I97" s="126">
        <f t="shared" si="71"/>
        <v>697.9811694853812</v>
      </c>
      <c r="J97" s="280"/>
      <c r="K97" s="509">
        <f>'Inputs and eligible population'!$M$119</f>
        <v>46.77</v>
      </c>
      <c r="L97" s="281">
        <f>(D97*$K97)/1000</f>
        <v>0</v>
      </c>
      <c r="M97" s="281">
        <f t="shared" ref="M97:Q97" si="72">(E97*$K97)/1000</f>
        <v>14.136903299470237</v>
      </c>
      <c r="N97" s="281">
        <f t="shared" si="72"/>
        <v>28.546417198439819</v>
      </c>
      <c r="O97" s="281">
        <f t="shared" si="72"/>
        <v>32.024062507613522</v>
      </c>
      <c r="P97" s="281">
        <f t="shared" si="72"/>
        <v>32.332832352524747</v>
      </c>
      <c r="Q97" s="281">
        <f t="shared" si="72"/>
        <v>32.644579296831282</v>
      </c>
      <c r="V97" s="131"/>
    </row>
    <row r="98" spans="1:40" x14ac:dyDescent="0.25">
      <c r="A98" s="280"/>
      <c r="B98" s="322" t="str">
        <f t="shared" ref="B98:B101" si="73">B87</f>
        <v>Pembrolizumab neoadjuvent</v>
      </c>
      <c r="C98" s="146">
        <f>'Capacity (national prices)'!C96</f>
        <v>15</v>
      </c>
      <c r="D98" s="126">
        <f t="shared" ref="D98:I98" si="74">($C98/60)*D56</f>
        <v>89.813339824499991</v>
      </c>
      <c r="E98" s="126">
        <f t="shared" si="74"/>
        <v>362.71721101912095</v>
      </c>
      <c r="F98" s="126">
        <f t="shared" si="74"/>
        <v>549.32169079743073</v>
      </c>
      <c r="G98" s="126">
        <f t="shared" si="74"/>
        <v>616.24238308428835</v>
      </c>
      <c r="H98" s="126">
        <f t="shared" si="74"/>
        <v>622.18407349309973</v>
      </c>
      <c r="I98" s="126">
        <f t="shared" si="74"/>
        <v>628.18305253684309</v>
      </c>
      <c r="J98" s="280"/>
      <c r="K98" s="509">
        <f>'Inputs and eligible population'!$M$119</f>
        <v>46.77</v>
      </c>
      <c r="L98" s="281">
        <f t="shared" ref="L98:L101" si="75">(D98*$K98)/1000</f>
        <v>4.2005699035918651</v>
      </c>
      <c r="M98" s="281">
        <f t="shared" ref="M98:M101" si="76">(E98*$K98)/1000</f>
        <v>16.964283959364288</v>
      </c>
      <c r="N98" s="281">
        <f t="shared" ref="N98:N101" si="77">(F98*$K98)/1000</f>
        <v>25.69177547859584</v>
      </c>
      <c r="O98" s="281">
        <f t="shared" ref="O98:O101" si="78">(G98*$K98)/1000</f>
        <v>28.821656256852169</v>
      </c>
      <c r="P98" s="281">
        <f t="shared" ref="P98:P101" si="79">(H98*$K98)/1000</f>
        <v>29.099549117272275</v>
      </c>
      <c r="Q98" s="281">
        <f t="shared" ref="Q98:Q101" si="80">(I98*$K98)/1000</f>
        <v>29.380121367148153</v>
      </c>
      <c r="V98" s="131"/>
    </row>
    <row r="99" spans="1:40" x14ac:dyDescent="0.25">
      <c r="A99" s="280"/>
      <c r="B99" s="322" t="str">
        <f t="shared" si="73"/>
        <v>Nivolumab neoadjuvent</v>
      </c>
      <c r="C99" s="146">
        <f>'Capacity (national prices)'!C97</f>
        <v>15</v>
      </c>
      <c r="D99" s="126">
        <f t="shared" ref="D99:I99" si="81">($C99/60)*D57</f>
        <v>1422.0445472212498</v>
      </c>
      <c r="E99" s="126">
        <f t="shared" si="81"/>
        <v>982.35911317678574</v>
      </c>
      <c r="F99" s="126">
        <f t="shared" si="81"/>
        <v>610.35743421936763</v>
      </c>
      <c r="G99" s="126">
        <f t="shared" si="81"/>
        <v>513.53531923690696</v>
      </c>
      <c r="H99" s="126">
        <f t="shared" si="81"/>
        <v>518.48672791091644</v>
      </c>
      <c r="I99" s="126">
        <f t="shared" si="81"/>
        <v>523.48587711403593</v>
      </c>
      <c r="J99" s="280"/>
      <c r="K99" s="509">
        <f>'Inputs and eligible population'!$M$119</f>
        <v>46.77</v>
      </c>
      <c r="L99" s="281">
        <f t="shared" si="75"/>
        <v>66.509023473537866</v>
      </c>
      <c r="M99" s="281">
        <f t="shared" si="76"/>
        <v>45.94493572327827</v>
      </c>
      <c r="N99" s="281">
        <f t="shared" si="77"/>
        <v>28.546417198439826</v>
      </c>
      <c r="O99" s="281">
        <f t="shared" si="78"/>
        <v>24.018046880710138</v>
      </c>
      <c r="P99" s="281">
        <f t="shared" si="79"/>
        <v>24.249624264393564</v>
      </c>
      <c r="Q99" s="281">
        <f t="shared" si="80"/>
        <v>24.483434472623465</v>
      </c>
      <c r="V99" s="131"/>
    </row>
    <row r="100" spans="1:40" x14ac:dyDescent="0.25">
      <c r="A100" s="280"/>
      <c r="B100" s="322" t="str">
        <f t="shared" si="73"/>
        <v>Durvalumab adjuvent</v>
      </c>
      <c r="C100" s="146">
        <f>'Capacity (national prices)'!C98</f>
        <v>15</v>
      </c>
      <c r="D100" s="126">
        <f t="shared" ref="D100:I100" si="82">($C100/60)*D58</f>
        <v>0</v>
      </c>
      <c r="E100" s="126">
        <f t="shared" si="82"/>
        <v>598.48339818154955</v>
      </c>
      <c r="F100" s="126">
        <f t="shared" si="82"/>
        <v>1208.5077197543478</v>
      </c>
      <c r="G100" s="126">
        <f t="shared" si="82"/>
        <v>1355.7332427854344</v>
      </c>
      <c r="H100" s="126">
        <f t="shared" si="82"/>
        <v>1368.8049616848193</v>
      </c>
      <c r="I100" s="126">
        <f t="shared" si="82"/>
        <v>1382.0027155810549</v>
      </c>
      <c r="J100" s="280"/>
      <c r="K100" s="509">
        <f>'Inputs and eligible population'!$M$119</f>
        <v>46.77</v>
      </c>
      <c r="L100" s="281">
        <f t="shared" si="75"/>
        <v>0</v>
      </c>
      <c r="M100" s="281">
        <f t="shared" si="76"/>
        <v>27.991068532951076</v>
      </c>
      <c r="N100" s="281">
        <f t="shared" si="77"/>
        <v>56.52190605291085</v>
      </c>
      <c r="O100" s="281">
        <f t="shared" si="78"/>
        <v>63.407643765074766</v>
      </c>
      <c r="P100" s="281">
        <f t="shared" si="79"/>
        <v>64.019008057999002</v>
      </c>
      <c r="Q100" s="281">
        <f t="shared" si="80"/>
        <v>64.636267007725934</v>
      </c>
      <c r="V100" s="131"/>
    </row>
    <row r="101" spans="1:40" x14ac:dyDescent="0.25">
      <c r="A101" s="280"/>
      <c r="B101" s="322" t="str">
        <f t="shared" si="73"/>
        <v>Pembrolizumab adjuvent</v>
      </c>
      <c r="C101" s="146">
        <f>'Capacity (national prices)'!C99</f>
        <v>15</v>
      </c>
      <c r="D101" s="126">
        <f t="shared" ref="D101:I101" si="83">($C101/60)*D59</f>
        <v>97.69695520909498</v>
      </c>
      <c r="E101" s="126">
        <f t="shared" si="83"/>
        <v>394.55572176413261</v>
      </c>
      <c r="F101" s="126">
        <f t="shared" si="83"/>
        <v>597.53992810076079</v>
      </c>
      <c r="G101" s="126">
        <f t="shared" si="83"/>
        <v>670.3347700439092</v>
      </c>
      <c r="H101" s="126">
        <f t="shared" si="83"/>
        <v>676.79800883304949</v>
      </c>
      <c r="I101" s="126">
        <f t="shared" si="83"/>
        <v>683.32356492618817</v>
      </c>
      <c r="J101" s="280"/>
      <c r="K101" s="509">
        <f>'Inputs and eligible population'!$M$119</f>
        <v>46.77</v>
      </c>
      <c r="L101" s="281">
        <f t="shared" si="75"/>
        <v>4.5692865951293724</v>
      </c>
      <c r="M101" s="281">
        <f t="shared" si="76"/>
        <v>18.453371106908481</v>
      </c>
      <c r="N101" s="281">
        <f t="shared" si="77"/>
        <v>27.946942437272586</v>
      </c>
      <c r="O101" s="281">
        <f t="shared" si="78"/>
        <v>31.351557194953635</v>
      </c>
      <c r="P101" s="281">
        <f t="shared" si="79"/>
        <v>31.653842873121729</v>
      </c>
      <c r="Q101" s="281">
        <f t="shared" si="80"/>
        <v>31.959043131597824</v>
      </c>
      <c r="V101" s="131"/>
    </row>
    <row r="102" spans="1:40" x14ac:dyDescent="0.25">
      <c r="A102" s="280"/>
      <c r="B102" s="271"/>
      <c r="C102" s="304"/>
      <c r="D102" s="182">
        <f t="shared" ref="D102:I102" si="84">SUM(D97:D101)</f>
        <v>1609.5548422548447</v>
      </c>
      <c r="E102" s="182">
        <f t="shared" si="84"/>
        <v>2640.3797866575228</v>
      </c>
      <c r="F102" s="182">
        <f t="shared" si="84"/>
        <v>3576.0842070912745</v>
      </c>
      <c r="G102" s="182">
        <f t="shared" si="84"/>
        <v>3840.5594741330815</v>
      </c>
      <c r="H102" s="182">
        <f t="shared" si="84"/>
        <v>3877.5894091364403</v>
      </c>
      <c r="I102" s="182">
        <f t="shared" si="84"/>
        <v>3914.9763796435032</v>
      </c>
      <c r="J102" s="280"/>
      <c r="K102" s="280"/>
      <c r="L102" s="282">
        <f>SUM(L97:L101)</f>
        <v>75.278879972259105</v>
      </c>
      <c r="M102" s="282">
        <f t="shared" ref="M102" si="85">SUM(M97:M101)</f>
        <v>123.49056262197234</v>
      </c>
      <c r="N102" s="282">
        <f t="shared" ref="N102" si="86">SUM(N97:N101)</f>
        <v>167.2534583656589</v>
      </c>
      <c r="O102" s="282">
        <f t="shared" ref="O102" si="87">SUM(O97:O101)</f>
        <v>179.62296660520423</v>
      </c>
      <c r="P102" s="282">
        <f t="shared" ref="P102" si="88">SUM(P97:P101)</f>
        <v>181.35485666531133</v>
      </c>
      <c r="Q102" s="282">
        <f t="shared" ref="Q102" si="89">SUM(Q97:Q101)</f>
        <v>183.10344527592667</v>
      </c>
      <c r="V102" s="131"/>
    </row>
    <row r="103" spans="1:40" x14ac:dyDescent="0.25">
      <c r="A103" s="280"/>
      <c r="B103" s="298"/>
      <c r="C103" s="218"/>
      <c r="D103" s="276" t="s">
        <v>805</v>
      </c>
      <c r="E103" s="182">
        <f>E102-$D$102</f>
        <v>1030.8249444026781</v>
      </c>
      <c r="F103" s="182">
        <f>F102-$D$102</f>
        <v>1966.5293648364297</v>
      </c>
      <c r="G103" s="182">
        <f>G102-$D$102</f>
        <v>2231.004631878237</v>
      </c>
      <c r="H103" s="182">
        <f>H102-$D$102</f>
        <v>2268.0345668815953</v>
      </c>
      <c r="I103" s="182">
        <f>I102-$D$102</f>
        <v>2305.4215373886582</v>
      </c>
      <c r="J103" s="280"/>
      <c r="K103" s="280"/>
      <c r="L103" s="484"/>
      <c r="M103" s="282">
        <f>M102-$L$102</f>
        <v>48.211682649713239</v>
      </c>
      <c r="N103" s="282">
        <f t="shared" ref="N103:Q103" si="90">N102-$L$102</f>
        <v>91.974578393399796</v>
      </c>
      <c r="O103" s="282">
        <f t="shared" si="90"/>
        <v>104.34408663294512</v>
      </c>
      <c r="P103" s="282">
        <f t="shared" si="90"/>
        <v>106.07597669305223</v>
      </c>
      <c r="Q103" s="282">
        <f t="shared" si="90"/>
        <v>107.82456530366757</v>
      </c>
      <c r="V103" s="131"/>
    </row>
    <row r="104" spans="1:40" x14ac:dyDescent="0.25">
      <c r="A104" s="280"/>
      <c r="B104" s="307"/>
      <c r="C104" s="1001"/>
      <c r="D104" s="217"/>
      <c r="E104" s="217"/>
      <c r="F104" s="217"/>
      <c r="G104" s="217"/>
      <c r="H104" s="217"/>
      <c r="I104" s="217"/>
      <c r="J104" s="217"/>
      <c r="K104" s="217"/>
      <c r="L104" s="217"/>
      <c r="M104" s="217"/>
      <c r="N104" s="217"/>
      <c r="O104" s="217"/>
      <c r="P104" s="217"/>
      <c r="Q104" s="217"/>
      <c r="R104" s="131"/>
      <c r="S104" s="131"/>
      <c r="T104" s="131"/>
      <c r="U104" s="131"/>
      <c r="V104" s="131"/>
      <c r="W104" s="131"/>
      <c r="X104" s="131"/>
      <c r="Y104" s="131"/>
      <c r="Z104" s="131"/>
      <c r="AJ104" s="277"/>
      <c r="AK104" s="277"/>
      <c r="AL104" s="277"/>
      <c r="AM104" s="277"/>
      <c r="AN104" s="277"/>
    </row>
    <row r="105" spans="1:40" x14ac:dyDescent="0.25">
      <c r="B105"/>
    </row>
    <row r="106" spans="1:40" x14ac:dyDescent="0.25">
      <c r="B106"/>
    </row>
    <row r="107" spans="1:40" x14ac:dyDescent="0.25">
      <c r="B107"/>
    </row>
    <row r="108" spans="1:40" x14ac:dyDescent="0.25">
      <c r="B108"/>
    </row>
    <row r="109" spans="1:40" x14ac:dyDescent="0.25">
      <c r="B109"/>
    </row>
  </sheetData>
  <sheetProtection algorithmName="SHA-512" hashValue="mmO4CXBr4FnM9VNjO/+XNt9VI/SfrWp+R354ojJpvQjwusiiticB2JPz6KmIZXkmjBZZHg1Sbvry82/kG9USIg==" saltValue="239SZ5oXueA/B/KxNWs4a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schemas.microsoft.com/office/2006/documentManagement/types"/>
    <ds:schemaRef ds:uri="c1f338ac-e338-414f-952c-f74dcc6d59e1"/>
    <ds:schemaRef ds:uri="http://www.w3.org/XML/1998/namespace"/>
    <ds:schemaRef ds:uri="http://schemas.microsoft.com/office/2006/metadata/properties"/>
    <ds:schemaRef ds:uri="http://purl.org/dc/elements/1.1/"/>
    <ds:schemaRef ds:uri="0eb656aa-4e79-4e95-9076-bc119a23e0cc"/>
    <ds:schemaRef ds:uri="http://purl.org/dc/terms/"/>
    <ds:schemaRef ds:uri="http://schemas.microsoft.com/office/infopath/2007/PartnerControls"/>
    <ds:schemaRef ds:uri="http://schemas.openxmlformats.org/package/2006/metadata/core-properties"/>
    <ds:schemaRef ds:uri="acaf4567-dc07-471f-892c-2bcb86ef35ae"/>
    <ds:schemaRef ds:uri="http://purl.org/dc/dcmitype/"/>
  </ds:schemaRefs>
</ds:datastoreItem>
</file>

<file path=customXml/itemProps2.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TA1030 Durvalumab with chemotherapy before surgery (neoadjuvant) then alone after surgery (adjuvant) for treating resectable non-small-cell lung cancer: resource impact template 15/01/2025</dc:title>
  <dc:subject/>
  <dc:creator/>
  <cp:keywords/>
  <dc:description/>
  <cp:lastModifiedBy/>
  <cp:revision/>
  <dcterms:created xsi:type="dcterms:W3CDTF">2022-07-27T12:38:28Z</dcterms:created>
  <dcterms:modified xsi:type="dcterms:W3CDTF">2025-01-29T16:57:38Z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